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eschu\Documents\github\MaterialExergyPaper2025\data\"/>
    </mc:Choice>
  </mc:AlternateContent>
  <xr:revisionPtr revIDLastSave="0" documentId="13_ncr:1_{05E0BBF7-381C-420F-B7FF-4344E372EEB0}" xr6:coauthVersionLast="47" xr6:coauthVersionMax="47" xr10:uidLastSave="{00000000-0000-0000-0000-000000000000}"/>
  <bookViews>
    <workbookView xWindow="-108" yWindow="-108" windowWidth="23256" windowHeight="13176" firstSheet="8" activeTab="15" xr2:uid="{00000000-000D-0000-FFFF-FFFF00000000}"/>
  </bookViews>
  <sheets>
    <sheet name="Constants" sheetId="3" r:id="rId1"/>
    <sheet name="Calculators" sheetId="11" r:id="rId2"/>
    <sheet name="Energy X" sheetId="17" r:id="rId3"/>
    <sheet name="MCC_B_RUVY_matrices_mat_level" sheetId="20" r:id="rId4"/>
    <sheet name="MCC_M_RUVY_matrices_mat_level" sheetId="15" r:id="rId5"/>
    <sheet name="MCC_h_RUVY_matrices_mat_level" sheetId="22" r:id="rId6"/>
    <sheet name="MCC_MW_RUVY_matrices_mat_level" sheetId="23" r:id="rId7"/>
    <sheet name="MCC_hM_RUVY_matrices_mat_level " sheetId="24" r:id="rId8"/>
    <sheet name="Waste" sheetId="13" r:id="rId9"/>
    <sheet name="Tables for Paper" sheetId="14" r:id="rId10"/>
    <sheet name="Appx_exergy_account" sheetId="25" r:id="rId11"/>
    <sheet name="B" sheetId="26" r:id="rId12"/>
    <sheet name="X" sheetId="27" r:id="rId13"/>
    <sheet name="BX" sheetId="28" r:id="rId14"/>
    <sheet name="Ore_to_PI" sheetId="9" r:id="rId15"/>
    <sheet name="BXCC Q loss" sheetId="29" r:id="rId16"/>
  </sheets>
  <definedNames>
    <definedName name="Air_to_Kiln">Constants!#REF!</definedName>
    <definedName name="Ash_in_coal">Calculators!#REF!</definedName>
    <definedName name="b_c_CaCO3">Appx_exergy_account!$I$31</definedName>
    <definedName name="b_c_MgCO3">Appx_exergy_account!$I$32</definedName>
    <definedName name="b_CaCO3">Appx_exergy_account!$H$51</definedName>
    <definedName name="b_ch_Al2O3">Constants!$E$23</definedName>
    <definedName name="b_ch_C">Constants!$E$5</definedName>
    <definedName name="b_ch_C10H8">Constants!$E$41</definedName>
    <definedName name="b_ch_C12H10">Constants!$E$45</definedName>
    <definedName name="b_ch_C13H10">Constants!$E$46</definedName>
    <definedName name="b_ch_C14H10">Constants!$E$42</definedName>
    <definedName name="b_ch_C16H10">Constants!$E$43</definedName>
    <definedName name="b_ch_C18H12">Constants!$E$47</definedName>
    <definedName name="b_ch_C24H26">Constants!$E$44</definedName>
    <definedName name="b_ch_C2H4">Constants!$E$35</definedName>
    <definedName name="b_ch_Ca">Constants!$K$6</definedName>
    <definedName name="b_ch_CaCO3">Constants!$E$6</definedName>
    <definedName name="b_ch_CaO">Constants!$E$16</definedName>
    <definedName name="b_ch_CaSiO3">Constants!$E$7</definedName>
    <definedName name="b_ch_CH4">Constants!$E$17</definedName>
    <definedName name="b_ch_Cl">Constants!$E$22</definedName>
    <definedName name="b_ch_CO">Constants!$E$15</definedName>
    <definedName name="b_ch_CO2">Constants!$E$8</definedName>
    <definedName name="b_ch_coal">Calculators!$O$98</definedName>
    <definedName name="b_ch_coke">Calculators!$N$90</definedName>
    <definedName name="b_ch_Diesel">Calculators!$P$223</definedName>
    <definedName name="b_ch_Fe">Constants!$E$9</definedName>
    <definedName name="b_ch_Fe2O3">Constants!$E$10</definedName>
    <definedName name="b_ch_FeC">Constants!#REF!</definedName>
    <definedName name="b_ch_fueloil">Calculators!$H$264</definedName>
    <definedName name="b_ch_Gasoline">Calculators!$H$247</definedName>
    <definedName name="b_ch_H">Constants!$E$20</definedName>
    <definedName name="b_ch_H2">Constants!$K$8</definedName>
    <definedName name="b_ch_H2O">Constants!$E$19</definedName>
    <definedName name="b_ch_H2S">Constants!$E$32</definedName>
    <definedName name="b_ch_K2O">Constants!$E$26</definedName>
    <definedName name="b_ch_Mg">Constants!$K$14</definedName>
    <definedName name="b_ch_MgCO3">Constants!$E$28</definedName>
    <definedName name="b_ch_MgO">Constants!$E$24</definedName>
    <definedName name="b_ch_N">Constants!$E$29</definedName>
    <definedName name="b_ch_N2">Constants!$E$18</definedName>
    <definedName name="b_ch_Na2O">Constants!$E$25</definedName>
    <definedName name="b_ch_O">Constants!$E$11</definedName>
    <definedName name="b_ch_O2">Constants!$E$12</definedName>
    <definedName name="b_ch_P">Constants!$E$27</definedName>
    <definedName name="b_ch_S">Constants!$E$21</definedName>
    <definedName name="b_ch_Si">Constants!$E$13</definedName>
    <definedName name="b_ch_SiO2">Constants!$E$14</definedName>
    <definedName name="b_ch_SO2">Constants!$E$48</definedName>
    <definedName name="b_com">Appx_exergy_account!$C$58</definedName>
    <definedName name="b_com_CaCO3">Appx_exergy_account!$I$43</definedName>
    <definedName name="b_com_MgCO3">Appx_exergy_account!$I$44</definedName>
    <definedName name="b_com_tot">Appx_exergy_account!$E$58</definedName>
    <definedName name="B_lost_blast_furnace">Ore_to_PI!$EO$131</definedName>
    <definedName name="B_lost_coal_ext">Ore_to_PI!$X$210</definedName>
    <definedName name="B_lost_coal_haul">Ore_to_PI!$AQ$210</definedName>
    <definedName name="B_lost_coke_oven">Ore_to_PI!$CD$210</definedName>
    <definedName name="B_lost_iron_benef">Ore_to_PI!$BI$46</definedName>
    <definedName name="B_lost_Iron_Ext">Ore_to_PI!$W$46</definedName>
    <definedName name="B_lost_Iron_haul">Ore_to_PI!$AP$46</definedName>
    <definedName name="B_lost_kiln">Ore_to_PI!$CC$130</definedName>
    <definedName name="B_lost_lime_benef">Ore_to_PI!$BJ$130</definedName>
    <definedName name="B_lost_lime_ext">Ore_to_PI!$W$130</definedName>
    <definedName name="B_lost_lime_haul">Ore_to_PI!$AQ$130</definedName>
    <definedName name="B_lost_mixer">Ore_to_PI!$DT$131</definedName>
    <definedName name="b_MgCO3">Appx_exergy_account!$H$52</definedName>
    <definedName name="b_ph_CaCO3">Appx_exergy_account!$F$18</definedName>
    <definedName name="b_ph_MgCO3">Appx_exergy_account!$F$19</definedName>
    <definedName name="b_tot_limestone">Appx_exergy_account!$H$53</definedName>
    <definedName name="Bejan_BF">Ore_to_PI!#REF!</definedName>
    <definedName name="Bejan_CoalBeneficiation">Ore_to_PI!#REF!</definedName>
    <definedName name="Bejan_CoalExtraction">Ore_to_PI!#REF!</definedName>
    <definedName name="Bejan_CoalHauling">Ore_to_PI!#REF!</definedName>
    <definedName name="Bejan_COGtreatment">Ore_to_PI!#REF!</definedName>
    <definedName name="Bejan_Cokeoven">Ore_to_PI!#REF!</definedName>
    <definedName name="Bejan_IronBeneficiation">Ore_to_PI!#REF!</definedName>
    <definedName name="Bejan_IronExtraction">Ore_to_PI!#REF!</definedName>
    <definedName name="Bejan_IronHauling">Ore_to_PI!#REF!</definedName>
    <definedName name="Bejan_LimeBeneficiation">Ore_to_PI!#REF!</definedName>
    <definedName name="Bejan_LimeExtraction">Ore_to_PI!#REF!</definedName>
    <definedName name="Bejan_LimeHauling">Ore_to_PI!#REF!</definedName>
    <definedName name="Bejan_MEROI_Coal">Ore_to_PI!$Q$193</definedName>
    <definedName name="Bejan_MEROI_Iron">Ore_to_PI!$Q$27</definedName>
    <definedName name="Bejan_MEROI_Limestone">Ore_to_PI!$Q$115</definedName>
    <definedName name="Beneficiation_CoalWaste">Ore_to_PI!$CV$218</definedName>
    <definedName name="Beneficiation_Iron_waste">Ore_to_PI!$BZ$55</definedName>
    <definedName name="BF_B_in">Ore_to_PI!$EM$126</definedName>
    <definedName name="BF_B_out">Ore_to_PI!$FM$126</definedName>
    <definedName name="BF_B_slag_out">Ore_to_PI!$FM$104</definedName>
    <definedName name="BF_CO2Waste">Ore_to_PI!$FB$145</definedName>
    <definedName name="BF_SolidWaste">Ore_to_PI!$FL$104</definedName>
    <definedName name="Btu_to_kJ">Constants!$W$4</definedName>
    <definedName name="BX_across_industry_balance">'Tables for Paper'!$L$50:$P$65</definedName>
    <definedName name="BX_across_industry_balance_I">'Tables for Paper'!$S$50:$V$65</definedName>
    <definedName name="BX_across_industry_balance_Q_loss">'Tables for Paper'!$X$50:$Y$65</definedName>
    <definedName name="C_for_BF">Calculators!$L$23</definedName>
    <definedName name="cal_to_kJ">Constants!$Y$4</definedName>
    <definedName name="CH4_into_Kiln">Calculators!$C$51</definedName>
    <definedName name="CH4_out_COtreatment">Calculators!$Z$89</definedName>
    <definedName name="CH4_to_BF">Calculators!$Z$107</definedName>
    <definedName name="CH4_to_DRI">Calculators!$AH$107</definedName>
    <definedName name="CO2_Diesel_molcoeff">Calculators!$M$215</definedName>
    <definedName name="CO2_from_coke_oven_comb">Calculators!$I$121</definedName>
    <definedName name="CO2_Gasoline_molcoeff">Calculators!$M$240</definedName>
    <definedName name="CO2_Kiln_Out">Calculators!$I$38</definedName>
    <definedName name="CO2_Kiln_out_from_methane">Calculators!$L$59</definedName>
    <definedName name="CO2_molcoeff">Calculators!$M$215</definedName>
    <definedName name="Co2_Naturalgas_molcoeff">Calculators!$M$273</definedName>
    <definedName name="Co2_Oil_molcoef">Calculators!$M$257</definedName>
    <definedName name="CO2_out_BF_from_COG">Calculators!$L$164</definedName>
    <definedName name="CO2_out_BF_from_coke">Calculators!$M$191</definedName>
    <definedName name="CO2_out_Coal_Ext">Calculators!$I$215</definedName>
    <definedName name="coal_C_coeff">Calculators!$I$101</definedName>
    <definedName name="coal_H_coeff">Calculators!$H$101</definedName>
    <definedName name="coal_N_coeff">Calculators!$K$101</definedName>
    <definedName name="coal_O_coeff">Calculators!$J$101</definedName>
    <definedName name="coal_S_coeff">Calculators!$L$101</definedName>
    <definedName name="COG_needed">Calculators!#REF!</definedName>
    <definedName name="coke_C_coeff">Calculators!$I$93</definedName>
    <definedName name="coke_H_coeff">Calculators!$H$93</definedName>
    <definedName name="coke_N_coeff">Calculators!$K$93</definedName>
    <definedName name="coke_O_coeff">Calculators!$J$93</definedName>
    <definedName name="coke_S_coeff">Calculators!$L$93</definedName>
    <definedName name="Coking_BF_in">Calculators!$L$23</definedName>
    <definedName name="com_constant">Appx_exergy_account!$E$43</definedName>
    <definedName name="cp_CaCO3">Constants!$H$6</definedName>
    <definedName name="cp_MgCO3">Constants!$H$28</definedName>
    <definedName name="deltaG_CaCO3">Constants!$C$6</definedName>
    <definedName name="deltaG_MgCO3">Constants!$C$28</definedName>
    <definedName name="deltah_CaCO3">Appx_exergy_account!$C$18</definedName>
    <definedName name="deltah_MgCO3">Appx_exergy_account!$C$19</definedName>
    <definedName name="deltas_CaCO3">Appx_exergy_account!$D$18</definedName>
    <definedName name="deltas_MgCO3">Appx_exergy_account!$D$19</definedName>
    <definedName name="Diesel_N2_molcoeff">Calculators!$M$217</definedName>
    <definedName name="dM_CaCO3">Appx_exergy_account!$D$43</definedName>
    <definedName name="dM_MgCO3">Appx_exergy_account!$D$44</definedName>
    <definedName name="E_tot">'Energy X'!$F$19</definedName>
    <definedName name="Efficiencies__Tables_for_Paper">'Tables for Paper'!$B$50:$D$65</definedName>
    <definedName name="Fe_BF_out">Calculators!$I$31</definedName>
    <definedName name="Fe2O3_BF_in">Calculators!$I$29</definedName>
    <definedName name="Fr">Appx_exergy_account!$C$43</definedName>
    <definedName name="h_0_CO2">Constants!$T$5</definedName>
    <definedName name="h_0_H2O">Constants!$T$6</definedName>
    <definedName name="h_0_N2">Constants!$T$7</definedName>
    <definedName name="h_Al2O3">Constants!$F$23</definedName>
    <definedName name="h_C">Constants!$F$5</definedName>
    <definedName name="h_C10H8">Constants!$F$41</definedName>
    <definedName name="h_C12H10">Constants!$F$45</definedName>
    <definedName name="h_C13H10">Constants!$F$46</definedName>
    <definedName name="h_C14H10">Constants!$F$42</definedName>
    <definedName name="h_C16H10">Constants!$F$43</definedName>
    <definedName name="h_C18H12">Constants!$F$47</definedName>
    <definedName name="h_C24H26">Constants!$F$44</definedName>
    <definedName name="h_C2H4">Constants!$F$35</definedName>
    <definedName name="h_C2H6">Constants!$F$30</definedName>
    <definedName name="h_C6H6">Constants!$F$33</definedName>
    <definedName name="h_C8H18">Constants!$F$38</definedName>
    <definedName name="h_CaCO3">Constants!$F$6</definedName>
    <definedName name="h_CaO">Constants!$F$16</definedName>
    <definedName name="h_CaSiO3">Constants!$F$7</definedName>
    <definedName name="h_CH4">Constants!$F$17</definedName>
    <definedName name="h_Cl">Constants!$F$22</definedName>
    <definedName name="h_CO">Constants!$F$15</definedName>
    <definedName name="h_CO2">Constants!$F$8</definedName>
    <definedName name="h_CS2">Constants!$F$37</definedName>
    <definedName name="h_Fe">Constants!$F$9</definedName>
    <definedName name="h_Fe2O3">Constants!$F$10</definedName>
    <definedName name="h_fg_H2O">Constants!$AN$5</definedName>
    <definedName name="h_H">Constants!$F$20</definedName>
    <definedName name="h_H2">Constants!$F$31</definedName>
    <definedName name="h_H2O">Constants!$F$19</definedName>
    <definedName name="h_H2S">Constants!$F$32</definedName>
    <definedName name="h_HCN">Constants!$F$36</definedName>
    <definedName name="h_K2O">Constants!$F$26</definedName>
    <definedName name="h_MgCO3">Constants!$F$28</definedName>
    <definedName name="h_MgO">Constants!$F$24</definedName>
    <definedName name="h_N">Constants!$F$29</definedName>
    <definedName name="h_N2">Constants!$F$18</definedName>
    <definedName name="h_Na2O">Constants!$F$25</definedName>
    <definedName name="h_NH3">Constants!$F$34</definedName>
    <definedName name="h_O">Constants!$F$11</definedName>
    <definedName name="h_O2">Constants!$F$12</definedName>
    <definedName name="h_P">Constants!$F$27</definedName>
    <definedName name="h_S">Constants!$F$21</definedName>
    <definedName name="h_Si">Constants!$F$13</definedName>
    <definedName name="h_SiO2">Constants!$F$14</definedName>
    <definedName name="h_SO2">Constants!$F$48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Calculators!$Z$88</definedName>
    <definedName name="H2_to_BF">Calculators!$Z$106</definedName>
    <definedName name="H2_to_coke_oven">Calculators!$AH$106</definedName>
    <definedName name="H2O__Diesel_molcoeff">Calculators!$M$216</definedName>
    <definedName name="H2O_from_coke_oven_comb">Calculators!$I$122</definedName>
    <definedName name="H2O_Gasoline_molcoeff">Calculators!$M$241</definedName>
    <definedName name="H2O_Kiln_Out">Calculators!$L$60</definedName>
    <definedName name="H2O_molcoeff">Calculators!$M$216</definedName>
    <definedName name="H2O_Naturalgas_molcoeff">Calculators!$M$274</definedName>
    <definedName name="H2O_Oil_molcoeff">Calculators!$M$258</definedName>
    <definedName name="H2O_out_BF_from_COG">Calculators!$L$163</definedName>
    <definedName name="H2O_out_BF_from_coke">Calculators!$M$190</definedName>
    <definedName name="H2O_out_Coal_Ext">Calculators!$I$216</definedName>
    <definedName name="H2S_out_COGtreatment">Calculators!$Z$91</definedName>
    <definedName name="H2S_to_BF">Calculators!$Z$109</definedName>
    <definedName name="H2S_to_DRI">Calculators!$AH$109</definedName>
    <definedName name="kg_to_ton">Constants!$Z$4</definedName>
    <definedName name="Kiln_CO2waste">Ore_to_PI!$CL$143</definedName>
    <definedName name="Kiln_H2OWaste">Ore_to_PI!$CL$142</definedName>
    <definedName name="Kiln_SolidWaste">Ore_to_PI!$CV$114</definedName>
    <definedName name="kWh_to_kJ">Constants!$X$4</definedName>
    <definedName name="LHV_CH4">Constants!$AC$4</definedName>
    <definedName name="LHV_Diesel">Constants!$AC$7</definedName>
    <definedName name="LHV_Gasoline">Constants!$AC$5</definedName>
    <definedName name="LHV_Oil">Constants!$AC$6</definedName>
    <definedName name="Lime_to_Energy_Conversion">Constants!$AG$4</definedName>
    <definedName name="Limestone_for_BF">Calculators!$L$27</definedName>
    <definedName name="lny_CaCO3">Ore_to_PI!$BX$130</definedName>
    <definedName name="lny_MgCO3">Ore_to_PI!$BX$131</definedName>
    <definedName name="M_across_industry_balance_M_loss">'Tables for Paper'!$AA$50:$AB$65</definedName>
    <definedName name="mass_bal_BF">Ore_to_PI!$EQ$131</definedName>
    <definedName name="mass_bal_CoalExt">Ore_to_PI!$Z$210</definedName>
    <definedName name="mass_bal_CoalHaul">Ore_to_PI!$AS$210</definedName>
    <definedName name="mass_bal_CokeOven">Ore_to_PI!$CF$210</definedName>
    <definedName name="mass_bal_IronBenef">Ore_to_PI!$BK$46</definedName>
    <definedName name="mass_bal_IronExt">Ore_to_PI!$Y$46</definedName>
    <definedName name="mass_bal_IronHaul">Ore_to_PI!$AR$46</definedName>
    <definedName name="mass_bal_kiln">Ore_to_PI!$CE$130</definedName>
    <definedName name="mass_bal_LimeBenef">Ore_to_PI!$BL$130</definedName>
    <definedName name="mass_bal_LimeExt">Ore_to_PI!$Y$130</definedName>
    <definedName name="mass_bal_LimeHaul">Ore_to_PI!$AS$130</definedName>
    <definedName name="mass_bal_Mixer">Ore_to_PI!$DV$131</definedName>
    <definedName name="mcc_energy_reqts">'Energy X'!$E$23:$G$28</definedName>
    <definedName name="MgCO3_in">Ore_to_PI!$AE$131</definedName>
    <definedName name="MgCO3_in_Limestone">Ore_to_PI!$BQ$131</definedName>
    <definedName name="MgO_out">Calculators!$I$39</definedName>
    <definedName name="mol_C_Coal">Calculators!$I$100</definedName>
    <definedName name="mol_C_Coal_in">Calculators!$I$102</definedName>
    <definedName name="mol_C_coke">Calculators!$I$94</definedName>
    <definedName name="mol_C_to_BF">Ore_to_PI!$CO$210</definedName>
    <definedName name="mol_CaCO3">Ore_to_PI!$BT$130</definedName>
    <definedName name="mol_Coal">Calculators!$M$100</definedName>
    <definedName name="mol_Coke">Calculators!$M$92</definedName>
    <definedName name="mol_H_Coal">Calculators!$H$102</definedName>
    <definedName name="mol_H_coke">Calculators!$H$94</definedName>
    <definedName name="mol_limestone">Ore_to_PI!$BT$132</definedName>
    <definedName name="mol_MgCO3">Ore_to_PI!$BT$131</definedName>
    <definedName name="mol_N_Coal">Calculators!$K$102</definedName>
    <definedName name="mol_N_coke">Calculators!$K$94</definedName>
    <definedName name="mol_O_Coal">Calculators!$J$102</definedName>
    <definedName name="mol_O_coke">Calculators!$J$94</definedName>
    <definedName name="mol_S_coal">Calculators!$L$102</definedName>
    <definedName name="mol_S_coke">Calculators!$L$94</definedName>
    <definedName name="MW_Al2O3">Constants!$D$23</definedName>
    <definedName name="MW_C">Constants!$D$5</definedName>
    <definedName name="MW_C10H8">Constants!$D$41</definedName>
    <definedName name="MW_C12H10">Constants!$D$45</definedName>
    <definedName name="MW_C12H23">Constants!$D$39</definedName>
    <definedName name="MW_C13H10">Constants!$D$46</definedName>
    <definedName name="MW_C14H10">Constants!$D$42</definedName>
    <definedName name="MW_C16H10">Constants!$D$43</definedName>
    <definedName name="MW_C18H12">Constants!$D$47</definedName>
    <definedName name="MW_C24H26">Constants!$D$44</definedName>
    <definedName name="MW_C2H4">Constants!$D$35</definedName>
    <definedName name="MW_C2H6">Constants!$D$30</definedName>
    <definedName name="MW_C6H5CH3">Constants!#REF!</definedName>
    <definedName name="MW_C6H6">Constants!$D$33</definedName>
    <definedName name="MW_C8H18">Constants!$D$38</definedName>
    <definedName name="MW_CaCO3">Constants!$D$6</definedName>
    <definedName name="MW_CaO">Constants!$D$16</definedName>
    <definedName name="MW_CaSiO3">Constants!$D$7</definedName>
    <definedName name="MW_CH4">Constants!$D$17</definedName>
    <definedName name="MW_Cl">Constants!$D$22</definedName>
    <definedName name="MW_CO">Constants!$D$15</definedName>
    <definedName name="MW_CO2">Constants!$D$8</definedName>
    <definedName name="MW_Coal">Calculators!$M$102</definedName>
    <definedName name="MW_Coke">Calculators!$N$92</definedName>
    <definedName name="MW_CS2">Constants!$D$37</definedName>
    <definedName name="MW_Fe">Constants!$D$9</definedName>
    <definedName name="MW_Fe2O3">Constants!$D$10</definedName>
    <definedName name="MW_FeC">Constants!#REF!</definedName>
    <definedName name="MW_H">Constants!$D$20</definedName>
    <definedName name="MW_H2O">Constants!$D$19</definedName>
    <definedName name="MW_H2S">Constants!$D$32</definedName>
    <definedName name="MW_HCN">Constants!$D$36</definedName>
    <definedName name="MW_K2O">Constants!$D$26</definedName>
    <definedName name="MW_MgCO3">Constants!$D$28</definedName>
    <definedName name="MW_MgO">Constants!$D$24</definedName>
    <definedName name="MW_N2">Constants!$D$18</definedName>
    <definedName name="MW_Na2O">Constants!$D$25</definedName>
    <definedName name="MW_NH3">Constants!$D$34</definedName>
    <definedName name="MW_O">Constants!$D$11</definedName>
    <definedName name="MW_O2">Constants!$D$12</definedName>
    <definedName name="MW_Oil">Constants!$D$40</definedName>
    <definedName name="MW_P">Constants!$D$27</definedName>
    <definedName name="MW_S">Constants!$D$21</definedName>
    <definedName name="MW_Si">Constants!$D$13</definedName>
    <definedName name="MW_SIO2">Constants!$D$14</definedName>
    <definedName name="MW_SO2">Constants!$D$48</definedName>
    <definedName name="N2_BF_out">Calculators!$I$23</definedName>
    <definedName name="N2_for_coke_oven_comb">Calculators!$C$123</definedName>
    <definedName name="N2_from_coke_oven_comb">Calculators!$I$123</definedName>
    <definedName name="N2_in_BF_for_COG">Calculators!$C$171</definedName>
    <definedName name="N2_in_BF_for_coke">Calculators!$C$199</definedName>
    <definedName name="N2_in_Coal_Ext">Calculators!$C$217</definedName>
    <definedName name="N2_Kiln_in">Calculators!$C$61</definedName>
    <definedName name="N2_molcoeff">Calculators!$G$217</definedName>
    <definedName name="N2_out_BF_from_COG">Calculators!$L$166</definedName>
    <definedName name="N2_out_BF_from_coke">Calculators!$M$193</definedName>
    <definedName name="NCV_bituminous">Constants!$AI$9</definedName>
    <definedName name="NCV_dry_anthrocite">Constants!$AJ$5</definedName>
    <definedName name="O2_Diesel_molcoeff">Calculators!$G$216</definedName>
    <definedName name="O2_for_coke_oven_comb">Calculators!$C$122</definedName>
    <definedName name="O2_Gasoline_molcoeff">Calculators!$G$241</definedName>
    <definedName name="O2_in_BF">Calculators!$I$21</definedName>
    <definedName name="O2_in_BF_for_COG">Calculators!$C$170</definedName>
    <definedName name="O2_in_BF_for_coke">Calculators!$C$198</definedName>
    <definedName name="O2_in_Coal_Ext">Calculators!$C$216</definedName>
    <definedName name="O2_Kiln_in">Calculators!$C$60</definedName>
    <definedName name="O2_mol_in_BF">Calculators!$G$21</definedName>
    <definedName name="O2_molcoeff">Calculators!$G$216</definedName>
    <definedName name="O2_Naturalgas_molcoeff">Calculators!$G$274</definedName>
    <definedName name="O2_Oil_molcoeff">Calculators!$G$258</definedName>
    <definedName name="O2_out_COtreatment">Calculators!$Z$90</definedName>
    <definedName name="O2_to_BF_from_coke">Calculators!$Z$108</definedName>
    <definedName name="O2_to_coke_oven">Calculators!$AH$108</definedName>
    <definedName name="Ore_to_Kiln">Constants!#REF!</definedName>
    <definedName name="phi_anthrocite">Constants!$AI$5</definedName>
    <definedName name="phi_constant_dry_anthracite_d">Constants!$AO$5</definedName>
    <definedName name="phi_dry_constant_a_">Constants!$AK$5</definedName>
    <definedName name="phi_dry_constant_b">Constants!$AL$5</definedName>
    <definedName name="phi_dry_constant_c">Constants!$AM$5</definedName>
    <definedName name="Quicklime_for_BF">Calculators!$I$37</definedName>
    <definedName name="R__B">B!$A$140:$AK$144</definedName>
    <definedName name="R__BX">BX!$A$217:$BF$241</definedName>
    <definedName name="R__MCC_B_RUVY_matrices_mat_level">MCC_B_RUVY_matrices_mat_level!$E$155:$AO$164</definedName>
    <definedName name="R__MCC_h_RUVY_matrices_mat_level">MCC_h_RUVY_matrices_mat_level!$B$151:$AL$160</definedName>
    <definedName name="R__MCC_M_RUVY_matrices_mat_level">MCC_M_RUVY_matrices_mat_level!$B$152:$AL$161</definedName>
    <definedName name="R__X">X!$A$151:$AA$171</definedName>
    <definedName name="r_EIOU__B">B!$BF$1:$BU$37</definedName>
    <definedName name="r_EIOU__BX">BX!$CO$1:$DR$58</definedName>
    <definedName name="r_EIOU__MCC_B_RUVY_matrices_mat_level">MCC_B_RUVY_matrices_mat_level!$BN$1:$CC$37</definedName>
    <definedName name="r_EIOU__MCC_h_RUVY_matrices_mat_level">MCC_h_RUVY_matrices_mat_level!$BK$1:$BZ$37</definedName>
    <definedName name="r_EIOU__MCC_M_RUVY_matrices_mat_level">MCC_M_RUVY_matrices_mat_level!$BK$1:$BY$37</definedName>
    <definedName name="r_EIOU__X">X!$BU$1:$DI$41</definedName>
    <definedName name="Rational_BF">Ore_to_PI!$ES$131</definedName>
    <definedName name="Rational_Coalbeneficiation">Ore_to_PI!$BN$210</definedName>
    <definedName name="Rational_CoalExtraction">Ore_to_PI!$AB$210</definedName>
    <definedName name="Rational_CoalHauling">Ore_to_PI!$AU$210</definedName>
    <definedName name="Rational_COGdistribution">Ore_to_PI!$DW$237</definedName>
    <definedName name="Rational_COGtreatment">Ore_to_PI!$DC$237</definedName>
    <definedName name="Rational_Cokeoven">Ore_to_PI!$CH$210</definedName>
    <definedName name="Rational_IronBeneficiation">Ore_to_PI!$BM$46</definedName>
    <definedName name="Rational_IronExtraction">Ore_to_PI!$AA$46</definedName>
    <definedName name="Rational_IronHauling">Ore_to_PI!$AT$46</definedName>
    <definedName name="Rational_Kiln">Ore_to_PI!$CG$130</definedName>
    <definedName name="Rational_LimeBeneficiation">Ore_to_PI!$BN$130</definedName>
    <definedName name="Rational_LimeExtraction">Ore_to_PI!$AA$130</definedName>
    <definedName name="Rational_LimeHauling">Ore_to_PI!$AU$130</definedName>
    <definedName name="Rational_MEROI_Coal">Ore_to_PI!$Q$194</definedName>
    <definedName name="Rational_MEROI_Iron">Ore_to_PI!$Q$28</definedName>
    <definedName name="Rational_MEROI_Limestone">Ore_to_PI!$Q$116</definedName>
    <definedName name="Rational_mixer">Ore_to_PI!$DX$131</definedName>
    <definedName name="Resource_BF">Ore_to_PI!$ES$132</definedName>
    <definedName name="Resource_Coalbeneficiation">Ore_to_PI!$BN$211</definedName>
    <definedName name="Resource_CoalExtraction">Ore_to_PI!$AB$211</definedName>
    <definedName name="Resource_CoalHauling">Ore_to_PI!$AU$211</definedName>
    <definedName name="Resource_COGdistribution">Ore_to_PI!$DW$238</definedName>
    <definedName name="Resource_COGtreatment">Ore_to_PI!$DC$238</definedName>
    <definedName name="Resource_CokeBeneficiation">Ore_to_PI!$CH$211</definedName>
    <definedName name="Resource_Cokeoven">Ore_to_PI!$CH$211</definedName>
    <definedName name="Resource_IronBeneficiation">Ore_to_PI!$BM$47</definedName>
    <definedName name="Resource_IronExtraction">Ore_to_PI!$AA$47</definedName>
    <definedName name="Resource_IronHauling">Ore_to_PI!$AT$47</definedName>
    <definedName name="Resource_Kiln">Ore_to_PI!$CG$131</definedName>
    <definedName name="Resource_LimeBeneficiation">Ore_to_PI!$BN$131</definedName>
    <definedName name="Resource_LimeExtraction">Ore_to_PI!$AA$131</definedName>
    <definedName name="Resource_LimeHauling">Ore_to_PI!$AU$131</definedName>
    <definedName name="Resource_MEROI_Coal">Ore_to_PI!$Q$195</definedName>
    <definedName name="Resource_MEROI_Iron">Ore_to_PI!$Q$29</definedName>
    <definedName name="Resource_MEROI_Limestone">Ore_to_PI!$Q$117</definedName>
    <definedName name="Resource_Mixer">Ore_to_PI!$DX$132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__B">B!$A$1:$B$37</definedName>
    <definedName name="S_units__BX">BX!$A$1:$B$76</definedName>
    <definedName name="S_units__MCC_B_RUVY_matrices_mat_level">MCC_B_RUVY_matrices_mat_level!$B$1:$C$37</definedName>
    <definedName name="S_units__X">X!$A$1:$B$59</definedName>
    <definedName name="S_units_M" localSheetId="5">MCC_h_RUVY_matrices_mat_level!$B$1:$C$37</definedName>
    <definedName name="S_units_M">MCC_M_RUVY_matrices_mat_level!$B$1:$C$36</definedName>
    <definedName name="SiO2_BF_in">Calculators!$I$42</definedName>
    <definedName name="Slag_BF_out">Calculators!$I$43</definedName>
    <definedName name="SO2_out_BF_from_COG">Calculators!$L$165</definedName>
    <definedName name="SO2_out_BF_from_coke">Calculators!$M$192</definedName>
    <definedName name="Statepoint_limestone_into_kiln">Ore_to_PI!$BQ$130:$CB$132</definedName>
    <definedName name="Statepoint_ore_into_bf">Ore_to_PI!$EB$130:$EM$134</definedName>
    <definedName name="Statepoint_ore_out_bf">Ore_to_PI!$FB$130:$FM$131</definedName>
    <definedName name="statepoint_slag_out_bf">Ore_to_PI!$FB$108:$FM$109</definedName>
    <definedName name="T_0">Constants!$N$5</definedName>
    <definedName name="T_kiln">Appx_exergy_account!$T$8</definedName>
    <definedName name="task_n">'Tables for Paper'!$C$42</definedName>
    <definedName name="U__B">B!$AN$81:$BC$117</definedName>
    <definedName name="U__BX">BX!$BI$123:$CL$180</definedName>
    <definedName name="U__MCC_B_RUVY_matrices_mat_level">MCC_B_RUVY_matrices_mat_level!$AT$86:$BI$122</definedName>
    <definedName name="U__MCC_h_RUVY_matrices_mat_level">MCC_h_RUVY_matrices_mat_level!$AQ$82:$BF$118</definedName>
    <definedName name="U__MCC_M_RUVY_matrices_mat_level">MCC_M_RUVY_matrices_mat_level!$AQ$82:$BF$118</definedName>
    <definedName name="U__X">X!$AD$89:$BR$129</definedName>
    <definedName name="U_EIOU__B">B!$AN$1:$BC$37</definedName>
    <definedName name="U_EIOU__BX">BX!$BI$1:$CL$58</definedName>
    <definedName name="U_EIOU__MCC_B_RUVY_matrices_mat_level">MCC_B_RUVY_matrices_mat_level!$AT$1:$BI$37</definedName>
    <definedName name="U_EIOU__MCC_h_RUVY_matrices_mat_level">MCC_h_RUVY_matrices_mat_level!$AQ$1:$BF$37</definedName>
    <definedName name="U_EIOU__MCC_M_RUVY_matrices_mat_level">MCC_M_RUVY_matrices_mat_level!$AQ$1:$BF$37</definedName>
    <definedName name="U_EIOU__X">X!$AD$1:$BR$41</definedName>
    <definedName name="U_feed__B">B!$AN$41:$BC$77</definedName>
    <definedName name="U_feed__BX">BX!$BI$62:$CL$119</definedName>
    <definedName name="U_feed__MCC_B_RUVY_matrices_mat_level">MCC_B_RUVY_matrices_mat_level!$AT$41:$BI$77</definedName>
    <definedName name="U_feed__MCC_h_RUVY_matrices_mat_level">MCC_h_RUVY_matrices_mat_level!$AQ$41:$BF$77</definedName>
    <definedName name="U_feed__MCC_M_RUVY_matrices_mat_level">MCC_M_RUVY_matrices_mat_level!$AQ$41:$BF$77</definedName>
    <definedName name="U_feed__X">X!$AD$45:$BR$85</definedName>
    <definedName name="V__B">B!$A$121:$AK$136</definedName>
    <definedName name="V__BX">BX!$A$184:$BF$213</definedName>
    <definedName name="V__MCC_B_RUVY_matrices_mat_level">MCC_B_RUVY_matrices_mat_level!$E$126:$AO$141</definedName>
    <definedName name="V__MCC_h_RUVY_matrices_mat_level">MCC_h_RUVY_matrices_mat_level!$B$122:$AL$137</definedName>
    <definedName name="V__MCC_M_RUVY_matrices_mat_level">MCC_M_RUVY_matrices_mat_level!$B$123:$AL$138</definedName>
    <definedName name="V__X">X!$A$133:$AA$147</definedName>
    <definedName name="Y__B">B!$BF$81:$BH$117</definedName>
    <definedName name="Y__BX">BX!$CO$123:$CQ$180</definedName>
    <definedName name="Y__MCC_B_RUVY_matrices_mat_level">MCC_B_RUVY_matrices_mat_level!$BN$86:$BP$122</definedName>
    <definedName name="Y__MCC_h_RUVY_matrices_mat_level">MCC_h_RUVY_matrices_mat_level!$BK$82:$BM$118</definedName>
    <definedName name="Y__MCC_M_RUVY_matrices_mat_level">MCC_M_RUVY_matrices_mat_level!$BK$83:$BM$119</definedName>
    <definedName name="Y__X">X!$BU$89:$DI$129</definedName>
    <definedName name="y_CaCO3">Ore_to_PI!$BW$130</definedName>
    <definedName name="y_MgCO3">Ore_to_PI!$BW$131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62" i="29" l="1"/>
  <c r="J59" i="29"/>
  <c r="J58" i="29"/>
  <c r="J57" i="29"/>
  <c r="J56" i="29"/>
  <c r="J55" i="29"/>
  <c r="J54" i="29"/>
  <c r="J53" i="29"/>
  <c r="J52" i="29"/>
  <c r="J51" i="29"/>
  <c r="J50" i="29"/>
  <c r="J49" i="29"/>
  <c r="J48" i="29"/>
  <c r="G62" i="29"/>
  <c r="E62" i="29"/>
  <c r="G61" i="29"/>
  <c r="G60" i="29"/>
  <c r="G59" i="29"/>
  <c r="E59" i="29"/>
  <c r="G58" i="29"/>
  <c r="G57" i="29"/>
  <c r="G56" i="29"/>
  <c r="E56" i="29"/>
  <c r="G55" i="29"/>
  <c r="E55" i="29"/>
  <c r="G54" i="29"/>
  <c r="E54" i="29"/>
  <c r="G53" i="29"/>
  <c r="E53" i="29"/>
  <c r="G52" i="29"/>
  <c r="E52" i="29"/>
  <c r="G51" i="29"/>
  <c r="E51" i="29"/>
  <c r="G50" i="29"/>
  <c r="E50" i="29"/>
  <c r="G49" i="29"/>
  <c r="G48" i="29"/>
  <c r="C59" i="29"/>
  <c r="I59" i="29" s="1"/>
  <c r="C58" i="29"/>
  <c r="I58" i="29" s="1"/>
  <c r="C57" i="29"/>
  <c r="I57" i="29" s="1"/>
  <c r="C56" i="29"/>
  <c r="I56" i="29" s="1"/>
  <c r="C55" i="29"/>
  <c r="I55" i="29" s="1"/>
  <c r="C54" i="29"/>
  <c r="I54" i="29" s="1"/>
  <c r="C48" i="29" a="1"/>
  <c r="G40" i="29"/>
  <c r="G39" i="29"/>
  <c r="G38" i="29"/>
  <c r="G37" i="29"/>
  <c r="G36" i="29"/>
  <c r="G35" i="29"/>
  <c r="G34" i="29"/>
  <c r="G33" i="29"/>
  <c r="G32" i="29"/>
  <c r="G31" i="29"/>
  <c r="G30" i="29"/>
  <c r="G29" i="29"/>
  <c r="G28" i="29"/>
  <c r="G27" i="29"/>
  <c r="G26" i="29"/>
  <c r="G25" i="29"/>
  <c r="G24" i="29"/>
  <c r="G23" i="29"/>
  <c r="G22" i="29"/>
  <c r="G21" i="29"/>
  <c r="G20" i="29"/>
  <c r="G19" i="29"/>
  <c r="G18" i="29"/>
  <c r="G17" i="29"/>
  <c r="G16" i="29"/>
  <c r="G15" i="29"/>
  <c r="G14" i="29"/>
  <c r="G13" i="29"/>
  <c r="G12" i="29"/>
  <c r="G11" i="29"/>
  <c r="G10" i="29"/>
  <c r="G9" i="29"/>
  <c r="G8" i="29"/>
  <c r="G7" i="29"/>
  <c r="G6" i="29"/>
  <c r="I40" i="29"/>
  <c r="I39" i="29"/>
  <c r="I38" i="29"/>
  <c r="I37" i="29"/>
  <c r="I36" i="29"/>
  <c r="I27" i="29"/>
  <c r="I26" i="29"/>
  <c r="I25" i="29"/>
  <c r="I24" i="29"/>
  <c r="I17" i="29"/>
  <c r="I16" i="29"/>
  <c r="I15" i="29"/>
  <c r="I14" i="29"/>
  <c r="I13" i="29"/>
  <c r="I12" i="29"/>
  <c r="I5" i="29" a="1"/>
  <c r="G5" i="29"/>
  <c r="E5" i="29" a="1"/>
  <c r="C20" i="29"/>
  <c r="C19" i="29"/>
  <c r="C5" i="29" a="1"/>
  <c r="AY64" i="9"/>
  <c r="AV64" i="9"/>
  <c r="AW64" i="9"/>
  <c r="AX64" i="9" s="1"/>
  <c r="AW141" i="9"/>
  <c r="AZ141" i="9" s="1"/>
  <c r="AX141" i="9"/>
  <c r="AY141" i="9" s="1"/>
  <c r="AD78" i="9"/>
  <c r="AE78" i="9" s="1"/>
  <c r="AD159" i="9"/>
  <c r="AE159" i="9" s="1"/>
  <c r="AW227" i="9"/>
  <c r="AZ227" i="9" s="1"/>
  <c r="AX227" i="9"/>
  <c r="AY227" i="9" s="1"/>
  <c r="BS227" i="9"/>
  <c r="BP227" i="9"/>
  <c r="BQ227" i="9"/>
  <c r="BR227" i="9" s="1"/>
  <c r="DE250" i="9"/>
  <c r="DG250" i="9"/>
  <c r="AE242" i="9"/>
  <c r="AF242" i="9" s="1"/>
  <c r="BU118" i="9"/>
  <c r="BR118" i="9"/>
  <c r="BR74" i="9"/>
  <c r="CN293" i="9"/>
  <c r="CK155" i="9"/>
  <c r="CL155" i="9"/>
  <c r="FC161" i="9"/>
  <c r="H44" i="25"/>
  <c r="G43" i="25"/>
  <c r="D43" i="25"/>
  <c r="H43" i="25" s="1"/>
  <c r="D33" i="25"/>
  <c r="G31" i="25" s="1"/>
  <c r="E19" i="25"/>
  <c r="E18" i="25"/>
  <c r="D7" i="25"/>
  <c r="G6" i="25"/>
  <c r="G5" i="25"/>
  <c r="AF111" i="14"/>
  <c r="AG111" i="14" s="1"/>
  <c r="AF110" i="14"/>
  <c r="AG110" i="14" s="1"/>
  <c r="AF109" i="14"/>
  <c r="AG109" i="14" s="1"/>
  <c r="AG108" i="14"/>
  <c r="AF108" i="14"/>
  <c r="AF107" i="14"/>
  <c r="AG107" i="14" s="1"/>
  <c r="AF106" i="14"/>
  <c r="AG106" i="14" s="1"/>
  <c r="AF105" i="14"/>
  <c r="AG105" i="14" s="1"/>
  <c r="AG104" i="14"/>
  <c r="AF104" i="14"/>
  <c r="AF103" i="14"/>
  <c r="AG103" i="14" s="1"/>
  <c r="AF102" i="14"/>
  <c r="AG102" i="14" s="1"/>
  <c r="AF101" i="14"/>
  <c r="AG101" i="14" s="1"/>
  <c r="AG100" i="14"/>
  <c r="AF100" i="14"/>
  <c r="AF99" i="14"/>
  <c r="AG99" i="14" s="1"/>
  <c r="AF98" i="14"/>
  <c r="AG98" i="14" s="1"/>
  <c r="AF97" i="14"/>
  <c r="AG97" i="14" s="1"/>
  <c r="AG96" i="14"/>
  <c r="AF96" i="14"/>
  <c r="AF95" i="14"/>
  <c r="AG95" i="14" s="1"/>
  <c r="AF94" i="14"/>
  <c r="AG94" i="14" s="1"/>
  <c r="AF93" i="14"/>
  <c r="AG93" i="14" s="1"/>
  <c r="AG92" i="14"/>
  <c r="AF92" i="14"/>
  <c r="AF91" i="14"/>
  <c r="AG91" i="14" s="1"/>
  <c r="AF90" i="14"/>
  <c r="AG90" i="14" s="1"/>
  <c r="AF89" i="14"/>
  <c r="AG89" i="14" s="1"/>
  <c r="AG88" i="14"/>
  <c r="AF88" i="14"/>
  <c r="AF87" i="14"/>
  <c r="AG87" i="14" s="1"/>
  <c r="AF86" i="14"/>
  <c r="AG86" i="14" s="1"/>
  <c r="AF85" i="14"/>
  <c r="AG85" i="14" s="1"/>
  <c r="AG84" i="14"/>
  <c r="AF84" i="14"/>
  <c r="AF83" i="14"/>
  <c r="AG83" i="14" s="1"/>
  <c r="AF82" i="14"/>
  <c r="AG82" i="14" s="1"/>
  <c r="AF81" i="14"/>
  <c r="AG81" i="14" s="1"/>
  <c r="AG80" i="14"/>
  <c r="AF80" i="14"/>
  <c r="AF79" i="14"/>
  <c r="AG79" i="14" s="1"/>
  <c r="AF78" i="14"/>
  <c r="AG78" i="14" s="1"/>
  <c r="AF77" i="14"/>
  <c r="AG77" i="14" s="1"/>
  <c r="AG76" i="14"/>
  <c r="AF76" i="14"/>
  <c r="AF75" i="14"/>
  <c r="AG75" i="14" s="1"/>
  <c r="AF74" i="14"/>
  <c r="AG74" i="14" s="1"/>
  <c r="AF73" i="14"/>
  <c r="AG73" i="14" s="1"/>
  <c r="AG72" i="14"/>
  <c r="AF72" i="14"/>
  <c r="AF71" i="14"/>
  <c r="AG71" i="14" s="1"/>
  <c r="AF70" i="14"/>
  <c r="AG70" i="14" s="1"/>
  <c r="AF69" i="14"/>
  <c r="AG69" i="14" s="1"/>
  <c r="AG68" i="14"/>
  <c r="AF68" i="14"/>
  <c r="AF67" i="14"/>
  <c r="AG67" i="14" s="1"/>
  <c r="AF66" i="14"/>
  <c r="AG66" i="14" s="1"/>
  <c r="AF65" i="14"/>
  <c r="AG65" i="14" s="1"/>
  <c r="AA65" i="14"/>
  <c r="X65" i="14"/>
  <c r="S65" i="14"/>
  <c r="N65" i="14"/>
  <c r="U65" i="14" s="1"/>
  <c r="AF64" i="14"/>
  <c r="AG64" i="14" s="1"/>
  <c r="AA64" i="14"/>
  <c r="X64" i="14"/>
  <c r="U64" i="14"/>
  <c r="S64" i="14"/>
  <c r="N64" i="14"/>
  <c r="AF63" i="14"/>
  <c r="AG63" i="14" s="1"/>
  <c r="AA63" i="14"/>
  <c r="X63" i="14"/>
  <c r="S63" i="14"/>
  <c r="N63" i="14"/>
  <c r="U63" i="14" s="1"/>
  <c r="AF62" i="14"/>
  <c r="AG62" i="14" s="1"/>
  <c r="AA62" i="14"/>
  <c r="X62" i="14"/>
  <c r="U62" i="14"/>
  <c r="S62" i="14"/>
  <c r="N62" i="14"/>
  <c r="AF61" i="14"/>
  <c r="AG61" i="14" s="1"/>
  <c r="AA61" i="14"/>
  <c r="X61" i="14"/>
  <c r="S61" i="14"/>
  <c r="N61" i="14"/>
  <c r="U61" i="14" s="1"/>
  <c r="AF60" i="14"/>
  <c r="AG60" i="14" s="1"/>
  <c r="AA60" i="14"/>
  <c r="X60" i="14"/>
  <c r="U60" i="14"/>
  <c r="S60" i="14"/>
  <c r="N60" i="14"/>
  <c r="AF59" i="14"/>
  <c r="AG59" i="14" s="1"/>
  <c r="AA59" i="14"/>
  <c r="X59" i="14"/>
  <c r="S59" i="14"/>
  <c r="N59" i="14"/>
  <c r="U59" i="14" s="1"/>
  <c r="AF58" i="14"/>
  <c r="AG58" i="14" s="1"/>
  <c r="AA58" i="14"/>
  <c r="X58" i="14"/>
  <c r="U58" i="14"/>
  <c r="S58" i="14"/>
  <c r="N58" i="14"/>
  <c r="AF57" i="14"/>
  <c r="AG57" i="14" s="1"/>
  <c r="AA57" i="14"/>
  <c r="X57" i="14"/>
  <c r="S57" i="14"/>
  <c r="N57" i="14"/>
  <c r="U57" i="14" s="1"/>
  <c r="AF56" i="14"/>
  <c r="AG56" i="14" s="1"/>
  <c r="AA56" i="14"/>
  <c r="X56" i="14"/>
  <c r="U56" i="14"/>
  <c r="S56" i="14"/>
  <c r="N56" i="14"/>
  <c r="AF55" i="14"/>
  <c r="AG55" i="14" s="1"/>
  <c r="AA55" i="14"/>
  <c r="X55" i="14"/>
  <c r="S55" i="14"/>
  <c r="N55" i="14"/>
  <c r="U55" i="14" s="1"/>
  <c r="AF54" i="14"/>
  <c r="AG54" i="14" s="1"/>
  <c r="AA54" i="14"/>
  <c r="X54" i="14"/>
  <c r="U54" i="14"/>
  <c r="S54" i="14"/>
  <c r="N54" i="14"/>
  <c r="AF53" i="14"/>
  <c r="AG53" i="14" s="1"/>
  <c r="AA53" i="14"/>
  <c r="X53" i="14"/>
  <c r="S53" i="14"/>
  <c r="N53" i="14"/>
  <c r="U53" i="14" s="1"/>
  <c r="AF52" i="14"/>
  <c r="AG52" i="14" s="1"/>
  <c r="AA52" i="14"/>
  <c r="X52" i="14"/>
  <c r="U52" i="14"/>
  <c r="S52" i="14"/>
  <c r="N52" i="14"/>
  <c r="AF51" i="14"/>
  <c r="AG51" i="14" s="1"/>
  <c r="AA51" i="14"/>
  <c r="X51" i="14"/>
  <c r="S51" i="14"/>
  <c r="N51" i="14"/>
  <c r="U51" i="14" s="1"/>
  <c r="AF50" i="14"/>
  <c r="AG50" i="14" s="1"/>
  <c r="AB50" i="14"/>
  <c r="Y50" i="14"/>
  <c r="V50" i="14"/>
  <c r="U50" i="14"/>
  <c r="T50" i="14"/>
  <c r="AF49" i="14"/>
  <c r="AG49" i="14" s="1"/>
  <c r="AG48" i="14"/>
  <c r="AF48" i="14"/>
  <c r="AG47" i="14"/>
  <c r="AF47" i="14"/>
  <c r="AG46" i="14"/>
  <c r="AF46" i="14"/>
  <c r="AF45" i="14"/>
  <c r="AG45" i="14" s="1"/>
  <c r="AG44" i="14"/>
  <c r="AF44" i="14"/>
  <c r="AG43" i="14"/>
  <c r="AF43" i="14"/>
  <c r="AG42" i="14"/>
  <c r="AF42" i="14"/>
  <c r="AG41" i="14"/>
  <c r="AF41" i="14"/>
  <c r="AF40" i="14"/>
  <c r="AG40" i="14" s="1"/>
  <c r="AG39" i="14"/>
  <c r="AF39" i="14"/>
  <c r="AF38" i="14"/>
  <c r="AG38" i="14" s="1"/>
  <c r="AG37" i="14"/>
  <c r="AF37" i="14"/>
  <c r="AF36" i="14"/>
  <c r="AG36" i="14" s="1"/>
  <c r="AG35" i="14"/>
  <c r="AF35" i="14"/>
  <c r="AF34" i="14"/>
  <c r="AG34" i="14" s="1"/>
  <c r="AG33" i="14"/>
  <c r="AF33" i="14"/>
  <c r="E33" i="14"/>
  <c r="AG32" i="14"/>
  <c r="AF32" i="14"/>
  <c r="AF31" i="14"/>
  <c r="AG31" i="14" s="1"/>
  <c r="AG30" i="14"/>
  <c r="AF30" i="14"/>
  <c r="AF29" i="14"/>
  <c r="AG29" i="14" s="1"/>
  <c r="AG28" i="14"/>
  <c r="AF28" i="14"/>
  <c r="AF27" i="14"/>
  <c r="AG27" i="14" s="1"/>
  <c r="AG26" i="14"/>
  <c r="AF26" i="14"/>
  <c r="AF25" i="14"/>
  <c r="AG25" i="14" s="1"/>
  <c r="AG24" i="14"/>
  <c r="AF24" i="14"/>
  <c r="G24" i="14"/>
  <c r="F24" i="14"/>
  <c r="E24" i="14"/>
  <c r="AF23" i="14"/>
  <c r="AG23" i="14" s="1"/>
  <c r="AG22" i="14"/>
  <c r="AF22" i="14"/>
  <c r="AF21" i="14"/>
  <c r="AG21" i="14" s="1"/>
  <c r="AG20" i="14"/>
  <c r="AF20" i="14"/>
  <c r="AF19" i="14"/>
  <c r="AG19" i="14" s="1"/>
  <c r="AG18" i="14"/>
  <c r="AF18" i="14"/>
  <c r="AG17" i="14"/>
  <c r="AF17" i="14"/>
  <c r="AF16" i="14"/>
  <c r="AG16" i="14" s="1"/>
  <c r="G16" i="14"/>
  <c r="F16" i="14"/>
  <c r="E16" i="14"/>
  <c r="AF15" i="14"/>
  <c r="AG15" i="14" s="1"/>
  <c r="AG14" i="14"/>
  <c r="AF14" i="14"/>
  <c r="AG13" i="14"/>
  <c r="AF13" i="14"/>
  <c r="AG12" i="14"/>
  <c r="AF12" i="14"/>
  <c r="AF11" i="14"/>
  <c r="AG11" i="14" s="1"/>
  <c r="AG10" i="14"/>
  <c r="AF10" i="14"/>
  <c r="AG9" i="14"/>
  <c r="AF9" i="14"/>
  <c r="AG8" i="14"/>
  <c r="AF8" i="14"/>
  <c r="AF7" i="14"/>
  <c r="AG7" i="14" s="1"/>
  <c r="G7" i="14"/>
  <c r="F7" i="14"/>
  <c r="E7" i="14"/>
  <c r="AG6" i="14"/>
  <c r="AF6" i="14"/>
  <c r="AG5" i="14"/>
  <c r="AF5" i="14"/>
  <c r="AG4" i="14"/>
  <c r="AF4" i="14"/>
  <c r="AG3" i="14"/>
  <c r="AF3" i="14"/>
  <c r="E15" i="13"/>
  <c r="N12" i="13"/>
  <c r="F8" i="13"/>
  <c r="E7" i="13"/>
  <c r="J136" i="24"/>
  <c r="J130" i="24"/>
  <c r="J121" i="24"/>
  <c r="J112" i="24"/>
  <c r="N95" i="24"/>
  <c r="N74" i="24"/>
  <c r="M74" i="24"/>
  <c r="L74" i="24"/>
  <c r="K74" i="24"/>
  <c r="J74" i="24"/>
  <c r="I74" i="24"/>
  <c r="H74" i="24"/>
  <c r="G74" i="24"/>
  <c r="F74" i="24"/>
  <c r="BI53" i="24"/>
  <c r="J137" i="24" s="1"/>
  <c r="BI52" i="24"/>
  <c r="BI51" i="24"/>
  <c r="J135" i="24" s="1"/>
  <c r="BP50" i="24"/>
  <c r="BP48" i="24"/>
  <c r="BI47" i="24"/>
  <c r="J131" i="24" s="1"/>
  <c r="BI46" i="24"/>
  <c r="BI45" i="24"/>
  <c r="J129" i="24" s="1"/>
  <c r="BP44" i="24"/>
  <c r="BP43" i="24"/>
  <c r="BI42" i="24"/>
  <c r="J126" i="24" s="1"/>
  <c r="BI41" i="24"/>
  <c r="J125" i="24" s="1"/>
  <c r="BP40" i="24"/>
  <c r="BP39" i="24"/>
  <c r="BP38" i="24"/>
  <c r="BI37" i="24"/>
  <c r="BP36" i="24"/>
  <c r="BP35" i="24"/>
  <c r="BP34" i="24"/>
  <c r="BP33" i="24"/>
  <c r="BI32" i="24"/>
  <c r="J116" i="24" s="1"/>
  <c r="BP31" i="24"/>
  <c r="BI30" i="24"/>
  <c r="J114" i="24" s="1"/>
  <c r="BP29" i="24"/>
  <c r="BI28" i="24"/>
  <c r="BP27" i="24"/>
  <c r="BP26" i="24"/>
  <c r="BI26" i="24"/>
  <c r="J110" i="24" s="1"/>
  <c r="BP25" i="24"/>
  <c r="BP24" i="24"/>
  <c r="BP23" i="24"/>
  <c r="BP22" i="24"/>
  <c r="BP21" i="24"/>
  <c r="BP20" i="24"/>
  <c r="BP19" i="24"/>
  <c r="BP18" i="24"/>
  <c r="J137" i="23"/>
  <c r="J132" i="23"/>
  <c r="J107" i="23"/>
  <c r="J106" i="23"/>
  <c r="J103" i="23"/>
  <c r="N94" i="23"/>
  <c r="M94" i="23"/>
  <c r="L94" i="23"/>
  <c r="K94" i="23"/>
  <c r="J94" i="23"/>
  <c r="I94" i="23"/>
  <c r="G94" i="23"/>
  <c r="AO73" i="23"/>
  <c r="AN73" i="23"/>
  <c r="AM73" i="23"/>
  <c r="AL73" i="23"/>
  <c r="AK73" i="23"/>
  <c r="AJ73" i="23"/>
  <c r="AI73" i="23"/>
  <c r="AD73" i="23"/>
  <c r="AC73" i="23"/>
  <c r="AB73" i="23"/>
  <c r="AA73" i="23"/>
  <c r="Z73" i="23"/>
  <c r="Y73" i="23"/>
  <c r="X73" i="23"/>
  <c r="W73" i="23"/>
  <c r="V73" i="23"/>
  <c r="U73" i="23"/>
  <c r="T73" i="23"/>
  <c r="S73" i="23"/>
  <c r="R73" i="23"/>
  <c r="Q73" i="23"/>
  <c r="P73" i="23"/>
  <c r="O73" i="23"/>
  <c r="N73" i="23"/>
  <c r="M73" i="23"/>
  <c r="L73" i="23"/>
  <c r="K73" i="23"/>
  <c r="J73" i="23"/>
  <c r="I73" i="23"/>
  <c r="H73" i="23"/>
  <c r="G73" i="23"/>
  <c r="F73" i="23"/>
  <c r="AP71" i="23"/>
  <c r="AP70" i="23"/>
  <c r="AP69" i="23"/>
  <c r="AP68" i="23"/>
  <c r="AP66" i="23"/>
  <c r="AP65" i="23"/>
  <c r="AP64" i="23"/>
  <c r="AP63" i="23"/>
  <c r="AP62" i="23"/>
  <c r="AP61" i="23"/>
  <c r="AP60" i="23"/>
  <c r="AP59" i="23"/>
  <c r="AP58" i="23"/>
  <c r="AP57" i="23"/>
  <c r="BG55" i="23"/>
  <c r="BF55" i="23"/>
  <c r="BE55" i="23"/>
  <c r="BC55" i="23"/>
  <c r="BB55" i="23"/>
  <c r="BA55" i="23"/>
  <c r="AZ55" i="23"/>
  <c r="AY55" i="23"/>
  <c r="AX55" i="23"/>
  <c r="AW55" i="23"/>
  <c r="AU55" i="23"/>
  <c r="AT55" i="23"/>
  <c r="BP53" i="23"/>
  <c r="BI53" i="23"/>
  <c r="BP52" i="23"/>
  <c r="BI52" i="23"/>
  <c r="J136" i="23" s="1"/>
  <c r="BP51" i="23"/>
  <c r="BI51" i="23"/>
  <c r="J135" i="23" s="1"/>
  <c r="BP50" i="23"/>
  <c r="BP49" i="23"/>
  <c r="BI49" i="23"/>
  <c r="J133" i="23" s="1"/>
  <c r="BP48" i="23"/>
  <c r="BI48" i="23"/>
  <c r="BP47" i="23"/>
  <c r="BI47" i="23"/>
  <c r="J131" i="23" s="1"/>
  <c r="BI46" i="23"/>
  <c r="J130" i="23" s="1"/>
  <c r="BP45" i="23"/>
  <c r="BI45" i="23"/>
  <c r="J129" i="23" s="1"/>
  <c r="BP44" i="23"/>
  <c r="BI44" i="23"/>
  <c r="J128" i="23" s="1"/>
  <c r="BP43" i="23"/>
  <c r="BI43" i="23"/>
  <c r="J127" i="23" s="1"/>
  <c r="BP42" i="23"/>
  <c r="BI42" i="23"/>
  <c r="J126" i="23" s="1"/>
  <c r="BP41" i="23"/>
  <c r="BI41" i="23"/>
  <c r="J125" i="23" s="1"/>
  <c r="BP40" i="23"/>
  <c r="BI40" i="23"/>
  <c r="J124" i="23" s="1"/>
  <c r="BP39" i="23"/>
  <c r="BP38" i="23"/>
  <c r="BI38" i="23"/>
  <c r="J122" i="23" s="1"/>
  <c r="BP37" i="23"/>
  <c r="BI37" i="23"/>
  <c r="J121" i="23" s="1"/>
  <c r="BP36" i="23"/>
  <c r="BI36" i="23"/>
  <c r="J120" i="23" s="1"/>
  <c r="BP35" i="23"/>
  <c r="BI35" i="23"/>
  <c r="J119" i="23" s="1"/>
  <c r="BP34" i="23"/>
  <c r="BI34" i="23"/>
  <c r="J118" i="23" s="1"/>
  <c r="BP33" i="23"/>
  <c r="BI33" i="23"/>
  <c r="J117" i="23" s="1"/>
  <c r="BP32" i="23"/>
  <c r="BI32" i="23"/>
  <c r="J116" i="23" s="1"/>
  <c r="BP31" i="23"/>
  <c r="BI31" i="23"/>
  <c r="J115" i="23" s="1"/>
  <c r="BP30" i="23"/>
  <c r="BI30" i="23"/>
  <c r="J114" i="23" s="1"/>
  <c r="BP29" i="23"/>
  <c r="BI29" i="23"/>
  <c r="J113" i="23" s="1"/>
  <c r="BP28" i="23"/>
  <c r="BI28" i="23"/>
  <c r="J112" i="23" s="1"/>
  <c r="BP27" i="23"/>
  <c r="BI27" i="23"/>
  <c r="J111" i="23" s="1"/>
  <c r="BP26" i="23"/>
  <c r="BI26" i="23"/>
  <c r="J110" i="23" s="1"/>
  <c r="BP25" i="23"/>
  <c r="BI25" i="23"/>
  <c r="J109" i="23" s="1"/>
  <c r="BP24" i="23"/>
  <c r="BI24" i="23"/>
  <c r="J108" i="23" s="1"/>
  <c r="BP23" i="23"/>
  <c r="BI23" i="23"/>
  <c r="BP22" i="23"/>
  <c r="BI22" i="23"/>
  <c r="BP21" i="23"/>
  <c r="BP20" i="23"/>
  <c r="BP19" i="23"/>
  <c r="BI19" i="23"/>
  <c r="BP18" i="23"/>
  <c r="BI18" i="23"/>
  <c r="J102" i="23" s="1"/>
  <c r="G193" i="22"/>
  <c r="G184" i="22"/>
  <c r="AL162" i="22"/>
  <c r="AK162" i="22"/>
  <c r="AJ162" i="22"/>
  <c r="AI162" i="22"/>
  <c r="AH162" i="22"/>
  <c r="AG162" i="22"/>
  <c r="AF162" i="22"/>
  <c r="AE162" i="22"/>
  <c r="AD162" i="22"/>
  <c r="AC162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G156" i="22"/>
  <c r="G162" i="22" s="1"/>
  <c r="K139" i="22"/>
  <c r="J139" i="22"/>
  <c r="I139" i="22"/>
  <c r="H139" i="22"/>
  <c r="G139" i="22"/>
  <c r="F139" i="22"/>
  <c r="E139" i="22"/>
  <c r="D139" i="22"/>
  <c r="C139" i="22"/>
  <c r="BG118" i="22"/>
  <c r="G205" i="22" s="1"/>
  <c r="BG117" i="22"/>
  <c r="G204" i="22" s="1"/>
  <c r="BG116" i="22"/>
  <c r="G203" i="22" s="1"/>
  <c r="BN115" i="22"/>
  <c r="BN113" i="22"/>
  <c r="BG112" i="22"/>
  <c r="G199" i="22" s="1"/>
  <c r="BG111" i="22"/>
  <c r="G198" i="22" s="1"/>
  <c r="BG110" i="22"/>
  <c r="BN109" i="22"/>
  <c r="BN108" i="22"/>
  <c r="BG107" i="22"/>
  <c r="G194" i="22" s="1"/>
  <c r="BG106" i="22"/>
  <c r="BN105" i="22"/>
  <c r="BN104" i="22"/>
  <c r="BN103" i="22"/>
  <c r="BG102" i="22"/>
  <c r="G189" i="22" s="1"/>
  <c r="BN101" i="22"/>
  <c r="BN100" i="22"/>
  <c r="BN99" i="22"/>
  <c r="BN98" i="22"/>
  <c r="BG97" i="22"/>
  <c r="BN96" i="22"/>
  <c r="BG95" i="22"/>
  <c r="G182" i="22" s="1"/>
  <c r="BN94" i="22"/>
  <c r="BG93" i="22"/>
  <c r="G180" i="22" s="1"/>
  <c r="BN92" i="22"/>
  <c r="BN91" i="22"/>
  <c r="BG91" i="22"/>
  <c r="G178" i="22" s="1"/>
  <c r="BN90" i="22"/>
  <c r="BN89" i="22"/>
  <c r="BN88" i="22"/>
  <c r="BN87" i="22"/>
  <c r="BN86" i="22"/>
  <c r="BN85" i="22"/>
  <c r="BN84" i="22"/>
  <c r="BN83" i="22"/>
  <c r="BF77" i="22"/>
  <c r="BE77" i="22"/>
  <c r="BD77" i="22"/>
  <c r="BC77" i="22"/>
  <c r="BB77" i="22"/>
  <c r="BA77" i="22"/>
  <c r="AZ77" i="22"/>
  <c r="AY77" i="22"/>
  <c r="AX77" i="22"/>
  <c r="AW77" i="22"/>
  <c r="AV77" i="22"/>
  <c r="AU77" i="22"/>
  <c r="AT77" i="22"/>
  <c r="AS77" i="22"/>
  <c r="AR77" i="22"/>
  <c r="BF76" i="22"/>
  <c r="BE76" i="22"/>
  <c r="BD76" i="22"/>
  <c r="BC76" i="22"/>
  <c r="BB76" i="22"/>
  <c r="BA76" i="22"/>
  <c r="AZ76" i="22"/>
  <c r="AY76" i="22"/>
  <c r="AX76" i="22"/>
  <c r="AW76" i="22"/>
  <c r="AV76" i="22"/>
  <c r="AU76" i="22"/>
  <c r="AT76" i="22"/>
  <c r="AS76" i="22"/>
  <c r="AR76" i="22"/>
  <c r="BF75" i="22"/>
  <c r="BE75" i="22"/>
  <c r="BD75" i="22"/>
  <c r="BC75" i="22"/>
  <c r="BB75" i="22"/>
  <c r="BA75" i="22"/>
  <c r="AZ75" i="22"/>
  <c r="AY75" i="22"/>
  <c r="AX75" i="22"/>
  <c r="AW75" i="22"/>
  <c r="AV75" i="22"/>
  <c r="AU75" i="22"/>
  <c r="AT75" i="22"/>
  <c r="AS75" i="22"/>
  <c r="AR75" i="22"/>
  <c r="BE74" i="22"/>
  <c r="BD74" i="22"/>
  <c r="BC74" i="22"/>
  <c r="BB74" i="22"/>
  <c r="BA74" i="22"/>
  <c r="AZ74" i="22"/>
  <c r="AY74" i="22"/>
  <c r="AX74" i="22"/>
  <c r="AW74" i="22"/>
  <c r="AV74" i="22"/>
  <c r="AU74" i="22"/>
  <c r="AT74" i="22"/>
  <c r="AS74" i="22"/>
  <c r="AR74" i="22"/>
  <c r="BE73" i="22"/>
  <c r="BD73" i="22"/>
  <c r="BC73" i="22"/>
  <c r="BB73" i="22"/>
  <c r="BA73" i="22"/>
  <c r="AZ73" i="22"/>
  <c r="AY73" i="22"/>
  <c r="AX73" i="22"/>
  <c r="AW73" i="22"/>
  <c r="AV73" i="22"/>
  <c r="AU73" i="22"/>
  <c r="AT73" i="22"/>
  <c r="AS73" i="22"/>
  <c r="AR73" i="22"/>
  <c r="BF72" i="22"/>
  <c r="BE72" i="22"/>
  <c r="BC72" i="22"/>
  <c r="BB72" i="22"/>
  <c r="BA72" i="22"/>
  <c r="AZ72" i="22"/>
  <c r="AY72" i="22"/>
  <c r="AX72" i="22"/>
  <c r="AW72" i="22"/>
  <c r="AV72" i="22"/>
  <c r="AU72" i="22"/>
  <c r="AT72" i="22"/>
  <c r="AS72" i="22"/>
  <c r="AR72" i="22"/>
  <c r="BF71" i="22"/>
  <c r="BE71" i="22"/>
  <c r="BD71" i="22"/>
  <c r="BC71" i="22"/>
  <c r="BB71" i="22"/>
  <c r="BA71" i="22"/>
  <c r="AZ71" i="22"/>
  <c r="AY71" i="22"/>
  <c r="AX71" i="22"/>
  <c r="AW71" i="22"/>
  <c r="AV71" i="22"/>
  <c r="AU71" i="22"/>
  <c r="AT71" i="22"/>
  <c r="AS71" i="22"/>
  <c r="AR71" i="22"/>
  <c r="BF70" i="22"/>
  <c r="BE70" i="22"/>
  <c r="BD70" i="22"/>
  <c r="BC70" i="22"/>
  <c r="BB70" i="22"/>
  <c r="BA70" i="22"/>
  <c r="AZ70" i="22"/>
  <c r="AY70" i="22"/>
  <c r="AX70" i="22"/>
  <c r="AW70" i="22"/>
  <c r="AV70" i="22"/>
  <c r="AU70" i="22"/>
  <c r="AT70" i="22"/>
  <c r="AS70" i="22"/>
  <c r="AR70" i="22"/>
  <c r="BF69" i="22"/>
  <c r="BE69" i="22"/>
  <c r="BD69" i="22"/>
  <c r="BC69" i="22"/>
  <c r="BB69" i="22"/>
  <c r="BA69" i="22"/>
  <c r="AZ69" i="22"/>
  <c r="AY69" i="22"/>
  <c r="AX69" i="22"/>
  <c r="AW69" i="22"/>
  <c r="AV69" i="22"/>
  <c r="AU69" i="22"/>
  <c r="AT69" i="22"/>
  <c r="AS69" i="22"/>
  <c r="AR69" i="22"/>
  <c r="BF68" i="22"/>
  <c r="BE68" i="22"/>
  <c r="BD68" i="22"/>
  <c r="BB68" i="22"/>
  <c r="BA68" i="22"/>
  <c r="AZ68" i="22"/>
  <c r="AY68" i="22"/>
  <c r="AX68" i="22"/>
  <c r="AW68" i="22"/>
  <c r="AV68" i="22"/>
  <c r="AU68" i="22"/>
  <c r="AT68" i="22"/>
  <c r="AS68" i="22"/>
  <c r="AR68" i="22"/>
  <c r="BF67" i="22"/>
  <c r="BD67" i="22"/>
  <c r="BC67" i="22"/>
  <c r="BB67" i="22"/>
  <c r="BA67" i="22"/>
  <c r="AZ67" i="22"/>
  <c r="AY67" i="22"/>
  <c r="AX67" i="22"/>
  <c r="AW67" i="22"/>
  <c r="AV67" i="22"/>
  <c r="AU67" i="22"/>
  <c r="AT67" i="22"/>
  <c r="AS67" i="22"/>
  <c r="AR67" i="22"/>
  <c r="BF66" i="22"/>
  <c r="BE66" i="22"/>
  <c r="BD66" i="22"/>
  <c r="BC66" i="22"/>
  <c r="BB66" i="22"/>
  <c r="BA66" i="22"/>
  <c r="AZ66" i="22"/>
  <c r="AY66" i="22"/>
  <c r="AX66" i="22"/>
  <c r="AW66" i="22"/>
  <c r="AV66" i="22"/>
  <c r="AU66" i="22"/>
  <c r="AT66" i="22"/>
  <c r="AS66" i="22"/>
  <c r="AR66" i="22"/>
  <c r="BF65" i="22"/>
  <c r="BE65" i="22"/>
  <c r="BD65" i="22"/>
  <c r="BC65" i="22"/>
  <c r="BB65" i="22"/>
  <c r="BA65" i="22"/>
  <c r="AZ65" i="22"/>
  <c r="AY65" i="22"/>
  <c r="AX65" i="22"/>
  <c r="AW65" i="22"/>
  <c r="AV65" i="22"/>
  <c r="AU65" i="22"/>
  <c r="AT65" i="22"/>
  <c r="AS65" i="22"/>
  <c r="AR65" i="22"/>
  <c r="BF64" i="22"/>
  <c r="BD64" i="22"/>
  <c r="BC64" i="22"/>
  <c r="BB64" i="22"/>
  <c r="BA64" i="22"/>
  <c r="AZ64" i="22"/>
  <c r="AY64" i="22"/>
  <c r="AX64" i="22"/>
  <c r="AW64" i="22"/>
  <c r="AV64" i="22"/>
  <c r="AU64" i="22"/>
  <c r="AT64" i="22"/>
  <c r="AS64" i="22"/>
  <c r="AR64" i="22"/>
  <c r="BF63" i="22"/>
  <c r="BE63" i="22"/>
  <c r="BD63" i="22"/>
  <c r="BC63" i="22"/>
  <c r="BA63" i="22"/>
  <c r="AZ63" i="22"/>
  <c r="AY63" i="22"/>
  <c r="AX63" i="22"/>
  <c r="AW63" i="22"/>
  <c r="AV63" i="22"/>
  <c r="AU63" i="22"/>
  <c r="AT63" i="22"/>
  <c r="AS63" i="22"/>
  <c r="AR63" i="22"/>
  <c r="BF62" i="22"/>
  <c r="BE62" i="22"/>
  <c r="BD62" i="22"/>
  <c r="BC62" i="22"/>
  <c r="BB62" i="22"/>
  <c r="AZ62" i="22"/>
  <c r="AY62" i="22"/>
  <c r="AX62" i="22"/>
  <c r="AW62" i="22"/>
  <c r="AV62" i="22"/>
  <c r="AU62" i="22"/>
  <c r="AT62" i="22"/>
  <c r="AS62" i="22"/>
  <c r="AR62" i="22"/>
  <c r="BF61" i="22"/>
  <c r="BE61" i="22"/>
  <c r="BD61" i="22"/>
  <c r="BC61" i="22"/>
  <c r="BB61" i="22"/>
  <c r="BA61" i="22"/>
  <c r="AZ61" i="22"/>
  <c r="AY61" i="22"/>
  <c r="AX61" i="22"/>
  <c r="AW61" i="22"/>
  <c r="AV61" i="22"/>
  <c r="AU61" i="22"/>
  <c r="AT61" i="22"/>
  <c r="AS61" i="22"/>
  <c r="AR61" i="22"/>
  <c r="BF60" i="22"/>
  <c r="BD60" i="22"/>
  <c r="BC60" i="22"/>
  <c r="BB60" i="22"/>
  <c r="BA60" i="22"/>
  <c r="AZ60" i="22"/>
  <c r="AY60" i="22"/>
  <c r="AX60" i="22"/>
  <c r="AW60" i="22"/>
  <c r="AV60" i="22"/>
  <c r="AU60" i="22"/>
  <c r="AT60" i="22"/>
  <c r="AS60" i="22"/>
  <c r="AR60" i="22"/>
  <c r="BF59" i="22"/>
  <c r="BE59" i="22"/>
  <c r="BD59" i="22"/>
  <c r="BC59" i="22"/>
  <c r="BB59" i="22"/>
  <c r="BA59" i="22"/>
  <c r="AY59" i="22"/>
  <c r="AX59" i="22"/>
  <c r="AW59" i="22"/>
  <c r="AV59" i="22"/>
  <c r="AU59" i="22"/>
  <c r="AT59" i="22"/>
  <c r="AS59" i="22"/>
  <c r="AR59" i="22"/>
  <c r="BF58" i="22"/>
  <c r="BE58" i="22"/>
  <c r="BD58" i="22"/>
  <c r="BC58" i="22"/>
  <c r="BB58" i="22"/>
  <c r="BA58" i="22"/>
  <c r="AZ58" i="22"/>
  <c r="AX58" i="22"/>
  <c r="AW58" i="22"/>
  <c r="AV58" i="22"/>
  <c r="AU58" i="22"/>
  <c r="AT58" i="22"/>
  <c r="AS58" i="22"/>
  <c r="AR58" i="22"/>
  <c r="BF57" i="22"/>
  <c r="BE57" i="22"/>
  <c r="BD57" i="22"/>
  <c r="BC57" i="22"/>
  <c r="BB57" i="22"/>
  <c r="BA57" i="22"/>
  <c r="AZ57" i="22"/>
  <c r="AY57" i="22"/>
  <c r="AW57" i="22"/>
  <c r="AV57" i="22"/>
  <c r="AU57" i="22"/>
  <c r="AT57" i="22"/>
  <c r="AS57" i="22"/>
  <c r="AR57" i="22"/>
  <c r="BF56" i="22"/>
  <c r="BE56" i="22"/>
  <c r="BD56" i="22"/>
  <c r="BC56" i="22"/>
  <c r="BB56" i="22"/>
  <c r="BA56" i="22"/>
  <c r="AZ56" i="22"/>
  <c r="AY56" i="22"/>
  <c r="AX56" i="22"/>
  <c r="AW56" i="22"/>
  <c r="AV56" i="22"/>
  <c r="AU56" i="22"/>
  <c r="AT56" i="22"/>
  <c r="AS56" i="22"/>
  <c r="AR56" i="22"/>
  <c r="BF55" i="22"/>
  <c r="BE55" i="22"/>
  <c r="BD55" i="22"/>
  <c r="BC55" i="22"/>
  <c r="BB55" i="22"/>
  <c r="BA55" i="22"/>
  <c r="AZ55" i="22"/>
  <c r="AY55" i="22"/>
  <c r="AX55" i="22"/>
  <c r="AV55" i="22"/>
  <c r="AU55" i="22"/>
  <c r="AT55" i="22"/>
  <c r="AS55" i="22"/>
  <c r="AR55" i="22"/>
  <c r="BF54" i="22"/>
  <c r="BE54" i="22"/>
  <c r="BD54" i="22"/>
  <c r="BC54" i="22"/>
  <c r="BB54" i="22"/>
  <c r="BA54" i="22"/>
  <c r="AZ54" i="22"/>
  <c r="AY54" i="22"/>
  <c r="AX54" i="22"/>
  <c r="AW54" i="22"/>
  <c r="AV54" i="22"/>
  <c r="AU54" i="22"/>
  <c r="AT54" i="22"/>
  <c r="AS54" i="22"/>
  <c r="AR54" i="22"/>
  <c r="BF53" i="22"/>
  <c r="BE53" i="22"/>
  <c r="BD53" i="22"/>
  <c r="BC53" i="22"/>
  <c r="BB53" i="22"/>
  <c r="BA53" i="22"/>
  <c r="AZ53" i="22"/>
  <c r="AY53" i="22"/>
  <c r="AX53" i="22"/>
  <c r="AW53" i="22"/>
  <c r="AU53" i="22"/>
  <c r="AT53" i="22"/>
  <c r="AS53" i="22"/>
  <c r="AR53" i="22"/>
  <c r="BF52" i="22"/>
  <c r="BE52" i="22"/>
  <c r="BD52" i="22"/>
  <c r="BC52" i="22"/>
  <c r="BB52" i="22"/>
  <c r="BA52" i="22"/>
  <c r="AZ52" i="22"/>
  <c r="AY52" i="22"/>
  <c r="AX52" i="22"/>
  <c r="AW52" i="22"/>
  <c r="AV52" i="22"/>
  <c r="AU52" i="22"/>
  <c r="AT52" i="22"/>
  <c r="AS52" i="22"/>
  <c r="AR52" i="22"/>
  <c r="BF51" i="22"/>
  <c r="BE51" i="22"/>
  <c r="BD51" i="22"/>
  <c r="BC51" i="22"/>
  <c r="BB51" i="22"/>
  <c r="BA51" i="22"/>
  <c r="AZ51" i="22"/>
  <c r="AY51" i="22"/>
  <c r="AX51" i="22"/>
  <c r="AW51" i="22"/>
  <c r="AV51" i="22"/>
  <c r="AT51" i="22"/>
  <c r="AS51" i="22"/>
  <c r="AR51" i="22"/>
  <c r="BF50" i="22"/>
  <c r="BE50" i="22"/>
  <c r="BD50" i="22"/>
  <c r="BC50" i="22"/>
  <c r="BB50" i="22"/>
  <c r="BA50" i="22"/>
  <c r="AZ50" i="22"/>
  <c r="AY50" i="22"/>
  <c r="AX50" i="22"/>
  <c r="AW50" i="22"/>
  <c r="AV50" i="22"/>
  <c r="AU50" i="22"/>
  <c r="AT50" i="22"/>
  <c r="AS50" i="22"/>
  <c r="AR50" i="22"/>
  <c r="BE49" i="22"/>
  <c r="BD49" i="22"/>
  <c r="BC49" i="22"/>
  <c r="BB49" i="22"/>
  <c r="BA49" i="22"/>
  <c r="AZ49" i="22"/>
  <c r="AY49" i="22"/>
  <c r="AX49" i="22"/>
  <c r="AW49" i="22"/>
  <c r="AV49" i="22"/>
  <c r="AU49" i="22"/>
  <c r="AT49" i="22"/>
  <c r="AS49" i="22"/>
  <c r="AR49" i="22"/>
  <c r="BF48" i="22"/>
  <c r="BE48" i="22"/>
  <c r="BD48" i="22"/>
  <c r="BC48" i="22"/>
  <c r="BB48" i="22"/>
  <c r="BA48" i="22"/>
  <c r="AZ48" i="22"/>
  <c r="AY48" i="22"/>
  <c r="AX48" i="22"/>
  <c r="AW48" i="22"/>
  <c r="AV48" i="22"/>
  <c r="AU48" i="22"/>
  <c r="AT48" i="22"/>
  <c r="AR48" i="22"/>
  <c r="BF47" i="22"/>
  <c r="BE47" i="22"/>
  <c r="BD47" i="22"/>
  <c r="BC47" i="22"/>
  <c r="BB47" i="22"/>
  <c r="BA47" i="22"/>
  <c r="AZ47" i="22"/>
  <c r="AY47" i="22"/>
  <c r="AX47" i="22"/>
  <c r="AW47" i="22"/>
  <c r="AV47" i="22"/>
  <c r="AU47" i="22"/>
  <c r="BE46" i="22"/>
  <c r="BD46" i="22"/>
  <c r="BC46" i="22"/>
  <c r="AZ46" i="22"/>
  <c r="AY46" i="22"/>
  <c r="AX46" i="22"/>
  <c r="AW46" i="22"/>
  <c r="AV46" i="22"/>
  <c r="AU46" i="22"/>
  <c r="AT46" i="22"/>
  <c r="AS46" i="22"/>
  <c r="AR46" i="22"/>
  <c r="BE45" i="22"/>
  <c r="BD45" i="22"/>
  <c r="BC45" i="22"/>
  <c r="AZ45" i="22"/>
  <c r="AY45" i="22"/>
  <c r="AX45" i="22"/>
  <c r="AW45" i="22"/>
  <c r="AV45" i="22"/>
  <c r="AU45" i="22"/>
  <c r="BF44" i="22"/>
  <c r="BE44" i="22"/>
  <c r="BD44" i="22"/>
  <c r="BC44" i="22"/>
  <c r="BB44" i="22"/>
  <c r="BA44" i="22"/>
  <c r="AZ44" i="22"/>
  <c r="AY44" i="22"/>
  <c r="AX44" i="22"/>
  <c r="AW44" i="22"/>
  <c r="AV44" i="22"/>
  <c r="AU44" i="22"/>
  <c r="AS44" i="22"/>
  <c r="AR44" i="22"/>
  <c r="BF43" i="22"/>
  <c r="BE43" i="22"/>
  <c r="BD43" i="22"/>
  <c r="BC43" i="22"/>
  <c r="BB43" i="22"/>
  <c r="BA43" i="22"/>
  <c r="AZ43" i="22"/>
  <c r="AY43" i="22"/>
  <c r="AX43" i="22"/>
  <c r="AW43" i="22"/>
  <c r="AV43" i="22"/>
  <c r="AU43" i="22"/>
  <c r="AT43" i="22"/>
  <c r="AR43" i="22"/>
  <c r="BF42" i="22"/>
  <c r="BE42" i="22"/>
  <c r="BD42" i="22"/>
  <c r="BC42" i="22"/>
  <c r="BB42" i="22"/>
  <c r="BA42" i="22"/>
  <c r="AZ42" i="22"/>
  <c r="AY42" i="22"/>
  <c r="AX42" i="22"/>
  <c r="AW42" i="22"/>
  <c r="AV42" i="22"/>
  <c r="AU42" i="22"/>
  <c r="AT42" i="22"/>
  <c r="AS42" i="22"/>
  <c r="G206" i="15"/>
  <c r="G200" i="15"/>
  <c r="G199" i="15"/>
  <c r="G198" i="15"/>
  <c r="G194" i="15"/>
  <c r="G181" i="15"/>
  <c r="G179" i="15"/>
  <c r="AL163" i="15"/>
  <c r="AK163" i="15"/>
  <c r="AJ163" i="15"/>
  <c r="AI163" i="15"/>
  <c r="AH163" i="15"/>
  <c r="AG163" i="15"/>
  <c r="AF163" i="15"/>
  <c r="AE163" i="15"/>
  <c r="AD163" i="15"/>
  <c r="AC163" i="15"/>
  <c r="AB163" i="15"/>
  <c r="AA163" i="15"/>
  <c r="Z163" i="15"/>
  <c r="Y163" i="15"/>
  <c r="X163" i="15"/>
  <c r="W163" i="15"/>
  <c r="V163" i="15"/>
  <c r="U163" i="15"/>
  <c r="T163" i="15"/>
  <c r="S163" i="15"/>
  <c r="R163" i="15"/>
  <c r="Q163" i="15"/>
  <c r="P163" i="15"/>
  <c r="O163" i="15"/>
  <c r="N163" i="15"/>
  <c r="M163" i="15"/>
  <c r="L163" i="15"/>
  <c r="K163" i="15"/>
  <c r="K140" i="15"/>
  <c r="J140" i="15"/>
  <c r="I140" i="15"/>
  <c r="H140" i="15"/>
  <c r="G140" i="15"/>
  <c r="F140" i="15"/>
  <c r="E140" i="15"/>
  <c r="D140" i="15"/>
  <c r="C140" i="15"/>
  <c r="BG118" i="15"/>
  <c r="BG117" i="15"/>
  <c r="G205" i="15" s="1"/>
  <c r="BG116" i="15"/>
  <c r="G204" i="15" s="1"/>
  <c r="BN115" i="15"/>
  <c r="BN113" i="15"/>
  <c r="BG112" i="15"/>
  <c r="BG111" i="15"/>
  <c r="BG110" i="15"/>
  <c r="BN109" i="15"/>
  <c r="BN108" i="15"/>
  <c r="BG107" i="15"/>
  <c r="G195" i="15" s="1"/>
  <c r="BG106" i="15"/>
  <c r="BN105" i="15"/>
  <c r="BN104" i="15"/>
  <c r="BN103" i="15"/>
  <c r="BG102" i="15"/>
  <c r="G190" i="15" s="1"/>
  <c r="BN101" i="15"/>
  <c r="BN100" i="15"/>
  <c r="BN99" i="15"/>
  <c r="BN98" i="15"/>
  <c r="BG97" i="15"/>
  <c r="G185" i="15" s="1"/>
  <c r="BN96" i="15"/>
  <c r="BG95" i="15"/>
  <c r="G183" i="15" s="1"/>
  <c r="BN94" i="15"/>
  <c r="BG93" i="15"/>
  <c r="BN92" i="15"/>
  <c r="BN91" i="15"/>
  <c r="BG91" i="15"/>
  <c r="BN90" i="15"/>
  <c r="BN89" i="15"/>
  <c r="BN88" i="15"/>
  <c r="BN87" i="15"/>
  <c r="BN86" i="15"/>
  <c r="BN85" i="15"/>
  <c r="BN84" i="15"/>
  <c r="BN83" i="15"/>
  <c r="BF77" i="15"/>
  <c r="BE77" i="15"/>
  <c r="BD77" i="15"/>
  <c r="BC77" i="15"/>
  <c r="BB77" i="15"/>
  <c r="BA77" i="15"/>
  <c r="AZ77" i="15"/>
  <c r="AY77" i="15"/>
  <c r="AX77" i="15"/>
  <c r="AW77" i="15"/>
  <c r="AV77" i="15"/>
  <c r="AU77" i="15"/>
  <c r="AT77" i="15"/>
  <c r="AS77" i="15"/>
  <c r="AR77" i="15"/>
  <c r="BF76" i="15"/>
  <c r="BE76" i="15"/>
  <c r="BD76" i="15"/>
  <c r="BC76" i="15"/>
  <c r="BB76" i="15"/>
  <c r="BA76" i="15"/>
  <c r="AZ76" i="15"/>
  <c r="AY76" i="15"/>
  <c r="AX76" i="15"/>
  <c r="AW76" i="15"/>
  <c r="AV76" i="15"/>
  <c r="AU76" i="15"/>
  <c r="AT76" i="15"/>
  <c r="AS76" i="15"/>
  <c r="AR76" i="15"/>
  <c r="BF75" i="15"/>
  <c r="BE75" i="15"/>
  <c r="BD75" i="15"/>
  <c r="BC75" i="15"/>
  <c r="BB75" i="15"/>
  <c r="BA75" i="15"/>
  <c r="AZ75" i="15"/>
  <c r="AY75" i="15"/>
  <c r="AX75" i="15"/>
  <c r="AW75" i="15"/>
  <c r="AV75" i="15"/>
  <c r="AU75" i="15"/>
  <c r="AT75" i="15"/>
  <c r="AS75" i="15"/>
  <c r="AR75" i="15"/>
  <c r="BE74" i="15"/>
  <c r="BD74" i="15"/>
  <c r="BC74" i="15"/>
  <c r="BB74" i="15"/>
  <c r="BA74" i="15"/>
  <c r="AZ74" i="15"/>
  <c r="AY74" i="15"/>
  <c r="AX74" i="15"/>
  <c r="AW74" i="15"/>
  <c r="AV74" i="15"/>
  <c r="AU74" i="15"/>
  <c r="AT74" i="15"/>
  <c r="AS74" i="15"/>
  <c r="AR74" i="15"/>
  <c r="BE73" i="15"/>
  <c r="BC73" i="15"/>
  <c r="BB73" i="15"/>
  <c r="BA73" i="15"/>
  <c r="AZ73" i="15"/>
  <c r="AY73" i="15"/>
  <c r="AX73" i="15"/>
  <c r="AW73" i="15"/>
  <c r="AV73" i="15"/>
  <c r="AU73" i="15"/>
  <c r="AT73" i="15"/>
  <c r="AS73" i="15"/>
  <c r="AR73" i="15"/>
  <c r="BF72" i="15"/>
  <c r="BE72" i="15"/>
  <c r="BC72" i="15"/>
  <c r="BB72" i="15"/>
  <c r="BA72" i="15"/>
  <c r="AZ72" i="15"/>
  <c r="AY72" i="15"/>
  <c r="AX72" i="15"/>
  <c r="AW72" i="15"/>
  <c r="AV72" i="15"/>
  <c r="AU72" i="15"/>
  <c r="AT72" i="15"/>
  <c r="AS72" i="15"/>
  <c r="AR72" i="15"/>
  <c r="BF71" i="15"/>
  <c r="BE71" i="15"/>
  <c r="BD71" i="15"/>
  <c r="BC71" i="15"/>
  <c r="BB71" i="15"/>
  <c r="BA71" i="15"/>
  <c r="AZ71" i="15"/>
  <c r="AY71" i="15"/>
  <c r="AX71" i="15"/>
  <c r="AW71" i="15"/>
  <c r="AV71" i="15"/>
  <c r="AU71" i="15"/>
  <c r="AT71" i="15"/>
  <c r="AS71" i="15"/>
  <c r="AR71" i="15"/>
  <c r="BF70" i="15"/>
  <c r="BE70" i="15"/>
  <c r="BD70" i="15"/>
  <c r="BC70" i="15"/>
  <c r="BB70" i="15"/>
  <c r="BA70" i="15"/>
  <c r="AZ70" i="15"/>
  <c r="AY70" i="15"/>
  <c r="AX70" i="15"/>
  <c r="AW70" i="15"/>
  <c r="AV70" i="15"/>
  <c r="AU70" i="15"/>
  <c r="AT70" i="15"/>
  <c r="AS70" i="15"/>
  <c r="AR70" i="15"/>
  <c r="BF68" i="15"/>
  <c r="BE68" i="15"/>
  <c r="BD68" i="15"/>
  <c r="BB68" i="15"/>
  <c r="BA68" i="15"/>
  <c r="AZ68" i="15"/>
  <c r="AY68" i="15"/>
  <c r="AX68" i="15"/>
  <c r="AW68" i="15"/>
  <c r="AV68" i="15"/>
  <c r="AU68" i="15"/>
  <c r="AT68" i="15"/>
  <c r="AS68" i="15"/>
  <c r="AR68" i="15"/>
  <c r="BF67" i="15"/>
  <c r="BD67" i="15"/>
  <c r="BC67" i="15"/>
  <c r="BB67" i="15"/>
  <c r="BA67" i="15"/>
  <c r="AZ67" i="15"/>
  <c r="AY67" i="15"/>
  <c r="AX67" i="15"/>
  <c r="AW67" i="15"/>
  <c r="AV67" i="15"/>
  <c r="AU67" i="15"/>
  <c r="AT67" i="15"/>
  <c r="AS67" i="15"/>
  <c r="AR67" i="15"/>
  <c r="BF66" i="15"/>
  <c r="BE66" i="15"/>
  <c r="BD66" i="15"/>
  <c r="BC66" i="15"/>
  <c r="BB66" i="15"/>
  <c r="BA66" i="15"/>
  <c r="AZ66" i="15"/>
  <c r="AY66" i="15"/>
  <c r="AX66" i="15"/>
  <c r="AW66" i="15"/>
  <c r="AV66" i="15"/>
  <c r="AU66" i="15"/>
  <c r="AT66" i="15"/>
  <c r="AS66" i="15"/>
  <c r="AR66" i="15"/>
  <c r="BF65" i="15"/>
  <c r="BE65" i="15"/>
  <c r="BD65" i="15"/>
  <c r="BC65" i="15"/>
  <c r="BB65" i="15"/>
  <c r="BA65" i="15"/>
  <c r="AZ65" i="15"/>
  <c r="AY65" i="15"/>
  <c r="AX65" i="15"/>
  <c r="AW65" i="15"/>
  <c r="AV65" i="15"/>
  <c r="AU65" i="15"/>
  <c r="AT65" i="15"/>
  <c r="AS65" i="15"/>
  <c r="AR65" i="15"/>
  <c r="BF64" i="15"/>
  <c r="BD64" i="15"/>
  <c r="BC64" i="15"/>
  <c r="BB64" i="15"/>
  <c r="BA64" i="15"/>
  <c r="AZ64" i="15"/>
  <c r="AY64" i="15"/>
  <c r="AX64" i="15"/>
  <c r="AW64" i="15"/>
  <c r="AV64" i="15"/>
  <c r="AU64" i="15"/>
  <c r="AT64" i="15"/>
  <c r="AS64" i="15"/>
  <c r="AR64" i="15"/>
  <c r="BF63" i="15"/>
  <c r="BE63" i="15"/>
  <c r="BD63" i="15"/>
  <c r="BC63" i="15"/>
  <c r="BA63" i="15"/>
  <c r="AZ63" i="15"/>
  <c r="AY63" i="15"/>
  <c r="AX63" i="15"/>
  <c r="AW63" i="15"/>
  <c r="AV63" i="15"/>
  <c r="AU63" i="15"/>
  <c r="AT63" i="15"/>
  <c r="AS63" i="15"/>
  <c r="AR63" i="15"/>
  <c r="BF62" i="15"/>
  <c r="BE62" i="15"/>
  <c r="BD62" i="15"/>
  <c r="BC62" i="15"/>
  <c r="BB62" i="15"/>
  <c r="AZ62" i="15"/>
  <c r="AY62" i="15"/>
  <c r="AX62" i="15"/>
  <c r="AW62" i="15"/>
  <c r="AV62" i="15"/>
  <c r="AU62" i="15"/>
  <c r="AT62" i="15"/>
  <c r="AS62" i="15"/>
  <c r="AR62" i="15"/>
  <c r="BF61" i="15"/>
  <c r="BE61" i="15"/>
  <c r="BD61" i="15"/>
  <c r="BC61" i="15"/>
  <c r="BB61" i="15"/>
  <c r="BA61" i="15"/>
  <c r="AZ61" i="15"/>
  <c r="AY61" i="15"/>
  <c r="AX61" i="15"/>
  <c r="AW61" i="15"/>
  <c r="AV61" i="15"/>
  <c r="AU61" i="15"/>
  <c r="AT61" i="15"/>
  <c r="AS61" i="15"/>
  <c r="AR61" i="15"/>
  <c r="BF60" i="15"/>
  <c r="BD60" i="15"/>
  <c r="BC60" i="15"/>
  <c r="BB60" i="15"/>
  <c r="BA60" i="15"/>
  <c r="AZ60" i="15"/>
  <c r="AY60" i="15"/>
  <c r="AX60" i="15"/>
  <c r="AW60" i="15"/>
  <c r="AV60" i="15"/>
  <c r="AU60" i="15"/>
  <c r="AT60" i="15"/>
  <c r="AS60" i="15"/>
  <c r="AR60" i="15"/>
  <c r="BF59" i="15"/>
  <c r="BE59" i="15"/>
  <c r="BD59" i="15"/>
  <c r="BC59" i="15"/>
  <c r="BB59" i="15"/>
  <c r="BA59" i="15"/>
  <c r="AY59" i="15"/>
  <c r="AX59" i="15"/>
  <c r="AW59" i="15"/>
  <c r="AV59" i="15"/>
  <c r="AU59" i="15"/>
  <c r="AT59" i="15"/>
  <c r="AS59" i="15"/>
  <c r="AR59" i="15"/>
  <c r="BF58" i="15"/>
  <c r="BE58" i="15"/>
  <c r="BD58" i="15"/>
  <c r="BC58" i="15"/>
  <c r="BB58" i="15"/>
  <c r="BA58" i="15"/>
  <c r="AZ58" i="15"/>
  <c r="AX58" i="15"/>
  <c r="AW58" i="15"/>
  <c r="AV58" i="15"/>
  <c r="AU58" i="15"/>
  <c r="AT58" i="15"/>
  <c r="AS58" i="15"/>
  <c r="AR58" i="15"/>
  <c r="BF57" i="15"/>
  <c r="BE57" i="15"/>
  <c r="BD57" i="15"/>
  <c r="BC57" i="15"/>
  <c r="BB57" i="15"/>
  <c r="BA57" i="15"/>
  <c r="AZ57" i="15"/>
  <c r="AY57" i="15"/>
  <c r="AW57" i="15"/>
  <c r="AV57" i="15"/>
  <c r="AU57" i="15"/>
  <c r="AT57" i="15"/>
  <c r="AS57" i="15"/>
  <c r="AR57" i="15"/>
  <c r="BF56" i="15"/>
  <c r="BE56" i="15"/>
  <c r="BD56" i="15"/>
  <c r="BC56" i="15"/>
  <c r="BB56" i="15"/>
  <c r="BA56" i="15"/>
  <c r="AZ56" i="15"/>
  <c r="AY56" i="15"/>
  <c r="AX56" i="15"/>
  <c r="AW56" i="15"/>
  <c r="AV56" i="15"/>
  <c r="AU56" i="15"/>
  <c r="AT56" i="15"/>
  <c r="AS56" i="15"/>
  <c r="AR56" i="15"/>
  <c r="BF55" i="15"/>
  <c r="BE55" i="15"/>
  <c r="BD55" i="15"/>
  <c r="BC55" i="15"/>
  <c r="BB55" i="15"/>
  <c r="BA55" i="15"/>
  <c r="AZ55" i="15"/>
  <c r="AY55" i="15"/>
  <c r="AX55" i="15"/>
  <c r="AV55" i="15"/>
  <c r="AU55" i="15"/>
  <c r="AT55" i="15"/>
  <c r="AS55" i="15"/>
  <c r="AR55" i="15"/>
  <c r="BF54" i="15"/>
  <c r="BE54" i="15"/>
  <c r="BD54" i="15"/>
  <c r="BC54" i="15"/>
  <c r="BB54" i="15"/>
  <c r="BA54" i="15"/>
  <c r="AZ54" i="15"/>
  <c r="AY54" i="15"/>
  <c r="AX54" i="15"/>
  <c r="AW54" i="15"/>
  <c r="AV54" i="15"/>
  <c r="AU54" i="15"/>
  <c r="AT54" i="15"/>
  <c r="AS54" i="15"/>
  <c r="AR54" i="15"/>
  <c r="BF53" i="15"/>
  <c r="BE53" i="15"/>
  <c r="BD53" i="15"/>
  <c r="BC53" i="15"/>
  <c r="BB53" i="15"/>
  <c r="BA53" i="15"/>
  <c r="AZ53" i="15"/>
  <c r="AY53" i="15"/>
  <c r="AX53" i="15"/>
  <c r="AW53" i="15"/>
  <c r="AU53" i="15"/>
  <c r="AT53" i="15"/>
  <c r="AS53" i="15"/>
  <c r="AR53" i="15"/>
  <c r="BF52" i="15"/>
  <c r="BE52" i="15"/>
  <c r="BD52" i="15"/>
  <c r="BC52" i="15"/>
  <c r="BB52" i="15"/>
  <c r="BA52" i="15"/>
  <c r="AZ52" i="15"/>
  <c r="AY52" i="15"/>
  <c r="AX52" i="15"/>
  <c r="AW52" i="15"/>
  <c r="AV52" i="15"/>
  <c r="AU52" i="15"/>
  <c r="AT52" i="15"/>
  <c r="AS52" i="15"/>
  <c r="AR52" i="15"/>
  <c r="BF51" i="15"/>
  <c r="BE51" i="15"/>
  <c r="BD51" i="15"/>
  <c r="BC51" i="15"/>
  <c r="BB51" i="15"/>
  <c r="BA51" i="15"/>
  <c r="AZ51" i="15"/>
  <c r="AY51" i="15"/>
  <c r="AX51" i="15"/>
  <c r="AW51" i="15"/>
  <c r="AV51" i="15"/>
  <c r="AT51" i="15"/>
  <c r="AS51" i="15"/>
  <c r="AR51" i="15"/>
  <c r="BF50" i="15"/>
  <c r="BE50" i="15"/>
  <c r="BD50" i="15"/>
  <c r="BC50" i="15"/>
  <c r="BB50" i="15"/>
  <c r="BA50" i="15"/>
  <c r="AZ50" i="15"/>
  <c r="AY50" i="15"/>
  <c r="AX50" i="15"/>
  <c r="AW50" i="15"/>
  <c r="AV50" i="15"/>
  <c r="AU50" i="15"/>
  <c r="AT50" i="15"/>
  <c r="AS50" i="15"/>
  <c r="AR50" i="15"/>
  <c r="BE49" i="15"/>
  <c r="BD49" i="15"/>
  <c r="BC49" i="15"/>
  <c r="BB49" i="15"/>
  <c r="BA49" i="15"/>
  <c r="AZ49" i="15"/>
  <c r="AY49" i="15"/>
  <c r="AX49" i="15"/>
  <c r="AW49" i="15"/>
  <c r="AV49" i="15"/>
  <c r="AU49" i="15"/>
  <c r="AT49" i="15"/>
  <c r="AS49" i="15"/>
  <c r="AR49" i="15"/>
  <c r="BF48" i="15"/>
  <c r="BE48" i="15"/>
  <c r="BD48" i="15"/>
  <c r="BC48" i="15"/>
  <c r="BB48" i="15"/>
  <c r="BA48" i="15"/>
  <c r="AZ48" i="15"/>
  <c r="AY48" i="15"/>
  <c r="AX48" i="15"/>
  <c r="AW48" i="15"/>
  <c r="AV48" i="15"/>
  <c r="AU48" i="15"/>
  <c r="AT48" i="15"/>
  <c r="AR48" i="15"/>
  <c r="BF47" i="15"/>
  <c r="BE47" i="15"/>
  <c r="BD47" i="15"/>
  <c r="BC47" i="15"/>
  <c r="BB47" i="15"/>
  <c r="BA47" i="15"/>
  <c r="AZ47" i="15"/>
  <c r="AY47" i="15"/>
  <c r="AX47" i="15"/>
  <c r="AW47" i="15"/>
  <c r="AV47" i="15"/>
  <c r="AU47" i="15"/>
  <c r="BE46" i="15"/>
  <c r="BD46" i="15"/>
  <c r="BC46" i="15"/>
  <c r="AZ46" i="15"/>
  <c r="AY46" i="15"/>
  <c r="AX46" i="15"/>
  <c r="AW46" i="15"/>
  <c r="AV46" i="15"/>
  <c r="AU46" i="15"/>
  <c r="AT46" i="15"/>
  <c r="AS46" i="15"/>
  <c r="AR46" i="15"/>
  <c r="BE45" i="15"/>
  <c r="BD45" i="15"/>
  <c r="BC45" i="15"/>
  <c r="AZ45" i="15"/>
  <c r="AY45" i="15"/>
  <c r="AX45" i="15"/>
  <c r="AW45" i="15"/>
  <c r="AV45" i="15"/>
  <c r="AU45" i="15"/>
  <c r="BF44" i="15"/>
  <c r="BE44" i="15"/>
  <c r="BD44" i="15"/>
  <c r="BC44" i="15"/>
  <c r="BB44" i="15"/>
  <c r="BA44" i="15"/>
  <c r="AZ44" i="15"/>
  <c r="AY44" i="15"/>
  <c r="AX44" i="15"/>
  <c r="AW44" i="15"/>
  <c r="AV44" i="15"/>
  <c r="AU44" i="15"/>
  <c r="AS44" i="15"/>
  <c r="AR44" i="15"/>
  <c r="BF43" i="15"/>
  <c r="BE43" i="15"/>
  <c r="BD43" i="15"/>
  <c r="BC43" i="15"/>
  <c r="BB43" i="15"/>
  <c r="BA43" i="15"/>
  <c r="AZ43" i="15"/>
  <c r="AY43" i="15"/>
  <c r="AX43" i="15"/>
  <c r="AW43" i="15"/>
  <c r="AV43" i="15"/>
  <c r="AU43" i="15"/>
  <c r="AT43" i="15"/>
  <c r="AR43" i="15"/>
  <c r="BF42" i="15"/>
  <c r="BE42" i="15"/>
  <c r="BD42" i="15"/>
  <c r="BC42" i="15"/>
  <c r="BB42" i="15"/>
  <c r="BA42" i="15"/>
  <c r="AZ42" i="15"/>
  <c r="AY42" i="15"/>
  <c r="AX42" i="15"/>
  <c r="AW42" i="15"/>
  <c r="AV42" i="15"/>
  <c r="AU42" i="15"/>
  <c r="AT42" i="15"/>
  <c r="AS42" i="15"/>
  <c r="J209" i="20"/>
  <c r="J208" i="20"/>
  <c r="J203" i="20"/>
  <c r="J202" i="20"/>
  <c r="J201" i="20"/>
  <c r="J197" i="20"/>
  <c r="J188" i="20"/>
  <c r="AO166" i="20"/>
  <c r="AN166" i="20"/>
  <c r="AM166" i="20"/>
  <c r="AL166" i="20"/>
  <c r="AK166" i="20"/>
  <c r="AJ166" i="20"/>
  <c r="AI166" i="20"/>
  <c r="AH166" i="20"/>
  <c r="AG166" i="20"/>
  <c r="AF166" i="20"/>
  <c r="AE166" i="20"/>
  <c r="AD166" i="20"/>
  <c r="AC166" i="20"/>
  <c r="AB166" i="20"/>
  <c r="AA166" i="20"/>
  <c r="Z166" i="20"/>
  <c r="Y166" i="20"/>
  <c r="X166" i="20"/>
  <c r="W166" i="20"/>
  <c r="V166" i="20"/>
  <c r="U166" i="20"/>
  <c r="T166" i="20"/>
  <c r="S166" i="20"/>
  <c r="R166" i="20"/>
  <c r="Q166" i="20"/>
  <c r="P166" i="20"/>
  <c r="O166" i="20"/>
  <c r="N143" i="20"/>
  <c r="M143" i="20"/>
  <c r="L143" i="20"/>
  <c r="K143" i="20"/>
  <c r="J143" i="20"/>
  <c r="I143" i="20"/>
  <c r="H143" i="20"/>
  <c r="G143" i="20"/>
  <c r="F143" i="20"/>
  <c r="BJ122" i="20"/>
  <c r="BJ121" i="20"/>
  <c r="BJ120" i="20"/>
  <c r="J207" i="20" s="1"/>
  <c r="BQ119" i="20"/>
  <c r="BQ117" i="20"/>
  <c r="BJ116" i="20"/>
  <c r="BJ115" i="20"/>
  <c r="BJ114" i="20"/>
  <c r="BQ113" i="20"/>
  <c r="BQ112" i="20"/>
  <c r="BJ111" i="20"/>
  <c r="J198" i="20" s="1"/>
  <c r="BJ110" i="20"/>
  <c r="BQ109" i="20"/>
  <c r="BQ108" i="20"/>
  <c r="BQ107" i="20"/>
  <c r="BJ106" i="20"/>
  <c r="J193" i="20" s="1"/>
  <c r="BQ105" i="20"/>
  <c r="BQ104" i="20"/>
  <c r="BQ103" i="20"/>
  <c r="BQ102" i="20"/>
  <c r="BJ101" i="20"/>
  <c r="BQ100" i="20"/>
  <c r="BJ99" i="20"/>
  <c r="J186" i="20" s="1"/>
  <c r="BQ98" i="20"/>
  <c r="BJ97" i="20"/>
  <c r="J184" i="20" s="1"/>
  <c r="BQ96" i="20"/>
  <c r="BQ95" i="20"/>
  <c r="BQ94" i="20"/>
  <c r="BQ93" i="20"/>
  <c r="BQ92" i="20"/>
  <c r="BQ91" i="20"/>
  <c r="BQ90" i="20"/>
  <c r="BQ89" i="20"/>
  <c r="BQ88" i="20"/>
  <c r="BQ87" i="20"/>
  <c r="BI77" i="20"/>
  <c r="BH77" i="20"/>
  <c r="BG77" i="20"/>
  <c r="BF77" i="20"/>
  <c r="BE77" i="20"/>
  <c r="BD77" i="20"/>
  <c r="BC77" i="20"/>
  <c r="BB77" i="20"/>
  <c r="BA77" i="20"/>
  <c r="AZ77" i="20"/>
  <c r="AY77" i="20"/>
  <c r="AX77" i="20"/>
  <c r="AW77" i="20"/>
  <c r="AV77" i="20"/>
  <c r="AU77" i="20"/>
  <c r="BI76" i="20"/>
  <c r="BH76" i="20"/>
  <c r="BG76" i="20"/>
  <c r="BF76" i="20"/>
  <c r="BE76" i="20"/>
  <c r="BD76" i="20"/>
  <c r="BC76" i="20"/>
  <c r="BB76" i="20"/>
  <c r="BA76" i="20"/>
  <c r="AZ76" i="20"/>
  <c r="AY76" i="20"/>
  <c r="AX76" i="20"/>
  <c r="AW76" i="20"/>
  <c r="AV76" i="20"/>
  <c r="AU76" i="20"/>
  <c r="BI75" i="20"/>
  <c r="BH75" i="20"/>
  <c r="BG75" i="20"/>
  <c r="BF75" i="20"/>
  <c r="BE75" i="20"/>
  <c r="BD75" i="20"/>
  <c r="BC75" i="20"/>
  <c r="BB75" i="20"/>
  <c r="BA75" i="20"/>
  <c r="AZ75" i="20"/>
  <c r="AY75" i="20"/>
  <c r="AX75" i="20"/>
  <c r="AW75" i="20"/>
  <c r="AV75" i="20"/>
  <c r="AU75" i="20"/>
  <c r="BH74" i="20"/>
  <c r="BG74" i="20"/>
  <c r="BF74" i="20"/>
  <c r="BE74" i="20"/>
  <c r="BD74" i="20"/>
  <c r="BC74" i="20"/>
  <c r="BB74" i="20"/>
  <c r="BA74" i="20"/>
  <c r="AZ74" i="20"/>
  <c r="AY74" i="20"/>
  <c r="AX74" i="20"/>
  <c r="AW74" i="20"/>
  <c r="AV74" i="20"/>
  <c r="AU74" i="20"/>
  <c r="BH73" i="20"/>
  <c r="BG73" i="20"/>
  <c r="BF73" i="20"/>
  <c r="BE73" i="20"/>
  <c r="BD73" i="20"/>
  <c r="BC73" i="20"/>
  <c r="BB73" i="20"/>
  <c r="BA73" i="20"/>
  <c r="AZ73" i="20"/>
  <c r="AY73" i="20"/>
  <c r="AX73" i="20"/>
  <c r="AW73" i="20"/>
  <c r="AV73" i="20"/>
  <c r="AU73" i="20"/>
  <c r="BI72" i="20"/>
  <c r="BH72" i="20"/>
  <c r="BF72" i="20"/>
  <c r="BE72" i="20"/>
  <c r="BD72" i="20"/>
  <c r="BC72" i="20"/>
  <c r="BB72" i="20"/>
  <c r="BA72" i="20"/>
  <c r="AZ72" i="20"/>
  <c r="AY72" i="20"/>
  <c r="AX72" i="20"/>
  <c r="AW72" i="20"/>
  <c r="AV72" i="20"/>
  <c r="AU72" i="20"/>
  <c r="BI71" i="20"/>
  <c r="BH71" i="20"/>
  <c r="BG71" i="20"/>
  <c r="BF71" i="20"/>
  <c r="BE71" i="20"/>
  <c r="BD71" i="20"/>
  <c r="BC71" i="20"/>
  <c r="BB71" i="20"/>
  <c r="BA71" i="20"/>
  <c r="AZ71" i="20"/>
  <c r="AY71" i="20"/>
  <c r="AX71" i="20"/>
  <c r="AW71" i="20"/>
  <c r="AV71" i="20"/>
  <c r="AU71" i="20"/>
  <c r="BI70" i="20"/>
  <c r="BH70" i="20"/>
  <c r="BG70" i="20"/>
  <c r="BF70" i="20"/>
  <c r="BE70" i="20"/>
  <c r="BD70" i="20"/>
  <c r="BC70" i="20"/>
  <c r="BB70" i="20"/>
  <c r="BA70" i="20"/>
  <c r="AZ70" i="20"/>
  <c r="AY70" i="20"/>
  <c r="AX70" i="20"/>
  <c r="AW70" i="20"/>
  <c r="AV70" i="20"/>
  <c r="AU70" i="20"/>
  <c r="BI68" i="20"/>
  <c r="BH68" i="20"/>
  <c r="BG68" i="20"/>
  <c r="BE68" i="20"/>
  <c r="BD68" i="20"/>
  <c r="BC68" i="20"/>
  <c r="BB68" i="20"/>
  <c r="BA68" i="20"/>
  <c r="AZ68" i="20"/>
  <c r="AY68" i="20"/>
  <c r="AX68" i="20"/>
  <c r="AW68" i="20"/>
  <c r="AV68" i="20"/>
  <c r="AU68" i="20"/>
  <c r="BI67" i="20"/>
  <c r="BG67" i="20"/>
  <c r="BF67" i="20"/>
  <c r="BE67" i="20"/>
  <c r="BD67" i="20"/>
  <c r="BC67" i="20"/>
  <c r="BB67" i="20"/>
  <c r="BA67" i="20"/>
  <c r="AZ67" i="20"/>
  <c r="AY67" i="20"/>
  <c r="AX67" i="20"/>
  <c r="AW67" i="20"/>
  <c r="AV67" i="20"/>
  <c r="AU67" i="20"/>
  <c r="BI66" i="20"/>
  <c r="BH66" i="20"/>
  <c r="BG66" i="20"/>
  <c r="BF66" i="20"/>
  <c r="BE66" i="20"/>
  <c r="BD66" i="20"/>
  <c r="BC66" i="20"/>
  <c r="BB66" i="20"/>
  <c r="BA66" i="20"/>
  <c r="AZ66" i="20"/>
  <c r="AY66" i="20"/>
  <c r="AX66" i="20"/>
  <c r="AW66" i="20"/>
  <c r="AV66" i="20"/>
  <c r="AU66" i="20"/>
  <c r="BI65" i="20"/>
  <c r="BH65" i="20"/>
  <c r="BG65" i="20"/>
  <c r="BF65" i="20"/>
  <c r="BE65" i="20"/>
  <c r="BD65" i="20"/>
  <c r="BC65" i="20"/>
  <c r="BB65" i="20"/>
  <c r="BA65" i="20"/>
  <c r="AZ65" i="20"/>
  <c r="AY65" i="20"/>
  <c r="AX65" i="20"/>
  <c r="AW65" i="20"/>
  <c r="AV65" i="20"/>
  <c r="AU65" i="20"/>
  <c r="BI64" i="20"/>
  <c r="BG64" i="20"/>
  <c r="BF64" i="20"/>
  <c r="BE64" i="20"/>
  <c r="BD64" i="20"/>
  <c r="BC64" i="20"/>
  <c r="BB64" i="20"/>
  <c r="BA64" i="20"/>
  <c r="AZ64" i="20"/>
  <c r="AY64" i="20"/>
  <c r="AX64" i="20"/>
  <c r="AW64" i="20"/>
  <c r="AV64" i="20"/>
  <c r="AU64" i="20"/>
  <c r="BI63" i="20"/>
  <c r="BH63" i="20"/>
  <c r="BG63" i="20"/>
  <c r="BF63" i="20"/>
  <c r="BD63" i="20"/>
  <c r="BC63" i="20"/>
  <c r="BB63" i="20"/>
  <c r="BA63" i="20"/>
  <c r="AZ63" i="20"/>
  <c r="AY63" i="20"/>
  <c r="AX63" i="20"/>
  <c r="AW63" i="20"/>
  <c r="AV63" i="20"/>
  <c r="AU63" i="20"/>
  <c r="BI62" i="20"/>
  <c r="BH62" i="20"/>
  <c r="BG62" i="20"/>
  <c r="BF62" i="20"/>
  <c r="BE62" i="20"/>
  <c r="BC62" i="20"/>
  <c r="BB62" i="20"/>
  <c r="BA62" i="20"/>
  <c r="AZ62" i="20"/>
  <c r="AY62" i="20"/>
  <c r="AX62" i="20"/>
  <c r="AW62" i="20"/>
  <c r="AV62" i="20"/>
  <c r="AU62" i="20"/>
  <c r="BI61" i="20"/>
  <c r="BH61" i="20"/>
  <c r="BG61" i="20"/>
  <c r="BF61" i="20"/>
  <c r="BE61" i="20"/>
  <c r="BD61" i="20"/>
  <c r="BC61" i="20"/>
  <c r="BB61" i="20"/>
  <c r="BA61" i="20"/>
  <c r="AZ61" i="20"/>
  <c r="AY61" i="20"/>
  <c r="AX61" i="20"/>
  <c r="AW61" i="20"/>
  <c r="AV61" i="20"/>
  <c r="AU61" i="20"/>
  <c r="BI60" i="20"/>
  <c r="BG60" i="20"/>
  <c r="BF60" i="20"/>
  <c r="BE60" i="20"/>
  <c r="BD60" i="20"/>
  <c r="BC60" i="20"/>
  <c r="BB60" i="20"/>
  <c r="BA60" i="20"/>
  <c r="AZ60" i="20"/>
  <c r="AY60" i="20"/>
  <c r="AX60" i="20"/>
  <c r="AW60" i="20"/>
  <c r="AV60" i="20"/>
  <c r="AU60" i="20"/>
  <c r="BI59" i="20"/>
  <c r="BH59" i="20"/>
  <c r="BG59" i="20"/>
  <c r="BF59" i="20"/>
  <c r="BE59" i="20"/>
  <c r="BD59" i="20"/>
  <c r="BB59" i="20"/>
  <c r="BA59" i="20"/>
  <c r="AZ59" i="20"/>
  <c r="AY59" i="20"/>
  <c r="AX59" i="20"/>
  <c r="AW59" i="20"/>
  <c r="AV59" i="20"/>
  <c r="AU59" i="20"/>
  <c r="BI58" i="20"/>
  <c r="BH58" i="20"/>
  <c r="BG58" i="20"/>
  <c r="BF58" i="20"/>
  <c r="BE58" i="20"/>
  <c r="BD58" i="20"/>
  <c r="BC58" i="20"/>
  <c r="BA58" i="20"/>
  <c r="AZ58" i="20"/>
  <c r="AY58" i="20"/>
  <c r="AX58" i="20"/>
  <c r="AW58" i="20"/>
  <c r="AV58" i="20"/>
  <c r="AU58" i="20"/>
  <c r="BI57" i="20"/>
  <c r="BH57" i="20"/>
  <c r="BG57" i="20"/>
  <c r="BF57" i="20"/>
  <c r="BE57" i="20"/>
  <c r="BD57" i="20"/>
  <c r="BC57" i="20"/>
  <c r="BB57" i="20"/>
  <c r="AZ57" i="20"/>
  <c r="AY57" i="20"/>
  <c r="AX57" i="20"/>
  <c r="AW57" i="20"/>
  <c r="AV57" i="20"/>
  <c r="AU57" i="20"/>
  <c r="BI56" i="20"/>
  <c r="BH56" i="20"/>
  <c r="BG56" i="20"/>
  <c r="BF56" i="20"/>
  <c r="BE56" i="20"/>
  <c r="BD56" i="20"/>
  <c r="BC56" i="20"/>
  <c r="BB56" i="20"/>
  <c r="BA56" i="20"/>
  <c r="AZ56" i="20"/>
  <c r="AY56" i="20"/>
  <c r="AX56" i="20"/>
  <c r="AW56" i="20"/>
  <c r="AV56" i="20"/>
  <c r="AU56" i="20"/>
  <c r="BI55" i="20"/>
  <c r="BH55" i="20"/>
  <c r="BG55" i="20"/>
  <c r="BF55" i="20"/>
  <c r="BE55" i="20"/>
  <c r="BD55" i="20"/>
  <c r="BC55" i="20"/>
  <c r="BB55" i="20"/>
  <c r="BA55" i="20"/>
  <c r="AY55" i="20"/>
  <c r="AX55" i="20"/>
  <c r="AW55" i="20"/>
  <c r="AV55" i="20"/>
  <c r="AU55" i="20"/>
  <c r="BI54" i="20"/>
  <c r="BH54" i="20"/>
  <c r="BG54" i="20"/>
  <c r="BF54" i="20"/>
  <c r="BE54" i="20"/>
  <c r="BD54" i="20"/>
  <c r="BC54" i="20"/>
  <c r="BB54" i="20"/>
  <c r="BA54" i="20"/>
  <c r="AZ54" i="20"/>
  <c r="AY54" i="20"/>
  <c r="AX54" i="20"/>
  <c r="AW54" i="20"/>
  <c r="AV54" i="20"/>
  <c r="AU54" i="20"/>
  <c r="BI53" i="20"/>
  <c r="BH53" i="20"/>
  <c r="BG53" i="20"/>
  <c r="BF53" i="20"/>
  <c r="BE53" i="20"/>
  <c r="BD53" i="20"/>
  <c r="BC53" i="20"/>
  <c r="BB53" i="20"/>
  <c r="BA53" i="20"/>
  <c r="AZ53" i="20"/>
  <c r="AX53" i="20"/>
  <c r="AW53" i="20"/>
  <c r="AV53" i="20"/>
  <c r="AU53" i="20"/>
  <c r="BI52" i="20"/>
  <c r="BH52" i="20"/>
  <c r="BG52" i="20"/>
  <c r="BF52" i="20"/>
  <c r="BE52" i="20"/>
  <c r="BD52" i="20"/>
  <c r="BC52" i="20"/>
  <c r="BB52" i="20"/>
  <c r="BA52" i="20"/>
  <c r="AZ52" i="20"/>
  <c r="AY52" i="20"/>
  <c r="AX52" i="20"/>
  <c r="AW52" i="20"/>
  <c r="AV52" i="20"/>
  <c r="AU52" i="20"/>
  <c r="BI51" i="20"/>
  <c r="BH51" i="20"/>
  <c r="BG51" i="20"/>
  <c r="BF51" i="20"/>
  <c r="BE51" i="20"/>
  <c r="BD51" i="20"/>
  <c r="BC51" i="20"/>
  <c r="BB51" i="20"/>
  <c r="BA51" i="20"/>
  <c r="AZ51" i="20"/>
  <c r="AY51" i="20"/>
  <c r="AW51" i="20"/>
  <c r="AV51" i="20"/>
  <c r="AU51" i="20"/>
  <c r="BH50" i="20"/>
  <c r="BG50" i="20"/>
  <c r="BE50" i="20"/>
  <c r="BD50" i="20"/>
  <c r="AV50" i="20"/>
  <c r="AU50" i="20"/>
  <c r="BH49" i="20"/>
  <c r="BG49" i="20"/>
  <c r="BF49" i="20"/>
  <c r="BE49" i="20"/>
  <c r="BD49" i="20"/>
  <c r="BC49" i="20"/>
  <c r="BB49" i="20"/>
  <c r="BA49" i="20"/>
  <c r="AZ49" i="20"/>
  <c r="AY49" i="20"/>
  <c r="AX49" i="20"/>
  <c r="AW49" i="20"/>
  <c r="AV49" i="20"/>
  <c r="AU49" i="20"/>
  <c r="BI48" i="20"/>
  <c r="BH48" i="20"/>
  <c r="BG48" i="20"/>
  <c r="BF48" i="20"/>
  <c r="BE48" i="20"/>
  <c r="BD48" i="20"/>
  <c r="BC48" i="20"/>
  <c r="BB48" i="20"/>
  <c r="BA48" i="20"/>
  <c r="AZ48" i="20"/>
  <c r="AY48" i="20"/>
  <c r="AX48" i="20"/>
  <c r="AW48" i="20"/>
  <c r="AU48" i="20"/>
  <c r="BI47" i="20"/>
  <c r="BH47" i="20"/>
  <c r="BG47" i="20"/>
  <c r="BF47" i="20"/>
  <c r="BE47" i="20"/>
  <c r="BD47" i="20"/>
  <c r="BC47" i="20"/>
  <c r="BB47" i="20"/>
  <c r="BA47" i="20"/>
  <c r="AZ47" i="20"/>
  <c r="AY47" i="20"/>
  <c r="AX47" i="20"/>
  <c r="BH46" i="20"/>
  <c r="BG46" i="20"/>
  <c r="BF46" i="20"/>
  <c r="BC46" i="20"/>
  <c r="BB46" i="20"/>
  <c r="BA46" i="20"/>
  <c r="AZ46" i="20"/>
  <c r="AY46" i="20"/>
  <c r="AX46" i="20"/>
  <c r="AW46" i="20"/>
  <c r="AV46" i="20"/>
  <c r="AU46" i="20"/>
  <c r="BH45" i="20"/>
  <c r="BG45" i="20"/>
  <c r="BF45" i="20"/>
  <c r="BC45" i="20"/>
  <c r="BB45" i="20"/>
  <c r="BA45" i="20"/>
  <c r="AZ45" i="20"/>
  <c r="AY45" i="20"/>
  <c r="AX45" i="20"/>
  <c r="BI44" i="20"/>
  <c r="BH44" i="20"/>
  <c r="BG44" i="20"/>
  <c r="BF44" i="20"/>
  <c r="BE44" i="20"/>
  <c r="BD44" i="20"/>
  <c r="BC44" i="20"/>
  <c r="BB44" i="20"/>
  <c r="BA44" i="20"/>
  <c r="AZ44" i="20"/>
  <c r="AY44" i="20"/>
  <c r="AX44" i="20"/>
  <c r="AV44" i="20"/>
  <c r="AU44" i="20"/>
  <c r="BI43" i="20"/>
  <c r="BH43" i="20"/>
  <c r="BG43" i="20"/>
  <c r="BF43" i="20"/>
  <c r="BE43" i="20"/>
  <c r="BD43" i="20"/>
  <c r="BC43" i="20"/>
  <c r="BB43" i="20"/>
  <c r="BA43" i="20"/>
  <c r="AZ43" i="20"/>
  <c r="AY43" i="20"/>
  <c r="AX43" i="20"/>
  <c r="AW43" i="20"/>
  <c r="AU43" i="20"/>
  <c r="BI42" i="20"/>
  <c r="BH42" i="20"/>
  <c r="BG42" i="20"/>
  <c r="BF42" i="20"/>
  <c r="BE42" i="20"/>
  <c r="BD42" i="20"/>
  <c r="BC42" i="20"/>
  <c r="BB42" i="20"/>
  <c r="BA42" i="20"/>
  <c r="AZ42" i="20"/>
  <c r="AY42" i="20"/>
  <c r="AX42" i="20"/>
  <c r="AW42" i="20"/>
  <c r="AV42" i="20"/>
  <c r="CP281" i="9"/>
  <c r="CQ280" i="9"/>
  <c r="CP280" i="9"/>
  <c r="CQ279" i="9"/>
  <c r="CP279" i="9"/>
  <c r="CP278" i="9"/>
  <c r="CP277" i="9"/>
  <c r="CM277" i="9"/>
  <c r="CP276" i="9"/>
  <c r="CN276" i="9"/>
  <c r="CM276" i="9"/>
  <c r="CP275" i="9"/>
  <c r="CM275" i="9"/>
  <c r="CQ274" i="9"/>
  <c r="CP274" i="9"/>
  <c r="CM274" i="9"/>
  <c r="CP273" i="9"/>
  <c r="CM273" i="9"/>
  <c r="CP272" i="9"/>
  <c r="CM272" i="9"/>
  <c r="CP271" i="9"/>
  <c r="CM271" i="9"/>
  <c r="CQ257" i="9"/>
  <c r="CP257" i="9"/>
  <c r="CP256" i="9"/>
  <c r="CN256" i="9"/>
  <c r="CQ255" i="9"/>
  <c r="CP255" i="9"/>
  <c r="BU248" i="9"/>
  <c r="BU249" i="9" s="1"/>
  <c r="BB87" i="22" s="1"/>
  <c r="BB46" i="22" s="1"/>
  <c r="CP242" i="9"/>
  <c r="CQ241" i="9"/>
  <c r="CP241" i="9"/>
  <c r="O241" i="9"/>
  <c r="EZ240" i="9"/>
  <c r="EX240" i="9"/>
  <c r="EE240" i="9"/>
  <c r="EC240" i="9"/>
  <c r="DJ240" i="9"/>
  <c r="CQ240" i="9"/>
  <c r="CP240" i="9"/>
  <c r="O240" i="9"/>
  <c r="EZ239" i="9"/>
  <c r="EE239" i="9"/>
  <c r="DJ239" i="9"/>
  <c r="CP239" i="9"/>
  <c r="EZ238" i="9"/>
  <c r="EE238" i="9"/>
  <c r="DJ238" i="9"/>
  <c r="CQ238" i="9"/>
  <c r="CP238" i="9"/>
  <c r="FA237" i="9"/>
  <c r="EZ237" i="9"/>
  <c r="EF237" i="9"/>
  <c r="EE237" i="9"/>
  <c r="DS237" i="9"/>
  <c r="DK237" i="9"/>
  <c r="DJ237" i="9"/>
  <c r="CY237" i="9"/>
  <c r="BU237" i="9"/>
  <c r="BU236" i="9"/>
  <c r="BU238" i="9" s="1"/>
  <c r="BB86" i="22" s="1"/>
  <c r="BB45" i="22" s="1"/>
  <c r="AI233" i="9"/>
  <c r="AJ232" i="9"/>
  <c r="AI232" i="9"/>
  <c r="AI231" i="9"/>
  <c r="CZ229" i="9"/>
  <c r="E229" i="9"/>
  <c r="CQ228" i="9"/>
  <c r="CP228" i="9"/>
  <c r="E228" i="9"/>
  <c r="CP227" i="9"/>
  <c r="E227" i="9"/>
  <c r="CP226" i="9"/>
  <c r="E226" i="9"/>
  <c r="CP225" i="9"/>
  <c r="CP224" i="9"/>
  <c r="CP223" i="9"/>
  <c r="CQ222" i="9"/>
  <c r="CP222" i="9"/>
  <c r="BU217" i="9"/>
  <c r="BB217" i="9"/>
  <c r="AI217" i="9"/>
  <c r="AG217" i="9"/>
  <c r="O217" i="9"/>
  <c r="M217" i="9"/>
  <c r="BU216" i="9"/>
  <c r="BB216" i="9"/>
  <c r="AZ216" i="9"/>
  <c r="AI216" i="9"/>
  <c r="O216" i="9"/>
  <c r="M216" i="9"/>
  <c r="BU215" i="9"/>
  <c r="BB215" i="9"/>
  <c r="AZ215" i="9"/>
  <c r="AI215" i="9"/>
  <c r="O215" i="9"/>
  <c r="BU214" i="9"/>
  <c r="BB214" i="9"/>
  <c r="AI214" i="9"/>
  <c r="O214" i="9"/>
  <c r="BU213" i="9"/>
  <c r="BC213" i="9"/>
  <c r="BB213" i="9"/>
  <c r="AI213" i="9"/>
  <c r="O213" i="9"/>
  <c r="BU212" i="9"/>
  <c r="BB212" i="9"/>
  <c r="AI212" i="9"/>
  <c r="AG212" i="9"/>
  <c r="O212" i="9"/>
  <c r="BV211" i="9"/>
  <c r="BU211" i="9"/>
  <c r="BC211" i="9"/>
  <c r="BB211" i="9"/>
  <c r="AJ211" i="9"/>
  <c r="AI211" i="9"/>
  <c r="AG211" i="9"/>
  <c r="O211" i="9"/>
  <c r="BI195" i="9"/>
  <c r="BJ194" i="9"/>
  <c r="Z194" i="9"/>
  <c r="BJ193" i="9"/>
  <c r="Z193" i="9"/>
  <c r="BJ192" i="9"/>
  <c r="Z192" i="9"/>
  <c r="BJ191" i="9"/>
  <c r="Z191" i="9"/>
  <c r="BJ190" i="9"/>
  <c r="Z190" i="9"/>
  <c r="Z189" i="9"/>
  <c r="Z188" i="9"/>
  <c r="Z187" i="9"/>
  <c r="Z186" i="9"/>
  <c r="Z185" i="9"/>
  <c r="P168" i="9"/>
  <c r="O168" i="9"/>
  <c r="O167" i="9"/>
  <c r="EF159" i="9"/>
  <c r="EF158" i="9"/>
  <c r="EF157" i="9"/>
  <c r="BU157" i="9"/>
  <c r="BA87" i="22" s="1"/>
  <c r="E157" i="9"/>
  <c r="EG156" i="9"/>
  <c r="EF156" i="9"/>
  <c r="BU156" i="9"/>
  <c r="O156" i="9"/>
  <c r="O155" i="9"/>
  <c r="FG148" i="9"/>
  <c r="FF148" i="9"/>
  <c r="FD148" i="9"/>
  <c r="AJ148" i="9"/>
  <c r="AI148" i="9"/>
  <c r="E148" i="9"/>
  <c r="FG147" i="9"/>
  <c r="FF147" i="9"/>
  <c r="AJ147" i="9"/>
  <c r="AI147" i="9"/>
  <c r="E147" i="9"/>
  <c r="FF146" i="9"/>
  <c r="FD146" i="9"/>
  <c r="BU146" i="9"/>
  <c r="BA86" i="22" s="1"/>
  <c r="AI146" i="9"/>
  <c r="AG146" i="9"/>
  <c r="E146" i="9"/>
  <c r="FF145" i="9"/>
  <c r="EF145" i="9"/>
  <c r="BU145" i="9"/>
  <c r="BS145" i="9"/>
  <c r="E145" i="9"/>
  <c r="EF144" i="9"/>
  <c r="ED144" i="9"/>
  <c r="CP144" i="9"/>
  <c r="BU144" i="9"/>
  <c r="D144" i="9"/>
  <c r="E144" i="9" s="1"/>
  <c r="CP143" i="9"/>
  <c r="D143" i="9"/>
  <c r="E143" i="9" s="1"/>
  <c r="CQ142" i="9"/>
  <c r="CP142" i="9"/>
  <c r="CN142" i="9"/>
  <c r="E142" i="9"/>
  <c r="E141" i="9"/>
  <c r="EF132" i="9"/>
  <c r="BS132" i="9"/>
  <c r="BR132" i="9"/>
  <c r="AY132" i="9"/>
  <c r="AF132" i="9"/>
  <c r="L132" i="9"/>
  <c r="EF131" i="9"/>
  <c r="DT131" i="9"/>
  <c r="L22" i="13" s="1"/>
  <c r="BV131" i="9"/>
  <c r="BU131" i="9"/>
  <c r="BS131" i="9"/>
  <c r="BB131" i="9"/>
  <c r="AJ131" i="9"/>
  <c r="AI131" i="9"/>
  <c r="P131" i="9"/>
  <c r="O131" i="9"/>
  <c r="FF130" i="9"/>
  <c r="FF131" i="9" s="1"/>
  <c r="AJ137" i="22" s="1"/>
  <c r="EF130" i="9"/>
  <c r="CQ130" i="9"/>
  <c r="CP130" i="9"/>
  <c r="CP131" i="9" s="1"/>
  <c r="BU130" i="9"/>
  <c r="BS130" i="9"/>
  <c r="BB130" i="9"/>
  <c r="AZ130" i="9"/>
  <c r="AQ130" i="9"/>
  <c r="M12" i="13" s="1"/>
  <c r="AI130" i="9"/>
  <c r="AG130" i="9"/>
  <c r="O130" i="9"/>
  <c r="DU120" i="9"/>
  <c r="DV120" i="9" s="1"/>
  <c r="EF119" i="9"/>
  <c r="BF87" i="22" s="1"/>
  <c r="BF46" i="22" s="1"/>
  <c r="EF118" i="9"/>
  <c r="CP118" i="9"/>
  <c r="CP119" i="9" s="1"/>
  <c r="EQ117" i="9"/>
  <c r="ER117" i="9" s="1"/>
  <c r="BI116" i="9"/>
  <c r="BJ115" i="9"/>
  <c r="BJ114" i="9"/>
  <c r="BI113" i="9"/>
  <c r="BJ113" i="9" s="1"/>
  <c r="FF109" i="9"/>
  <c r="FD108" i="9"/>
  <c r="FD109" i="9" s="1"/>
  <c r="DU107" i="9"/>
  <c r="DV107" i="9" s="1"/>
  <c r="O77" i="9"/>
  <c r="O78" i="9" s="1"/>
  <c r="AR86" i="22" s="1"/>
  <c r="M77" i="9"/>
  <c r="O76" i="9"/>
  <c r="E71" i="9"/>
  <c r="E70" i="9"/>
  <c r="AI69" i="9"/>
  <c r="AH69" i="9"/>
  <c r="E69" i="9"/>
  <c r="AI68" i="9"/>
  <c r="AH68" i="9"/>
  <c r="AF68" i="9"/>
  <c r="E68" i="9"/>
  <c r="AI67" i="9"/>
  <c r="AH67" i="9"/>
  <c r="E67" i="9"/>
  <c r="E66" i="9"/>
  <c r="D65" i="9"/>
  <c r="D72" i="9" s="1"/>
  <c r="BT62" i="9"/>
  <c r="BP62" i="9"/>
  <c r="BU61" i="9"/>
  <c r="BT61" i="9"/>
  <c r="BR61" i="9"/>
  <c r="BU60" i="9"/>
  <c r="BT60" i="9"/>
  <c r="BR60" i="9"/>
  <c r="BP60" i="9"/>
  <c r="BS60" i="9" s="1"/>
  <c r="BU59" i="9"/>
  <c r="BT59" i="9"/>
  <c r="BP59" i="9"/>
  <c r="AR59" i="9"/>
  <c r="BB51" i="9"/>
  <c r="BA51" i="9"/>
  <c r="AY51" i="9"/>
  <c r="AW51" i="9"/>
  <c r="AI51" i="9"/>
  <c r="AH51" i="9"/>
  <c r="O51" i="9"/>
  <c r="K51" i="9"/>
  <c r="BA50" i="9"/>
  <c r="AY50" i="9"/>
  <c r="AW50" i="9"/>
  <c r="AH50" i="9"/>
  <c r="AF50" i="9"/>
  <c r="AG50" i="9" s="1"/>
  <c r="P50" i="9"/>
  <c r="O50" i="9"/>
  <c r="K50" i="9"/>
  <c r="N50" i="9" s="1"/>
  <c r="BB49" i="9"/>
  <c r="BA49" i="9"/>
  <c r="AW49" i="9"/>
  <c r="AI49" i="9"/>
  <c r="AH49" i="9"/>
  <c r="P49" i="9"/>
  <c r="O49" i="9"/>
  <c r="M49" i="9"/>
  <c r="N49" i="9" s="1"/>
  <c r="K49" i="9"/>
  <c r="BA48" i="9"/>
  <c r="AY48" i="9"/>
  <c r="AZ48" i="9" s="1"/>
  <c r="AW48" i="9"/>
  <c r="AI48" i="9"/>
  <c r="AH48" i="9"/>
  <c r="P48" i="9"/>
  <c r="O48" i="9"/>
  <c r="M48" i="9"/>
  <c r="K48" i="9"/>
  <c r="BT47" i="9"/>
  <c r="BR47" i="9"/>
  <c r="BA47" i="9"/>
  <c r="AH47" i="9"/>
  <c r="O47" i="9"/>
  <c r="BT46" i="9"/>
  <c r="BB46" i="9"/>
  <c r="BA46" i="9"/>
  <c r="AP46" i="9"/>
  <c r="M6" i="13" s="1"/>
  <c r="AH46" i="9"/>
  <c r="O46" i="9"/>
  <c r="BJ35" i="9"/>
  <c r="BK34" i="9"/>
  <c r="BK33" i="9"/>
  <c r="BK32" i="9"/>
  <c r="BK31" i="9"/>
  <c r="BK30" i="9"/>
  <c r="BJ29" i="9"/>
  <c r="BK35" i="9" s="1"/>
  <c r="BK28" i="9"/>
  <c r="D281" i="11"/>
  <c r="D275" i="11"/>
  <c r="D264" i="11"/>
  <c r="M259" i="11"/>
  <c r="D259" i="11"/>
  <c r="J258" i="11"/>
  <c r="G258" i="11"/>
  <c r="J252" i="11"/>
  <c r="D247" i="11"/>
  <c r="M242" i="11"/>
  <c r="J242" i="11"/>
  <c r="D242" i="11"/>
  <c r="M241" i="11"/>
  <c r="M240" i="11"/>
  <c r="G241" i="11" s="1"/>
  <c r="J240" i="11"/>
  <c r="CL236" i="11"/>
  <c r="J235" i="11"/>
  <c r="L223" i="11"/>
  <c r="BQ219" i="11"/>
  <c r="J217" i="11"/>
  <c r="D217" i="11"/>
  <c r="M216" i="11"/>
  <c r="M215" i="11"/>
  <c r="CG204" i="11"/>
  <c r="CW199" i="11"/>
  <c r="CV199" i="11"/>
  <c r="E199" i="11"/>
  <c r="O193" i="11"/>
  <c r="E193" i="11"/>
  <c r="E192" i="11"/>
  <c r="E191" i="11"/>
  <c r="E190" i="11"/>
  <c r="D190" i="11"/>
  <c r="D195" i="11" s="1"/>
  <c r="E170" i="11"/>
  <c r="E166" i="11"/>
  <c r="E163" i="11"/>
  <c r="L114" i="11"/>
  <c r="Q112" i="11"/>
  <c r="AJ109" i="11"/>
  <c r="AB108" i="11"/>
  <c r="R108" i="11"/>
  <c r="J107" i="11"/>
  <c r="G107" i="11"/>
  <c r="E101" i="11"/>
  <c r="E100" i="11"/>
  <c r="H98" i="11"/>
  <c r="G98" i="11"/>
  <c r="E91" i="11"/>
  <c r="AB90" i="11"/>
  <c r="H90" i="11"/>
  <c r="G90" i="11"/>
  <c r="E89" i="11"/>
  <c r="D89" i="11"/>
  <c r="D94" i="11" s="1"/>
  <c r="AA80" i="11"/>
  <c r="C74" i="11"/>
  <c r="D65" i="11"/>
  <c r="D64" i="11"/>
  <c r="M61" i="11"/>
  <c r="H61" i="11"/>
  <c r="Q61" i="11" s="1"/>
  <c r="M60" i="11"/>
  <c r="D60" i="11"/>
  <c r="Q59" i="11"/>
  <c r="E43" i="11"/>
  <c r="E41" i="11"/>
  <c r="E37" i="11" s="1"/>
  <c r="M38" i="11"/>
  <c r="H37" i="11"/>
  <c r="H36" i="11"/>
  <c r="E36" i="11"/>
  <c r="E32" i="11"/>
  <c r="V13" i="11" s="1"/>
  <c r="E30" i="11"/>
  <c r="E27" i="11"/>
  <c r="H26" i="11"/>
  <c r="E25" i="11"/>
  <c r="H23" i="11"/>
  <c r="H21" i="11"/>
  <c r="H20" i="11"/>
  <c r="V15" i="11"/>
  <c r="F13" i="11"/>
  <c r="D13" i="11"/>
  <c r="E13" i="11" s="1"/>
  <c r="G13" i="11" s="1"/>
  <c r="D12" i="11"/>
  <c r="E12" i="11" s="1"/>
  <c r="F49" i="3"/>
  <c r="E49" i="3"/>
  <c r="E48" i="3"/>
  <c r="E47" i="3"/>
  <c r="E46" i="3"/>
  <c r="CQ276" i="9" s="1"/>
  <c r="D46" i="3"/>
  <c r="G46" i="3" s="1"/>
  <c r="E45" i="3"/>
  <c r="CQ275" i="9" s="1"/>
  <c r="D45" i="3"/>
  <c r="E44" i="3"/>
  <c r="E43" i="3"/>
  <c r="CQ273" i="9" s="1"/>
  <c r="E42" i="3"/>
  <c r="CQ272" i="9" s="1"/>
  <c r="E41" i="3"/>
  <c r="CQ271" i="9" s="1"/>
  <c r="G40" i="3"/>
  <c r="G39" i="3"/>
  <c r="E38" i="3"/>
  <c r="D38" i="3"/>
  <c r="G37" i="3"/>
  <c r="D37" i="3"/>
  <c r="E36" i="3"/>
  <c r="D36" i="3"/>
  <c r="G36" i="3" s="1"/>
  <c r="D34" i="3"/>
  <c r="G34" i="3" s="1"/>
  <c r="E33" i="3"/>
  <c r="D33" i="3"/>
  <c r="G33" i="3" s="1"/>
  <c r="G32" i="3"/>
  <c r="E32" i="3"/>
  <c r="D32" i="3"/>
  <c r="E31" i="3"/>
  <c r="D30" i="3"/>
  <c r="G30" i="3" s="1"/>
  <c r="E29" i="3"/>
  <c r="D29" i="3"/>
  <c r="G29" i="3" s="1"/>
  <c r="E28" i="3"/>
  <c r="D28" i="3"/>
  <c r="G27" i="3"/>
  <c r="E27" i="3"/>
  <c r="D27" i="3"/>
  <c r="M50" i="9" s="1"/>
  <c r="C27" i="3"/>
  <c r="E26" i="3"/>
  <c r="D26" i="3"/>
  <c r="E25" i="3"/>
  <c r="D25" i="3"/>
  <c r="AG214" i="9" s="1"/>
  <c r="E24" i="3"/>
  <c r="D24" i="3"/>
  <c r="G23" i="3"/>
  <c r="E23" i="3"/>
  <c r="P211" i="9" s="1"/>
  <c r="D23" i="3"/>
  <c r="M211" i="9" s="1"/>
  <c r="E22" i="3"/>
  <c r="D22" i="3"/>
  <c r="G22" i="3" s="1"/>
  <c r="E21" i="3"/>
  <c r="D21" i="3"/>
  <c r="AF51" i="9" s="1"/>
  <c r="AG51" i="9" s="1"/>
  <c r="E20" i="3"/>
  <c r="D20" i="3"/>
  <c r="D49" i="3" s="1"/>
  <c r="G49" i="3" s="1"/>
  <c r="G19" i="3"/>
  <c r="E19" i="3"/>
  <c r="FG146" i="9" s="1"/>
  <c r="D19" i="3"/>
  <c r="J216" i="11" s="1"/>
  <c r="E18" i="3"/>
  <c r="D18" i="3"/>
  <c r="M168" i="9" s="1"/>
  <c r="E17" i="3"/>
  <c r="E16" i="3"/>
  <c r="D16" i="3"/>
  <c r="AZ212" i="9" s="1"/>
  <c r="E15" i="3"/>
  <c r="E14" i="3"/>
  <c r="BC216" i="9" s="1"/>
  <c r="D14" i="3"/>
  <c r="CN227" i="9" s="1"/>
  <c r="E13" i="3"/>
  <c r="D13" i="3"/>
  <c r="G13" i="3" s="1"/>
  <c r="G12" i="3"/>
  <c r="E12" i="3"/>
  <c r="BV144" i="9" s="1"/>
  <c r="D12" i="3"/>
  <c r="G11" i="3"/>
  <c r="E11" i="3"/>
  <c r="D11" i="3"/>
  <c r="E10" i="3"/>
  <c r="D10" i="3"/>
  <c r="E9" i="3"/>
  <c r="FG130" i="9" s="1"/>
  <c r="FG131" i="9" s="1"/>
  <c r="D9" i="3"/>
  <c r="E8" i="3"/>
  <c r="AJ146" i="9" s="1"/>
  <c r="D8" i="3"/>
  <c r="M59" i="11" s="1"/>
  <c r="U7" i="3"/>
  <c r="T7" i="3"/>
  <c r="S7" i="3"/>
  <c r="R7" i="3"/>
  <c r="F7" i="3"/>
  <c r="FF108" i="9" s="1"/>
  <c r="E7" i="3"/>
  <c r="FG108" i="9" s="1"/>
  <c r="D7" i="3"/>
  <c r="H43" i="11" s="1"/>
  <c r="S6" i="3"/>
  <c r="R6" i="3"/>
  <c r="H6" i="3"/>
  <c r="G6" i="3"/>
  <c r="E6" i="3"/>
  <c r="D6" i="3"/>
  <c r="S5" i="3"/>
  <c r="R5" i="3"/>
  <c r="M5" i="3"/>
  <c r="O5" i="3" s="1"/>
  <c r="E5" i="3"/>
  <c r="D5" i="3"/>
  <c r="H19" i="11" s="1"/>
  <c r="AC4" i="3"/>
  <c r="Y4" i="3"/>
  <c r="E37" i="29" l="1"/>
  <c r="E25" i="29"/>
  <c r="E13" i="29"/>
  <c r="E36" i="29"/>
  <c r="E24" i="29"/>
  <c r="E12" i="29"/>
  <c r="E35" i="29"/>
  <c r="E23" i="29"/>
  <c r="E11" i="29"/>
  <c r="E34" i="29"/>
  <c r="E22" i="29"/>
  <c r="E10" i="29"/>
  <c r="E33" i="29"/>
  <c r="E21" i="29"/>
  <c r="E9" i="29"/>
  <c r="E32" i="29"/>
  <c r="E26" i="29"/>
  <c r="E5" i="29"/>
  <c r="E27" i="29"/>
  <c r="C38" i="29"/>
  <c r="K38" i="29" s="1"/>
  <c r="C26" i="29"/>
  <c r="K26" i="29" s="1"/>
  <c r="C14" i="29"/>
  <c r="K14" i="29" s="1"/>
  <c r="C37" i="29"/>
  <c r="C25" i="29"/>
  <c r="C13" i="29"/>
  <c r="C36" i="29"/>
  <c r="C24" i="29"/>
  <c r="C12" i="29"/>
  <c r="C35" i="29"/>
  <c r="C23" i="29"/>
  <c r="C11" i="29"/>
  <c r="C34" i="29"/>
  <c r="C22" i="29"/>
  <c r="C10" i="29"/>
  <c r="K10" i="29" s="1"/>
  <c r="C21" i="29"/>
  <c r="E6" i="29"/>
  <c r="E28" i="29"/>
  <c r="C5" i="29"/>
  <c r="C27" i="29"/>
  <c r="E7" i="29"/>
  <c r="E29" i="29"/>
  <c r="C6" i="29"/>
  <c r="K6" i="29" s="1"/>
  <c r="C28" i="29"/>
  <c r="K28" i="29" s="1"/>
  <c r="E8" i="29"/>
  <c r="E30" i="29"/>
  <c r="C7" i="29"/>
  <c r="C29" i="29"/>
  <c r="E14" i="29"/>
  <c r="E31" i="29"/>
  <c r="C8" i="29"/>
  <c r="C30" i="29"/>
  <c r="E15" i="29"/>
  <c r="E38" i="29"/>
  <c r="C9" i="29"/>
  <c r="K9" i="29" s="1"/>
  <c r="C31" i="29"/>
  <c r="E16" i="29"/>
  <c r="E39" i="29"/>
  <c r="C15" i="29"/>
  <c r="K15" i="29" s="1"/>
  <c r="C32" i="29"/>
  <c r="E17" i="29"/>
  <c r="E40" i="29"/>
  <c r="C16" i="29"/>
  <c r="C33" i="29"/>
  <c r="K33" i="29" s="1"/>
  <c r="E18" i="29"/>
  <c r="C17" i="29"/>
  <c r="K17" i="29" s="1"/>
  <c r="C39" i="29"/>
  <c r="E19" i="29"/>
  <c r="K19" i="29" s="1"/>
  <c r="I35" i="29"/>
  <c r="I23" i="29"/>
  <c r="I11" i="29"/>
  <c r="I34" i="29"/>
  <c r="I22" i="29"/>
  <c r="I10" i="29"/>
  <c r="I33" i="29"/>
  <c r="I21" i="29"/>
  <c r="I9" i="29"/>
  <c r="I32" i="29"/>
  <c r="I20" i="29"/>
  <c r="I8" i="29"/>
  <c r="I31" i="29"/>
  <c r="I19" i="29"/>
  <c r="I7" i="29"/>
  <c r="I30" i="29"/>
  <c r="I18" i="29"/>
  <c r="I6" i="29"/>
  <c r="I28" i="29"/>
  <c r="C18" i="29"/>
  <c r="C40" i="29"/>
  <c r="K40" i="29" s="1"/>
  <c r="E20" i="29"/>
  <c r="K20" i="29" s="1"/>
  <c r="I5" i="29"/>
  <c r="I29" i="29"/>
  <c r="C53" i="29"/>
  <c r="I53" i="29" s="1"/>
  <c r="C52" i="29"/>
  <c r="I52" i="29" s="1"/>
  <c r="C51" i="29"/>
  <c r="I51" i="29" s="1"/>
  <c r="C62" i="29"/>
  <c r="I62" i="29" s="1"/>
  <c r="C50" i="29"/>
  <c r="I50" i="29" s="1"/>
  <c r="C61" i="29"/>
  <c r="I61" i="29" s="1"/>
  <c r="C49" i="29"/>
  <c r="I49" i="29" s="1"/>
  <c r="C60" i="29"/>
  <c r="I60" i="29" s="1"/>
  <c r="C48" i="29"/>
  <c r="I48" i="29" s="1"/>
  <c r="DH250" i="9"/>
  <c r="AR45" i="22"/>
  <c r="M62" i="11"/>
  <c r="AR60" i="9"/>
  <c r="Z60" i="9"/>
  <c r="G12" i="11"/>
  <c r="E195" i="11"/>
  <c r="AH48" i="14"/>
  <c r="AH44" i="14"/>
  <c r="AH30" i="14"/>
  <c r="AH26" i="14"/>
  <c r="AH22" i="14"/>
  <c r="AH18" i="14"/>
  <c r="AH8" i="14"/>
  <c r="AH111" i="14"/>
  <c r="AH107" i="14"/>
  <c r="AH103" i="14"/>
  <c r="AH99" i="14"/>
  <c r="AH95" i="14"/>
  <c r="AH91" i="14"/>
  <c r="AH87" i="14"/>
  <c r="AH83" i="14"/>
  <c r="AH79" i="14"/>
  <c r="AH75" i="14"/>
  <c r="AH71" i="14"/>
  <c r="AH67" i="14"/>
  <c r="AH64" i="14"/>
  <c r="AH62" i="14"/>
  <c r="AH60" i="14"/>
  <c r="AH58" i="14"/>
  <c r="AH56" i="14"/>
  <c r="AH54" i="14"/>
  <c r="AH52" i="14"/>
  <c r="AH50" i="14"/>
  <c r="AH40" i="14"/>
  <c r="AH36" i="14"/>
  <c r="AH33" i="14"/>
  <c r="AH24" i="14"/>
  <c r="AH14" i="14"/>
  <c r="AH10" i="14"/>
  <c r="AH6" i="14"/>
  <c r="AH47" i="14"/>
  <c r="AH43" i="14"/>
  <c r="AH29" i="14"/>
  <c r="AH21" i="14"/>
  <c r="AH110" i="14"/>
  <c r="AH106" i="14"/>
  <c r="AH102" i="14"/>
  <c r="AH98" i="14"/>
  <c r="AH94" i="14"/>
  <c r="AH90" i="14"/>
  <c r="AH86" i="14"/>
  <c r="AH82" i="14"/>
  <c r="AH78" i="14"/>
  <c r="AH74" i="14"/>
  <c r="AH70" i="14"/>
  <c r="AH66" i="14"/>
  <c r="AH39" i="14"/>
  <c r="AH35" i="14"/>
  <c r="AH16" i="14"/>
  <c r="AH13" i="14"/>
  <c r="AH9" i="14"/>
  <c r="AH5" i="14"/>
  <c r="AH46" i="14"/>
  <c r="AH42" i="14"/>
  <c r="AH32" i="14"/>
  <c r="AH28" i="14"/>
  <c r="AH20" i="14"/>
  <c r="AH109" i="14"/>
  <c r="AH105" i="14"/>
  <c r="AH101" i="14"/>
  <c r="AH97" i="14"/>
  <c r="AH93" i="14"/>
  <c r="AH89" i="14"/>
  <c r="AH85" i="14"/>
  <c r="AH81" i="14"/>
  <c r="AH77" i="14"/>
  <c r="AH73" i="14"/>
  <c r="AH69" i="14"/>
  <c r="AH65" i="14"/>
  <c r="AH63" i="14"/>
  <c r="AH61" i="14"/>
  <c r="AH59" i="14"/>
  <c r="AH57" i="14"/>
  <c r="AH55" i="14"/>
  <c r="AH53" i="14"/>
  <c r="AH51" i="14"/>
  <c r="AH38" i="14"/>
  <c r="AH25" i="14"/>
  <c r="AH7" i="14"/>
  <c r="I32" i="25"/>
  <c r="AH17" i="14"/>
  <c r="AH12" i="14"/>
  <c r="AH4" i="14"/>
  <c r="AH49" i="14"/>
  <c r="AH45" i="14"/>
  <c r="AH34" i="14"/>
  <c r="AH31" i="14"/>
  <c r="AH27" i="14"/>
  <c r="AH23" i="14"/>
  <c r="AH19" i="14"/>
  <c r="AH108" i="14"/>
  <c r="AH104" i="14"/>
  <c r="AH100" i="14"/>
  <c r="AH96" i="14"/>
  <c r="AH92" i="14"/>
  <c r="AH88" i="14"/>
  <c r="AH84" i="14"/>
  <c r="AH80" i="14"/>
  <c r="AH76" i="14"/>
  <c r="AH72" i="14"/>
  <c r="AH68" i="14"/>
  <c r="AH41" i="14"/>
  <c r="AH37" i="14"/>
  <c r="AH15" i="14"/>
  <c r="AH11" i="14"/>
  <c r="AH3" i="14"/>
  <c r="AS57" i="9"/>
  <c r="BJ57" i="9"/>
  <c r="EF240" i="9"/>
  <c r="FA240" i="9"/>
  <c r="DK240" i="9"/>
  <c r="CQ239" i="9" a="1"/>
  <c r="CQ239" i="9" s="1"/>
  <c r="E22" i="11"/>
  <c r="V12" i="11"/>
  <c r="EG159" i="9"/>
  <c r="AG4" i="3"/>
  <c r="CN224" i="9"/>
  <c r="M213" i="9"/>
  <c r="BS213" i="9"/>
  <c r="AZ213" i="9"/>
  <c r="CN118" i="9"/>
  <c r="CN119" i="9" s="1"/>
  <c r="J109" i="11"/>
  <c r="AG213" i="9"/>
  <c r="E32" i="25"/>
  <c r="E6" i="25"/>
  <c r="H35" i="11"/>
  <c r="AG131" i="9"/>
  <c r="AJ213" i="9"/>
  <c r="P213" i="9"/>
  <c r="BV213" i="9"/>
  <c r="N48" i="9"/>
  <c r="EC237" i="9"/>
  <c r="DK239" i="9"/>
  <c r="CQ281" i="9"/>
  <c r="EF239" i="9"/>
  <c r="P76" i="9"/>
  <c r="EG144" i="9"/>
  <c r="P167" i="9"/>
  <c r="FA239" i="9"/>
  <c r="BV236" i="9"/>
  <c r="EG158" i="9"/>
  <c r="D111" i="11"/>
  <c r="CN275" i="9"/>
  <c r="M155" i="9"/>
  <c r="M156" i="9" s="1"/>
  <c r="D240" i="11"/>
  <c r="G38" i="3"/>
  <c r="CQ256" i="9"/>
  <c r="CQ258" i="9" s="1"/>
  <c r="FG145" i="9"/>
  <c r="BE105" i="22"/>
  <c r="Y132" i="22"/>
  <c r="BA46" i="22"/>
  <c r="BG87" i="22"/>
  <c r="G174" i="22" s="1"/>
  <c r="P240" i="9"/>
  <c r="D280" i="11"/>
  <c r="CQ226" i="9"/>
  <c r="AJ215" i="9"/>
  <c r="BV215" i="9"/>
  <c r="BC215" i="9"/>
  <c r="AI46" i="9"/>
  <c r="EG130" i="9"/>
  <c r="P46" i="9"/>
  <c r="P215" i="9"/>
  <c r="BU46" i="9"/>
  <c r="G28" i="3"/>
  <c r="E26" i="11"/>
  <c r="E90" i="11"/>
  <c r="D115" i="11"/>
  <c r="BV214" i="9"/>
  <c r="P214" i="9"/>
  <c r="BC214" i="9"/>
  <c r="AJ214" i="9"/>
  <c r="CQ225" i="9"/>
  <c r="M37" i="11"/>
  <c r="Y59" i="9"/>
  <c r="EF241" i="9"/>
  <c r="D18" i="25"/>
  <c r="C18" i="25"/>
  <c r="F18" i="25" s="1"/>
  <c r="G45" i="3"/>
  <c r="CQ227" i="9"/>
  <c r="P216" i="9"/>
  <c r="AJ216" i="9"/>
  <c r="EG131" i="9"/>
  <c r="BB47" i="9"/>
  <c r="BU47" i="9"/>
  <c r="BV216" i="9"/>
  <c r="P47" i="9"/>
  <c r="Z59" i="9"/>
  <c r="E65" i="9"/>
  <c r="AL137" i="22"/>
  <c r="AL139" i="22" s="1"/>
  <c r="BM118" i="22"/>
  <c r="BN118" i="22" s="1"/>
  <c r="DH237" i="9"/>
  <c r="EX237" i="9"/>
  <c r="CN238" i="9"/>
  <c r="CN279" i="9"/>
  <c r="D31" i="3"/>
  <c r="G31" i="3" s="1"/>
  <c r="E247" i="11"/>
  <c r="AJ106" i="11"/>
  <c r="AB75" i="11"/>
  <c r="R107" i="11"/>
  <c r="AB106" i="11"/>
  <c r="AB88" i="11"/>
  <c r="D42" i="3"/>
  <c r="D41" i="3"/>
  <c r="BJ116" i="9"/>
  <c r="Y58" i="9"/>
  <c r="AJ231" i="9"/>
  <c r="CN223" i="9"/>
  <c r="CN130" i="9"/>
  <c r="CN131" i="9" s="1"/>
  <c r="BS212" i="9"/>
  <c r="J108" i="11"/>
  <c r="ED132" i="9"/>
  <c r="M212" i="9"/>
  <c r="G20" i="3"/>
  <c r="AZ214" i="9"/>
  <c r="J110" i="11"/>
  <c r="BS214" i="9"/>
  <c r="M214" i="9"/>
  <c r="CN225" i="9"/>
  <c r="H28" i="3"/>
  <c r="Z132" i="22"/>
  <c r="Z139" i="22" s="1"/>
  <c r="BM106" i="22"/>
  <c r="BN106" i="22" s="1"/>
  <c r="G25" i="3"/>
  <c r="AI47" i="9"/>
  <c r="CQ118" i="9"/>
  <c r="M131" i="9"/>
  <c r="ED156" i="9"/>
  <c r="EF238" i="9"/>
  <c r="BV248" i="9"/>
  <c r="FA238" i="9"/>
  <c r="EG157" i="9"/>
  <c r="DK238" i="9"/>
  <c r="BV156" i="9"/>
  <c r="EG118" i="9"/>
  <c r="H5" i="25"/>
  <c r="C24" i="25"/>
  <c r="BV130" i="9"/>
  <c r="P130" i="9"/>
  <c r="BC130" i="9"/>
  <c r="AJ130" i="9"/>
  <c r="BK58" i="9"/>
  <c r="J257" i="11"/>
  <c r="AG231" i="9"/>
  <c r="CN143" i="9"/>
  <c r="CN145" i="9" s="1"/>
  <c r="AB78" i="11"/>
  <c r="H38" i="11"/>
  <c r="R110" i="11"/>
  <c r="H22" i="11"/>
  <c r="AF67" i="9"/>
  <c r="O191" i="11"/>
  <c r="H25" i="11"/>
  <c r="H32" i="11"/>
  <c r="G8" i="3"/>
  <c r="CQ143" i="9"/>
  <c r="AS89" i="22"/>
  <c r="I158" i="22"/>
  <c r="I162" i="22" s="1"/>
  <c r="H39" i="11"/>
  <c r="F114" i="11"/>
  <c r="F116" i="11"/>
  <c r="F115" i="11"/>
  <c r="M215" i="9"/>
  <c r="BS215" i="9"/>
  <c r="AY46" i="9"/>
  <c r="AY52" i="9" s="1"/>
  <c r="F12" i="11"/>
  <c r="ED130" i="9"/>
  <c r="CN226" i="9"/>
  <c r="AF46" i="9"/>
  <c r="G10" i="3"/>
  <c r="J111" i="11"/>
  <c r="BR46" i="9"/>
  <c r="BR48" i="9" s="1"/>
  <c r="H29" i="11"/>
  <c r="C25" i="25"/>
  <c r="H6" i="25"/>
  <c r="BC131" i="9"/>
  <c r="E99" i="11"/>
  <c r="M164" i="11"/>
  <c r="BK29" i="9"/>
  <c r="CQ224" i="9"/>
  <c r="G24" i="3"/>
  <c r="FD145" i="9"/>
  <c r="H41" i="11"/>
  <c r="D112" i="11"/>
  <c r="F280" i="11"/>
  <c r="AZ50" i="9"/>
  <c r="BP61" i="9"/>
  <c r="CQ242" i="9"/>
  <c r="G7" i="3"/>
  <c r="CQ223" i="9"/>
  <c r="AJ212" i="9"/>
  <c r="BC212" i="9"/>
  <c r="BV212" i="9"/>
  <c r="EG132" i="9"/>
  <c r="P212" i="9"/>
  <c r="E194" i="11"/>
  <c r="M51" i="9"/>
  <c r="N51" i="9" s="1"/>
  <c r="D48" i="3"/>
  <c r="E102" i="11"/>
  <c r="BR62" i="9"/>
  <c r="BS62" i="9" s="1"/>
  <c r="E93" i="11"/>
  <c r="G16" i="3"/>
  <c r="BU62" i="9"/>
  <c r="P51" i="9"/>
  <c r="Q60" i="11"/>
  <c r="H51" i="11" s="1"/>
  <c r="F117" i="11"/>
  <c r="J273" i="11"/>
  <c r="CN281" i="9"/>
  <c r="EC239" i="9"/>
  <c r="DH239" i="9"/>
  <c r="M240" i="9"/>
  <c r="M242" i="9" s="1"/>
  <c r="E198" i="11"/>
  <c r="ED158" i="9"/>
  <c r="BS236" i="9"/>
  <c r="BS144" i="9"/>
  <c r="BS146" i="9" s="1"/>
  <c r="D274" i="11"/>
  <c r="AJ108" i="11"/>
  <c r="E165" i="11"/>
  <c r="EX239" i="9"/>
  <c r="D241" i="11"/>
  <c r="D216" i="11"/>
  <c r="D117" i="11"/>
  <c r="D258" i="11"/>
  <c r="D17" i="3"/>
  <c r="G21" i="3"/>
  <c r="AZ217" i="9"/>
  <c r="CN228" i="9"/>
  <c r="BS217" i="9"/>
  <c r="J113" i="11"/>
  <c r="BR59" i="9"/>
  <c r="G26" i="3"/>
  <c r="AF48" i="9"/>
  <c r="AG48" i="9" s="1"/>
  <c r="M35" i="11"/>
  <c r="J215" i="11"/>
  <c r="M46" i="9"/>
  <c r="M76" i="9"/>
  <c r="AZ131" i="9"/>
  <c r="M167" i="9"/>
  <c r="AG215" i="9"/>
  <c r="CN241" i="9"/>
  <c r="P217" i="9"/>
  <c r="BV217" i="9"/>
  <c r="AJ217" i="9"/>
  <c r="FD130" i="9"/>
  <c r="FD131" i="9" s="1"/>
  <c r="H31" i="11"/>
  <c r="D47" i="3"/>
  <c r="BB48" i="9"/>
  <c r="BJ195" i="9"/>
  <c r="BL116" i="22"/>
  <c r="BN116" i="22" s="1"/>
  <c r="AG132" i="9"/>
  <c r="E171" i="11"/>
  <c r="E172" i="11" s="1"/>
  <c r="P241" i="9"/>
  <c r="BV237" i="9"/>
  <c r="CQ144" i="9"/>
  <c r="P77" i="9"/>
  <c r="E34" i="3"/>
  <c r="H42" i="11"/>
  <c r="D116" i="11"/>
  <c r="AZ51" i="9"/>
  <c r="AJ139" i="22"/>
  <c r="BA45" i="22"/>
  <c r="CN278" i="9"/>
  <c r="D40" i="3"/>
  <c r="D44" i="3"/>
  <c r="D35" i="3"/>
  <c r="G35" i="3" s="1"/>
  <c r="D15" i="3"/>
  <c r="D114" i="11"/>
  <c r="M36" i="11"/>
  <c r="D39" i="3"/>
  <c r="AG233" i="9"/>
  <c r="CN280" i="9"/>
  <c r="BS237" i="9"/>
  <c r="CN257" i="9"/>
  <c r="M241" i="9"/>
  <c r="ED145" i="9"/>
  <c r="J259" i="11"/>
  <c r="AF69" i="9"/>
  <c r="AJ233" i="9"/>
  <c r="AG148" i="9"/>
  <c r="CN144" i="9"/>
  <c r="G18" i="3"/>
  <c r="E98" i="11"/>
  <c r="G216" i="11"/>
  <c r="E35" i="3"/>
  <c r="E30" i="3"/>
  <c r="CQ278" i="9"/>
  <c r="G5" i="3"/>
  <c r="FG109" i="9"/>
  <c r="G9" i="3"/>
  <c r="BS216" i="9"/>
  <c r="ED131" i="9"/>
  <c r="J112" i="11"/>
  <c r="M47" i="9"/>
  <c r="AF47" i="9"/>
  <c r="G14" i="3"/>
  <c r="BB50" i="9"/>
  <c r="AI50" i="9"/>
  <c r="CN239" i="9"/>
  <c r="DH240" i="9"/>
  <c r="AB109" i="11"/>
  <c r="AB91" i="11"/>
  <c r="ED159" i="9"/>
  <c r="AB76" i="11"/>
  <c r="E37" i="3"/>
  <c r="D43" i="3"/>
  <c r="D61" i="11"/>
  <c r="E92" i="11"/>
  <c r="M166" i="11"/>
  <c r="J275" i="11"/>
  <c r="AY47" i="9"/>
  <c r="BV145" i="9"/>
  <c r="EG145" i="9"/>
  <c r="AG216" i="9"/>
  <c r="BC217" i="9"/>
  <c r="EF146" i="9"/>
  <c r="BF86" i="22" s="1"/>
  <c r="AG232" i="9"/>
  <c r="CN255" i="9"/>
  <c r="J274" i="11"/>
  <c r="O190" i="11"/>
  <c r="J241" i="11"/>
  <c r="AG147" i="9"/>
  <c r="AY49" i="9"/>
  <c r="AZ49" i="9" s="1"/>
  <c r="AF49" i="9"/>
  <c r="AG49" i="9" s="1"/>
  <c r="BS211" i="9"/>
  <c r="CN222" i="9"/>
  <c r="M163" i="11"/>
  <c r="AZ132" i="9"/>
  <c r="AZ211" i="9"/>
  <c r="E31" i="25"/>
  <c r="E5" i="25"/>
  <c r="E7" i="25" s="1"/>
  <c r="M130" i="9"/>
  <c r="M132" i="9" s="1"/>
  <c r="O242" i="9"/>
  <c r="G33" i="25"/>
  <c r="H31" i="25"/>
  <c r="I31" i="25" s="1"/>
  <c r="I43" i="25"/>
  <c r="I44" i="25"/>
  <c r="G32" i="25"/>
  <c r="H32" i="25" s="1"/>
  <c r="K7" i="29" l="1"/>
  <c r="K22" i="29"/>
  <c r="K34" i="29"/>
  <c r="K31" i="29"/>
  <c r="K11" i="29"/>
  <c r="K39" i="29"/>
  <c r="K23" i="29"/>
  <c r="K35" i="29"/>
  <c r="K12" i="29"/>
  <c r="K18" i="29"/>
  <c r="K30" i="29"/>
  <c r="K27" i="29"/>
  <c r="K24" i="29"/>
  <c r="K16" i="29"/>
  <c r="K8" i="29"/>
  <c r="K5" i="29"/>
  <c r="K41" i="29" s="1"/>
  <c r="K36" i="29"/>
  <c r="K13" i="29"/>
  <c r="K25" i="29"/>
  <c r="K32" i="29"/>
  <c r="K29" i="29"/>
  <c r="K21" i="29"/>
  <c r="K37" i="29"/>
  <c r="Y60" i="9"/>
  <c r="AA60" i="9" s="1"/>
  <c r="BK60" i="9"/>
  <c r="E21" i="11"/>
  <c r="E19" i="11"/>
  <c r="ED105" i="9"/>
  <c r="D257" i="11"/>
  <c r="DK241" i="9"/>
  <c r="CN271" i="9"/>
  <c r="CN282" i="9" s="1"/>
  <c r="AG67" i="23" s="1"/>
  <c r="AG73" i="23" s="1"/>
  <c r="D107" i="11"/>
  <c r="G41" i="3"/>
  <c r="G42" i="3"/>
  <c r="CN272" i="9"/>
  <c r="D108" i="11"/>
  <c r="F14" i="11"/>
  <c r="H13" i="11" s="1"/>
  <c r="F42" i="11" s="1"/>
  <c r="H12" i="11"/>
  <c r="F29" i="11" s="1"/>
  <c r="G14" i="11"/>
  <c r="BJ60" i="9"/>
  <c r="AS60" i="9"/>
  <c r="AF70" i="9"/>
  <c r="E264" i="11"/>
  <c r="G43" i="3"/>
  <c r="D109" i="11"/>
  <c r="CN273" i="9"/>
  <c r="Z57" i="9"/>
  <c r="AR57" i="9"/>
  <c r="AT57" i="9" s="1"/>
  <c r="BS61" i="9"/>
  <c r="BQ61" i="9"/>
  <c r="BT63" i="9" a="1"/>
  <c r="BT63" i="9" s="1"/>
  <c r="BP63" i="9"/>
  <c r="AT86" i="22"/>
  <c r="AT45" i="22" s="1"/>
  <c r="F155" i="22"/>
  <c r="F162" i="22" s="1"/>
  <c r="CM279" i="9"/>
  <c r="Y139" i="22"/>
  <c r="FD147" i="9"/>
  <c r="FD149" i="9" s="1"/>
  <c r="O192" i="11"/>
  <c r="M165" i="11"/>
  <c r="G48" i="3"/>
  <c r="J114" i="11"/>
  <c r="E103" i="11" s="1"/>
  <c r="CN258" i="9"/>
  <c r="M217" i="11"/>
  <c r="J210" i="11"/>
  <c r="BJ59" i="9"/>
  <c r="AS59" i="9"/>
  <c r="AT59" i="9" s="1"/>
  <c r="AG149" i="9"/>
  <c r="E104" i="11"/>
  <c r="BR63" i="9"/>
  <c r="CM281" i="9"/>
  <c r="E72" i="9"/>
  <c r="Y57" i="9"/>
  <c r="AT60" i="9"/>
  <c r="H157" i="22"/>
  <c r="H162" i="22" s="1"/>
  <c r="M226" i="9"/>
  <c r="D215" i="11"/>
  <c r="M144" i="9"/>
  <c r="M63" i="9"/>
  <c r="BS59" i="9"/>
  <c r="D19" i="25"/>
  <c r="C19" i="25"/>
  <c r="F19" i="25" s="1"/>
  <c r="FA241" i="9"/>
  <c r="EG160" i="9"/>
  <c r="M169" i="9"/>
  <c r="CM280" i="9"/>
  <c r="AA59" i="9"/>
  <c r="CN229" i="9"/>
  <c r="F118" i="11"/>
  <c r="CM278" i="9"/>
  <c r="AG234" i="9"/>
  <c r="F247" i="11"/>
  <c r="G247" i="11"/>
  <c r="H247" i="11" s="1"/>
  <c r="P155" i="9" s="1"/>
  <c r="BG105" i="22"/>
  <c r="G192" i="22" s="1"/>
  <c r="BE64" i="22"/>
  <c r="BF45" i="22"/>
  <c r="CN240" i="9"/>
  <c r="AB77" i="11"/>
  <c r="AB80" i="11" s="1"/>
  <c r="H27" i="11"/>
  <c r="G15" i="3"/>
  <c r="H30" i="11"/>
  <c r="R109" i="11"/>
  <c r="R112" i="11" s="1"/>
  <c r="BS238" i="9"/>
  <c r="BD21" i="23" s="1"/>
  <c r="E33" i="25"/>
  <c r="AR58" i="9"/>
  <c r="Z58" i="9"/>
  <c r="BL35" i="9"/>
  <c r="C219" i="22" s="1"/>
  <c r="CQ277" i="9"/>
  <c r="CN277" i="9"/>
  <c r="G47" i="3"/>
  <c r="D113" i="11"/>
  <c r="M78" i="9"/>
  <c r="AA58" i="9"/>
  <c r="AS58" i="9"/>
  <c r="BJ58" i="9"/>
  <c r="BL58" i="9" s="1"/>
  <c r="CN274" i="9"/>
  <c r="D110" i="11"/>
  <c r="G44" i="3"/>
  <c r="M52" i="9"/>
  <c r="F84" i="23" s="1"/>
  <c r="F94" i="23" s="1"/>
  <c r="DH238" i="9"/>
  <c r="DH241" i="9" s="1"/>
  <c r="ED160" i="9" s="1"/>
  <c r="EX238" i="9"/>
  <c r="EC238" i="9"/>
  <c r="EC241" i="9" s="1"/>
  <c r="ED157" i="9"/>
  <c r="AB89" i="11"/>
  <c r="BS248" i="9" a="1"/>
  <c r="BS248" i="9" s="1"/>
  <c r="BS249" i="9" s="1"/>
  <c r="CN242" i="9"/>
  <c r="ED118" i="9"/>
  <c r="ED119" i="9" s="1"/>
  <c r="D59" i="11"/>
  <c r="D62" i="11" s="1"/>
  <c r="BS156" i="9" a="1"/>
  <c r="BS156" i="9" s="1"/>
  <c r="BS157" i="9" s="1"/>
  <c r="E164" i="11"/>
  <c r="AB107" i="11"/>
  <c r="G17" i="3"/>
  <c r="AJ107" i="11"/>
  <c r="D273" i="11"/>
  <c r="R111" i="11"/>
  <c r="AB79" i="11"/>
  <c r="AF52" i="9"/>
  <c r="BG89" i="22"/>
  <c r="G176" i="22" s="1"/>
  <c r="AS48" i="22"/>
  <c r="CN243" i="9"/>
  <c r="AF67" i="23" s="1"/>
  <c r="AF73" i="23" s="1"/>
  <c r="ED146" i="9"/>
  <c r="F264" i="11" l="1"/>
  <c r="G264" i="11" s="1"/>
  <c r="H264" i="11" s="1"/>
  <c r="EG105" i="9" s="1"/>
  <c r="F31" i="11"/>
  <c r="F30" i="11"/>
  <c r="M64" i="9"/>
  <c r="O63" i="9"/>
  <c r="O64" i="9" s="1"/>
  <c r="AR88" i="22" s="1"/>
  <c r="I12" i="11"/>
  <c r="J12" i="11" s="1"/>
  <c r="G42" i="11" s="1"/>
  <c r="I42" i="11" s="1"/>
  <c r="BK57" i="9"/>
  <c r="BL57" i="9" s="1"/>
  <c r="BV59" i="9"/>
  <c r="BS63" i="9"/>
  <c r="CM282" i="9"/>
  <c r="M227" i="9"/>
  <c r="O226" i="9"/>
  <c r="O227" i="9" s="1"/>
  <c r="AT88" i="22" s="1"/>
  <c r="AT47" i="22" s="1"/>
  <c r="BZ55" i="9"/>
  <c r="BQ62" i="9"/>
  <c r="BQ60" i="9"/>
  <c r="BQ59" i="9"/>
  <c r="BQ63" i="9" s="1"/>
  <c r="BL60" i="9"/>
  <c r="E23" i="11"/>
  <c r="V11" i="11"/>
  <c r="BL59" i="9"/>
  <c r="F43" i="11"/>
  <c r="V129" i="22"/>
  <c r="V139" i="22" s="1"/>
  <c r="BM102" i="22"/>
  <c r="BN102" i="22" s="1"/>
  <c r="AT58" i="9"/>
  <c r="O144" i="9"/>
  <c r="O145" i="9" s="1"/>
  <c r="AS88" i="22" s="1"/>
  <c r="AS47" i="22" s="1"/>
  <c r="M145" i="9"/>
  <c r="BK59" i="9"/>
  <c r="BV61" i="9"/>
  <c r="BO46" i="23"/>
  <c r="BP46" i="23" s="1"/>
  <c r="L102" i="23" s="1" a="1"/>
  <c r="AH67" i="23"/>
  <c r="AH73" i="23" s="1"/>
  <c r="ED106" i="9"/>
  <c r="EF105" i="9"/>
  <c r="EF106" i="9" s="1"/>
  <c r="M167" i="11"/>
  <c r="BI21" i="23"/>
  <c r="J105" i="23" s="1"/>
  <c r="AA57" i="9"/>
  <c r="J42" i="11" l="1"/>
  <c r="EB131" i="9"/>
  <c r="E6" i="13"/>
  <c r="E8" i="13" s="1"/>
  <c r="BM102" i="15"/>
  <c r="V130" i="15"/>
  <c r="G29" i="11"/>
  <c r="I29" i="11" s="1"/>
  <c r="L135" i="23"/>
  <c r="L123" i="23"/>
  <c r="L134" i="23"/>
  <c r="L122" i="23"/>
  <c r="L110" i="23"/>
  <c r="L132" i="23"/>
  <c r="L120" i="23"/>
  <c r="L108" i="23"/>
  <c r="L130" i="23"/>
  <c r="L118" i="23"/>
  <c r="L106" i="23"/>
  <c r="L129" i="23"/>
  <c r="L117" i="23"/>
  <c r="L105" i="23"/>
  <c r="L128" i="23"/>
  <c r="L126" i="23"/>
  <c r="L114" i="23"/>
  <c r="L136" i="23"/>
  <c r="L124" i="23"/>
  <c r="L112" i="23"/>
  <c r="L116" i="23"/>
  <c r="L121" i="23"/>
  <c r="L119" i="23"/>
  <c r="L127" i="23"/>
  <c r="L125" i="23"/>
  <c r="L115" i="23"/>
  <c r="L103" i="23"/>
  <c r="L102" i="23"/>
  <c r="L137" i="23"/>
  <c r="L131" i="23"/>
  <c r="L113" i="23"/>
  <c r="L109" i="23"/>
  <c r="L107" i="23"/>
  <c r="L104" i="23"/>
  <c r="L133" i="23"/>
  <c r="L111" i="23"/>
  <c r="AR47" i="22"/>
  <c r="BG88" i="22"/>
  <c r="G175" i="22" s="1"/>
  <c r="J159" i="22"/>
  <c r="J162" i="22" s="1"/>
  <c r="BF90" i="22"/>
  <c r="G43" i="11"/>
  <c r="I43" i="11" s="1"/>
  <c r="F41" i="11"/>
  <c r="F32" i="11"/>
  <c r="G32" i="11" s="1"/>
  <c r="I32" i="11" s="1"/>
  <c r="F27" i="11"/>
  <c r="G30" i="11"/>
  <c r="I30" i="11" s="1"/>
  <c r="J30" i="11" s="1"/>
  <c r="G31" i="11"/>
  <c r="I31" i="11" s="1"/>
  <c r="BW61" i="9"/>
  <c r="BX61" i="9" s="1"/>
  <c r="BY61" i="9" s="1"/>
  <c r="BZ61" i="9" s="1"/>
  <c r="CA61" i="9" s="1"/>
  <c r="BV60" i="9"/>
  <c r="BV62" i="9"/>
  <c r="BW59" i="9"/>
  <c r="BX59" i="9" s="1"/>
  <c r="BY59" i="9" s="1"/>
  <c r="BZ59" i="9"/>
  <c r="BW62" i="9" l="1"/>
  <c r="BX62" i="9" s="1"/>
  <c r="BY62" i="9" s="1"/>
  <c r="BZ62" i="9"/>
  <c r="CA62" i="9" s="1"/>
  <c r="EB130" i="9"/>
  <c r="J29" i="11"/>
  <c r="J31" i="11"/>
  <c r="FB130" i="9"/>
  <c r="G41" i="11"/>
  <c r="I41" i="11" s="1"/>
  <c r="J41" i="11" s="1"/>
  <c r="F37" i="11"/>
  <c r="CA59" i="9"/>
  <c r="BW60" i="9"/>
  <c r="BX60" i="9" s="1"/>
  <c r="BY60" i="9" s="1"/>
  <c r="BZ60" i="9" s="1"/>
  <c r="BO37" i="24"/>
  <c r="BP37" i="24" s="1"/>
  <c r="BN102" i="15"/>
  <c r="EE131" i="9"/>
  <c r="BP47" i="9"/>
  <c r="FB108" i="9"/>
  <c r="J43" i="11"/>
  <c r="BF49" i="22"/>
  <c r="BG90" i="22"/>
  <c r="G177" i="22" s="1"/>
  <c r="Y64" i="24"/>
  <c r="Y74" i="24" s="1"/>
  <c r="V140" i="15"/>
  <c r="G27" i="11"/>
  <c r="I27" i="11" s="1"/>
  <c r="J27" i="11" s="1"/>
  <c r="F25" i="11"/>
  <c r="J32" i="11"/>
  <c r="M23" i="11"/>
  <c r="CA60" i="9" l="1"/>
  <c r="BZ63" i="9"/>
  <c r="BS47" i="9"/>
  <c r="AW47" i="9"/>
  <c r="CA63" i="9"/>
  <c r="CA55" i="9" s="1"/>
  <c r="G37" i="11"/>
  <c r="F36" i="11"/>
  <c r="FE108" i="9"/>
  <c r="FB109" i="9"/>
  <c r="FL104" i="9" s="1"/>
  <c r="FC108" i="9"/>
  <c r="FC109" i="9" s="1"/>
  <c r="FE130" i="9"/>
  <c r="FB131" i="9"/>
  <c r="FL126" i="9" s="1"/>
  <c r="FC130" i="9"/>
  <c r="F22" i="11"/>
  <c r="G25" i="11"/>
  <c r="I25" i="11" s="1"/>
  <c r="J25" i="11" s="1"/>
  <c r="EQ141" i="9"/>
  <c r="EE130" i="9"/>
  <c r="BP46" i="9"/>
  <c r="F26" i="11"/>
  <c r="G26" i="11" s="1"/>
  <c r="I26" i="11" s="1"/>
  <c r="J26" i="11" s="1"/>
  <c r="FE131" i="9" l="1"/>
  <c r="FH130" i="9"/>
  <c r="FI130" i="9" s="1"/>
  <c r="FJ130" i="9" s="1"/>
  <c r="ER140" i="9"/>
  <c r="G36" i="11"/>
  <c r="BP106" i="20"/>
  <c r="BQ106" i="20" s="1"/>
  <c r="Y133" i="20"/>
  <c r="Y143" i="20" s="1"/>
  <c r="BI46" i="9"/>
  <c r="N6" i="13" s="1"/>
  <c r="G6" i="13"/>
  <c r="BM118" i="15"/>
  <c r="AL138" i="15"/>
  <c r="ER142" i="9"/>
  <c r="ER141" i="9"/>
  <c r="FE109" i="9"/>
  <c r="FH108" i="9"/>
  <c r="EQ140" i="9"/>
  <c r="ES140" i="9" s="1"/>
  <c r="ES141" i="9"/>
  <c r="BQ46" i="9"/>
  <c r="AW46" i="9"/>
  <c r="BS46" i="9"/>
  <c r="BP48" i="9"/>
  <c r="I37" i="11"/>
  <c r="O37" i="11"/>
  <c r="AZ47" i="9"/>
  <c r="AD47" i="9"/>
  <c r="G22" i="11"/>
  <c r="I22" i="11" s="1"/>
  <c r="J22" i="11" s="1"/>
  <c r="F19" i="11"/>
  <c r="G19" i="11" s="1"/>
  <c r="F21" i="11"/>
  <c r="BK56" i="9"/>
  <c r="BL116" i="15"/>
  <c r="AJ138" i="15"/>
  <c r="AG47" i="9" l="1"/>
  <c r="K47" i="9"/>
  <c r="AS56" i="9"/>
  <c r="BJ56" i="9"/>
  <c r="BL56" i="9" s="1"/>
  <c r="I36" i="11"/>
  <c r="N37" i="11"/>
  <c r="I19" i="11"/>
  <c r="BO53" i="24"/>
  <c r="BP53" i="24" s="1"/>
  <c r="BN118" i="15"/>
  <c r="BZ42" i="9"/>
  <c r="BQ47" i="9"/>
  <c r="FJ131" i="9"/>
  <c r="FK130" i="9"/>
  <c r="F23" i="11"/>
  <c r="G23" i="11" s="1"/>
  <c r="I23" i="11" s="1"/>
  <c r="G21" i="11"/>
  <c r="I21" i="11" s="1"/>
  <c r="J21" i="11" s="1"/>
  <c r="F20" i="11"/>
  <c r="G20" i="11" s="1"/>
  <c r="I20" i="11" s="1"/>
  <c r="J20" i="11" s="1"/>
  <c r="AW52" i="9"/>
  <c r="AE47" i="9" s="1"/>
  <c r="AX46" i="9"/>
  <c r="AZ46" i="9"/>
  <c r="BA52" i="9" a="1"/>
  <c r="BA52" i="9" s="1"/>
  <c r="AD46" i="9"/>
  <c r="AO72" i="24"/>
  <c r="AO74" i="24" s="1"/>
  <c r="AL140" i="15"/>
  <c r="FH109" i="9"/>
  <c r="FI108" i="9"/>
  <c r="FJ108" i="9" s="1"/>
  <c r="AM72" i="24"/>
  <c r="AJ140" i="15"/>
  <c r="CL130" i="9"/>
  <c r="J37" i="11"/>
  <c r="BN51" i="24"/>
  <c r="BP51" i="24" s="1"/>
  <c r="BN116" i="15"/>
  <c r="BT48" i="9" a="1"/>
  <c r="BT48" i="9" s="1"/>
  <c r="BS48" i="9"/>
  <c r="BV47" i="9" s="1"/>
  <c r="BW47" i="9" s="1"/>
  <c r="BX47" i="9" s="1"/>
  <c r="BY47" i="9" s="1"/>
  <c r="BZ47" i="9" s="1"/>
  <c r="CA47" i="9" s="1"/>
  <c r="BK61" i="9"/>
  <c r="BV46" i="9"/>
  <c r="BW46" i="9" s="1"/>
  <c r="BX46" i="9" s="1"/>
  <c r="BY46" i="9" s="1"/>
  <c r="BZ46" i="9" s="1"/>
  <c r="BK55" i="9"/>
  <c r="BJ61" i="9" l="1"/>
  <c r="BL61" i="9" s="1"/>
  <c r="AS55" i="9"/>
  <c r="BJ55" i="9"/>
  <c r="BL55" i="9" s="1"/>
  <c r="AS61" i="9"/>
  <c r="AZ52" i="9"/>
  <c r="CO130" i="9"/>
  <c r="CL131" i="9"/>
  <c r="CV126" i="9" s="1"/>
  <c r="L27" i="11"/>
  <c r="J36" i="11"/>
  <c r="C65" i="11"/>
  <c r="E65" i="11" s="1"/>
  <c r="CA46" i="9"/>
  <c r="BZ48" i="9"/>
  <c r="BE101" i="22"/>
  <c r="U129" i="22"/>
  <c r="AX98" i="22"/>
  <c r="R126" i="22"/>
  <c r="L23" i="11"/>
  <c r="B74" i="11" s="1"/>
  <c r="J19" i="11"/>
  <c r="L19" i="11"/>
  <c r="AE49" i="9"/>
  <c r="AX48" i="9"/>
  <c r="AX52" i="9" s="1"/>
  <c r="BG42" i="9"/>
  <c r="AE48" i="9"/>
  <c r="AE50" i="9"/>
  <c r="BL28" i="9"/>
  <c r="BN28" i="9" s="1"/>
  <c r="AE51" i="9"/>
  <c r="BL31" i="9"/>
  <c r="BN31" i="9" s="1"/>
  <c r="BL33" i="9"/>
  <c r="BN33" i="9" s="1"/>
  <c r="AX51" i="9"/>
  <c r="BL30" i="9"/>
  <c r="BN30" i="9" s="1"/>
  <c r="AX50" i="9"/>
  <c r="BL34" i="9"/>
  <c r="BN34" i="9" s="1"/>
  <c r="AX49" i="9"/>
  <c r="BL32" i="9"/>
  <c r="BN32" i="9" s="1"/>
  <c r="BL29" i="9"/>
  <c r="BN29" i="9" s="1"/>
  <c r="AX47" i="9"/>
  <c r="AM74" i="24"/>
  <c r="J23" i="11"/>
  <c r="M19" i="11"/>
  <c r="FJ109" i="9"/>
  <c r="FK108" i="9"/>
  <c r="FK131" i="9"/>
  <c r="FL130" i="9"/>
  <c r="N47" i="9"/>
  <c r="BK46" i="9"/>
  <c r="Q57" i="14" s="1"/>
  <c r="AB57" i="14" s="1"/>
  <c r="U130" i="15"/>
  <c r="BE101" i="15"/>
  <c r="AR56" i="9"/>
  <c r="AT56" i="9" s="1"/>
  <c r="AJ47" i="9"/>
  <c r="Z56" i="9"/>
  <c r="AG46" i="9"/>
  <c r="AE46" i="9"/>
  <c r="AD52" i="9"/>
  <c r="AH52" i="9" s="1" a="1"/>
  <c r="AH52" i="9" s="1"/>
  <c r="K46" i="9"/>
  <c r="AU92" i="22" l="1"/>
  <c r="L123" i="22"/>
  <c r="D74" i="11"/>
  <c r="C89" i="11"/>
  <c r="AK47" i="9"/>
  <c r="AL47" i="9" s="1"/>
  <c r="AM47" i="9" s="1"/>
  <c r="AN47" i="9" s="1"/>
  <c r="AO47" i="9" s="1"/>
  <c r="AJ50" i="9"/>
  <c r="AJ51" i="9"/>
  <c r="BC48" i="9"/>
  <c r="Q50" i="9"/>
  <c r="Q49" i="9"/>
  <c r="BC49" i="9"/>
  <c r="AJ48" i="9"/>
  <c r="BC50" i="9"/>
  <c r="Q48" i="9"/>
  <c r="Q51" i="9"/>
  <c r="BC51" i="9"/>
  <c r="AJ49" i="9"/>
  <c r="BC47" i="9"/>
  <c r="BG36" i="24"/>
  <c r="BG101" i="15"/>
  <c r="G189" i="15" s="1"/>
  <c r="BE60" i="15"/>
  <c r="Q47" i="9"/>
  <c r="Y56" i="9"/>
  <c r="AA56" i="9" s="1"/>
  <c r="FL131" i="9"/>
  <c r="FM130" i="9"/>
  <c r="AE52" i="9"/>
  <c r="CF139" i="9"/>
  <c r="CO131" i="9"/>
  <c r="CR130" i="9"/>
  <c r="CS130" i="9" s="1"/>
  <c r="CT130" i="9" s="1"/>
  <c r="CU130" i="9" s="1"/>
  <c r="CV130" i="9" s="1"/>
  <c r="R139" i="22"/>
  <c r="AM126" i="22"/>
  <c r="BC46" i="9"/>
  <c r="AM129" i="22"/>
  <c r="U139" i="22"/>
  <c r="X64" i="24"/>
  <c r="U140" i="15"/>
  <c r="AM130" i="15"/>
  <c r="E219" i="15" s="1"/>
  <c r="BG101" i="22"/>
  <c r="G188" i="22" s="1"/>
  <c r="BE60" i="22"/>
  <c r="K52" i="9"/>
  <c r="N46" i="9"/>
  <c r="O52" i="9" a="1"/>
  <c r="O52" i="9" s="1"/>
  <c r="L46" i="9"/>
  <c r="F68" i="9"/>
  <c r="H68" i="9" s="1"/>
  <c r="F67" i="9"/>
  <c r="H67" i="9" s="1"/>
  <c r="AS28" i="9"/>
  <c r="AN42" i="9"/>
  <c r="F71" i="9"/>
  <c r="H71" i="9" s="1"/>
  <c r="F69" i="9"/>
  <c r="H69" i="9" s="1"/>
  <c r="F70" i="9"/>
  <c r="H70" i="9" s="1"/>
  <c r="F66" i="9"/>
  <c r="H66" i="9" s="1"/>
  <c r="F65" i="9"/>
  <c r="C5" i="25"/>
  <c r="C31" i="25"/>
  <c r="K130" i="9"/>
  <c r="BQ130" i="9"/>
  <c r="AX130" i="9"/>
  <c r="AE130" i="9"/>
  <c r="B51" i="11"/>
  <c r="C51" i="11" s="1"/>
  <c r="FK109" i="9"/>
  <c r="FL108" i="9"/>
  <c r="BE105" i="15"/>
  <c r="EB132" i="9"/>
  <c r="Y133" i="15"/>
  <c r="AJ46" i="9"/>
  <c r="AR55" i="9"/>
  <c r="AT55" i="9" s="1"/>
  <c r="Z55" i="9"/>
  <c r="AR61" i="9"/>
  <c r="AT61" i="9" s="1"/>
  <c r="AG52" i="9"/>
  <c r="AX120" i="22"/>
  <c r="AX57" i="22"/>
  <c r="BG98" i="22"/>
  <c r="G185" i="22" s="1"/>
  <c r="BN35" i="9"/>
  <c r="R127" i="15"/>
  <c r="AX98" i="15"/>
  <c r="AR46" i="9"/>
  <c r="Q54" i="14" s="1"/>
  <c r="AB54" i="14" s="1"/>
  <c r="CA48" i="9"/>
  <c r="CA42" i="9" s="1"/>
  <c r="BD48" i="9" l="1"/>
  <c r="BE48" i="9" s="1"/>
  <c r="BF48" i="9" s="1"/>
  <c r="BG48" i="9"/>
  <c r="BH48" i="9" s="1"/>
  <c r="BT130" i="9"/>
  <c r="BQ131" i="9"/>
  <c r="BT131" i="9" s="1"/>
  <c r="BQ132" i="9"/>
  <c r="CA126" i="9" s="1"/>
  <c r="R47" i="9"/>
  <c r="S47" i="9" s="1"/>
  <c r="T47" i="9" s="1"/>
  <c r="U47" i="9" s="1"/>
  <c r="V47" i="9" s="1"/>
  <c r="X133" i="20"/>
  <c r="BH105" i="20"/>
  <c r="C152" i="22"/>
  <c r="C162" i="22" s="1"/>
  <c r="AR83" i="22"/>
  <c r="C6" i="25"/>
  <c r="F6" i="25" s="1"/>
  <c r="C7" i="25"/>
  <c r="G7" i="25" a="1"/>
  <c r="G7" i="25" s="1"/>
  <c r="F5" i="25"/>
  <c r="CV131" i="9"/>
  <c r="CW130" i="9"/>
  <c r="H151" i="24"/>
  <c r="BA95" i="20"/>
  <c r="AK50" i="9"/>
  <c r="AL50" i="9" s="1"/>
  <c r="AM50" i="9" s="1"/>
  <c r="AN50" i="9" s="1"/>
  <c r="AO50" i="9" s="1"/>
  <c r="AN49" i="9"/>
  <c r="AO49" i="9" s="1"/>
  <c r="AK49" i="9"/>
  <c r="AL49" i="9" s="1"/>
  <c r="AM49" i="9" s="1"/>
  <c r="BD51" i="9"/>
  <c r="BE51" i="9" s="1"/>
  <c r="BF51" i="9" s="1"/>
  <c r="BG51" i="9" s="1"/>
  <c r="BH51" i="9" s="1"/>
  <c r="R51" i="9"/>
  <c r="S51" i="9" s="1"/>
  <c r="T51" i="9" s="1"/>
  <c r="U51" i="9"/>
  <c r="V51" i="9" s="1"/>
  <c r="BR156" i="9"/>
  <c r="C59" i="11"/>
  <c r="AU92" i="15"/>
  <c r="AR83" i="15"/>
  <c r="FM131" i="9"/>
  <c r="FM126" i="9" s="1"/>
  <c r="R48" i="9"/>
  <c r="S48" i="9" s="1"/>
  <c r="T48" i="9" s="1"/>
  <c r="U48" i="9" s="1"/>
  <c r="V48" i="9" s="1"/>
  <c r="C216" i="22"/>
  <c r="AU28" i="9"/>
  <c r="F8" i="17"/>
  <c r="BD50" i="9"/>
  <c r="BE50" i="9" s="1"/>
  <c r="BF50" i="9" s="1"/>
  <c r="BG50" i="9"/>
  <c r="BH50" i="9" s="1"/>
  <c r="L139" i="22"/>
  <c r="BD49" i="9"/>
  <c r="BE49" i="9" s="1"/>
  <c r="BF49" i="9" s="1"/>
  <c r="BG49" i="9" s="1"/>
  <c r="BH49" i="9" s="1"/>
  <c r="N130" i="9"/>
  <c r="K131" i="9"/>
  <c r="N131" i="9" s="1"/>
  <c r="BD46" i="9"/>
  <c r="BE46" i="9" s="1"/>
  <c r="BF46" i="9" s="1"/>
  <c r="BG46" i="9" s="1"/>
  <c r="R49" i="9"/>
  <c r="S49" i="9" s="1"/>
  <c r="T49" i="9" s="1"/>
  <c r="U49" i="9"/>
  <c r="V49" i="9" s="1"/>
  <c r="C32" i="25"/>
  <c r="F32" i="25" s="1"/>
  <c r="F31" i="25"/>
  <c r="F33" i="25" s="1"/>
  <c r="C33" i="25"/>
  <c r="R50" i="9"/>
  <c r="S50" i="9" s="1"/>
  <c r="T50" i="9" s="1"/>
  <c r="U50" i="9"/>
  <c r="V50" i="9" s="1"/>
  <c r="AZ33" i="24"/>
  <c r="BG98" i="15"/>
  <c r="G186" i="15" s="1"/>
  <c r="AX57" i="15"/>
  <c r="AX120" i="15"/>
  <c r="AK46" i="9"/>
  <c r="AL46" i="9" s="1"/>
  <c r="AM46" i="9" s="1"/>
  <c r="AN46" i="9" s="1"/>
  <c r="N52" i="9"/>
  <c r="Y55" i="9"/>
  <c r="AA55" i="9" s="1"/>
  <c r="Q46" i="9"/>
  <c r="U61" i="24"/>
  <c r="AM127" i="15"/>
  <c r="E216" i="15" s="1"/>
  <c r="R140" i="15"/>
  <c r="AB67" i="24"/>
  <c r="Y140" i="15"/>
  <c r="F72" i="9"/>
  <c r="H65" i="9"/>
  <c r="H72" i="9" s="1"/>
  <c r="U42" i="9"/>
  <c r="L49" i="9"/>
  <c r="L50" i="9"/>
  <c r="L51" i="9"/>
  <c r="L48" i="9"/>
  <c r="L47" i="9"/>
  <c r="L52" i="9" s="1"/>
  <c r="BI36" i="24"/>
  <c r="J120" i="24" s="1"/>
  <c r="AK51" i="9"/>
  <c r="AL51" i="9" s="1"/>
  <c r="AM51" i="9" s="1"/>
  <c r="AN51" i="9" s="1"/>
  <c r="AO51" i="9" s="1"/>
  <c r="EE132" i="9"/>
  <c r="BD47" i="9"/>
  <c r="BE47" i="9" s="1"/>
  <c r="BF47" i="9" s="1"/>
  <c r="BG47" i="9"/>
  <c r="BH47" i="9" s="1"/>
  <c r="BG40" i="24"/>
  <c r="BI40" i="24" s="1"/>
  <c r="J124" i="24" s="1"/>
  <c r="BG105" i="15"/>
  <c r="G193" i="15" s="1"/>
  <c r="BE64" i="15"/>
  <c r="FL109" i="9"/>
  <c r="FM108" i="9"/>
  <c r="FM109" i="9" s="1"/>
  <c r="FM104" i="9" s="1"/>
  <c r="F89" i="11"/>
  <c r="C92" i="11"/>
  <c r="C93" i="11"/>
  <c r="C90" i="11"/>
  <c r="CL210" i="9" s="1"/>
  <c r="C91" i="11"/>
  <c r="C94" i="11"/>
  <c r="G74" i="11" s="1"/>
  <c r="C190" i="11"/>
  <c r="F190" i="11" s="1"/>
  <c r="AH130" i="9"/>
  <c r="AE131" i="9"/>
  <c r="AI132" i="9" s="1" a="1"/>
  <c r="AI132" i="9" s="1"/>
  <c r="AE132" i="9"/>
  <c r="AO126" i="9" s="1"/>
  <c r="X74" i="24"/>
  <c r="AP64" i="24"/>
  <c r="J151" i="24" s="1"/>
  <c r="BA130" i="9"/>
  <c r="AX131" i="9"/>
  <c r="AX132" i="9" s="1"/>
  <c r="BH126" i="9" s="1"/>
  <c r="AK48" i="9"/>
  <c r="AL48" i="9" s="1"/>
  <c r="AM48" i="9" s="1"/>
  <c r="AN48" i="9"/>
  <c r="AO48" i="9" s="1"/>
  <c r="BG92" i="22"/>
  <c r="G179" i="22" s="1"/>
  <c r="AU120" i="22"/>
  <c r="AU51" i="22"/>
  <c r="S128" i="15" l="1"/>
  <c r="AY99" i="15"/>
  <c r="AS130" i="9"/>
  <c r="Q55" i="14" s="1"/>
  <c r="AB55" i="14" s="1"/>
  <c r="N124" i="22"/>
  <c r="AV94" i="22"/>
  <c r="CL211" i="9"/>
  <c r="CV206" i="9" s="1"/>
  <c r="CM210" i="9"/>
  <c r="CM211" i="9" s="1"/>
  <c r="AN52" i="9"/>
  <c r="AO46" i="9"/>
  <c r="Q27" i="9"/>
  <c r="D7" i="14" s="1"/>
  <c r="BG52" i="9"/>
  <c r="BH46" i="9"/>
  <c r="Z138" i="9"/>
  <c r="AR137" i="9"/>
  <c r="AT137" i="9" s="1"/>
  <c r="AM141" i="20"/>
  <c r="BO120" i="20"/>
  <c r="BQ120" i="20" s="1"/>
  <c r="E59" i="11"/>
  <c r="W131" i="15"/>
  <c r="BA103" i="15"/>
  <c r="BL130" i="9"/>
  <c r="Q58" i="14" s="1"/>
  <c r="AB58" i="14" s="1"/>
  <c r="F7" i="25"/>
  <c r="I5" i="25" s="1"/>
  <c r="I92" i="11"/>
  <c r="F7" i="17"/>
  <c r="K63" i="9"/>
  <c r="AV94" i="15"/>
  <c r="N125" i="15"/>
  <c r="Y140" i="9"/>
  <c r="N132" i="9"/>
  <c r="Q131" i="9" s="1"/>
  <c r="R131" i="9" s="1"/>
  <c r="S131" i="9" s="1"/>
  <c r="T131" i="9" s="1"/>
  <c r="U131" i="9" s="1"/>
  <c r="V131" i="9" s="1"/>
  <c r="Y138" i="9"/>
  <c r="AA138" i="9" s="1"/>
  <c r="Q130" i="9"/>
  <c r="BJ105" i="20"/>
  <c r="J192" i="20" s="1"/>
  <c r="BH60" i="20"/>
  <c r="AT18" i="24"/>
  <c r="BG83" i="15"/>
  <c r="G171" i="15" s="1"/>
  <c r="AR42" i="15"/>
  <c r="BA50" i="20"/>
  <c r="AS138" i="9"/>
  <c r="BK138" i="9"/>
  <c r="BM138" i="9" s="1"/>
  <c r="BK137" i="9"/>
  <c r="AS140" i="9"/>
  <c r="AS137" i="9"/>
  <c r="BT156" i="9"/>
  <c r="BQ156" i="9"/>
  <c r="F12" i="17" s="1"/>
  <c r="BR157" i="9"/>
  <c r="CA152" i="9"/>
  <c r="BA87" i="15" s="1"/>
  <c r="K90" i="11"/>
  <c r="F92" i="11"/>
  <c r="F94" i="11" s="1"/>
  <c r="C193" i="11"/>
  <c r="F193" i="11" s="1"/>
  <c r="H148" i="24"/>
  <c r="AX95" i="20"/>
  <c r="BP122" i="20"/>
  <c r="BQ122" i="20" s="1"/>
  <c r="AO141" i="20"/>
  <c r="AO143" i="20" s="1"/>
  <c r="AB74" i="24"/>
  <c r="K132" i="9"/>
  <c r="U126" i="9" s="1"/>
  <c r="BG83" i="22"/>
  <c r="G170" i="22" s="1"/>
  <c r="AR42" i="22"/>
  <c r="AR120" i="22"/>
  <c r="I199" i="11"/>
  <c r="P191" i="11"/>
  <c r="AP61" i="24"/>
  <c r="J148" i="24" s="1"/>
  <c r="U74" i="24"/>
  <c r="G76" i="11"/>
  <c r="G75" i="11"/>
  <c r="P112" i="11" s="1"/>
  <c r="G78" i="11"/>
  <c r="G73" i="11"/>
  <c r="G77" i="11"/>
  <c r="R46" i="9"/>
  <c r="S46" i="9" s="1"/>
  <c r="T46" i="9" s="1"/>
  <c r="U46" i="9" s="1"/>
  <c r="AP133" i="20"/>
  <c r="H222" i="20" s="1"/>
  <c r="X143" i="20"/>
  <c r="BA131" i="9"/>
  <c r="BK140" i="9" s="1"/>
  <c r="BM140" i="9" s="1"/>
  <c r="BK114" i="9"/>
  <c r="BM114" i="9" s="1"/>
  <c r="BK115" i="9"/>
  <c r="BM115" i="9" s="1"/>
  <c r="BK113" i="9"/>
  <c r="F91" i="11"/>
  <c r="J92" i="11" s="1"/>
  <c r="J90" i="11"/>
  <c r="C192" i="11"/>
  <c r="F192" i="11" s="1"/>
  <c r="AW27" i="24"/>
  <c r="AU120" i="15"/>
  <c r="BG92" i="15"/>
  <c r="G180" i="15" s="1"/>
  <c r="AU51" i="15"/>
  <c r="I90" i="11"/>
  <c r="M90" i="11" s="1"/>
  <c r="N90" i="11" s="1"/>
  <c r="F90" i="11"/>
  <c r="H92" i="11" s="1"/>
  <c r="C191" i="11"/>
  <c r="CW131" i="9"/>
  <c r="CW126" i="9" s="1"/>
  <c r="C194" i="11"/>
  <c r="F194" i="11" s="1"/>
  <c r="L90" i="11"/>
  <c r="F93" i="11"/>
  <c r="L92" i="11" s="1"/>
  <c r="C153" i="15"/>
  <c r="L124" i="15"/>
  <c r="BB132" i="9" a="1"/>
  <c r="BB132" i="9" s="1"/>
  <c r="CE141" i="9"/>
  <c r="BL139" i="9"/>
  <c r="EQ142" i="9"/>
  <c r="ES142" i="9" s="1"/>
  <c r="H8" i="17"/>
  <c r="G8" i="17"/>
  <c r="I8" i="17" s="1"/>
  <c r="BL140" i="9"/>
  <c r="CE139" i="9"/>
  <c r="CG139" i="9" s="1"/>
  <c r="BW130" i="9"/>
  <c r="BL137" i="9"/>
  <c r="BL138" i="9"/>
  <c r="BT132" i="9"/>
  <c r="BW131" i="9" s="1"/>
  <c r="BX131" i="9" s="1"/>
  <c r="BY131" i="9" s="1"/>
  <c r="BZ131" i="9" s="1"/>
  <c r="CA131" i="9" s="1"/>
  <c r="CB131" i="9" s="1"/>
  <c r="BU132" i="9" a="1"/>
  <c r="BU132" i="9" s="1"/>
  <c r="AH131" i="9"/>
  <c r="AR140" i="9" s="1"/>
  <c r="AT140" i="9" s="1"/>
  <c r="I35" i="11"/>
  <c r="F141" i="9"/>
  <c r="AS113" i="9"/>
  <c r="F157" i="9"/>
  <c r="F145" i="9"/>
  <c r="H145" i="9" s="1"/>
  <c r="F142" i="9"/>
  <c r="H142" i="9" s="1"/>
  <c r="F146" i="9"/>
  <c r="H146" i="9" s="1"/>
  <c r="F147" i="9"/>
  <c r="H147" i="9" s="1"/>
  <c r="F143" i="9"/>
  <c r="H143" i="9" s="1"/>
  <c r="F148" i="9"/>
  <c r="H148" i="9" s="1"/>
  <c r="F144" i="9"/>
  <c r="H144" i="9" s="1"/>
  <c r="BI33" i="24"/>
  <c r="J117" i="24" s="1"/>
  <c r="AZ55" i="24"/>
  <c r="O132" i="9" a="1"/>
  <c r="O132" i="9" s="1"/>
  <c r="J5" i="25" l="1"/>
  <c r="K5" i="25" s="1"/>
  <c r="L5" i="25" s="1"/>
  <c r="M5" i="25" s="1"/>
  <c r="C51" i="25"/>
  <c r="U52" i="9"/>
  <c r="V46" i="9"/>
  <c r="S127" i="22"/>
  <c r="V62" i="24" s="1"/>
  <c r="AY99" i="22"/>
  <c r="AS84" i="22"/>
  <c r="D153" i="22"/>
  <c r="D162" i="22" s="1"/>
  <c r="F149" i="9"/>
  <c r="K144" i="9" s="1"/>
  <c r="H141" i="9"/>
  <c r="H149" i="9" s="1"/>
  <c r="F85" i="24"/>
  <c r="F95" i="24" s="1"/>
  <c r="C163" i="15"/>
  <c r="BR230" i="11"/>
  <c r="BR248" i="9"/>
  <c r="D154" i="15"/>
  <c r="AS84" i="15"/>
  <c r="BA103" i="22"/>
  <c r="BC38" i="24" s="1"/>
  <c r="BI38" i="24" s="1"/>
  <c r="J122" i="24" s="1"/>
  <c r="W130" i="22"/>
  <c r="Z65" i="24" s="1"/>
  <c r="P192" i="11"/>
  <c r="I203" i="11"/>
  <c r="C103" i="11"/>
  <c r="K114" i="11"/>
  <c r="BI18" i="24"/>
  <c r="J102" i="24" s="1"/>
  <c r="AH132" i="9"/>
  <c r="AK130" i="9" s="1"/>
  <c r="BM137" i="9"/>
  <c r="Q59" i="24"/>
  <c r="N140" i="15"/>
  <c r="N60" i="11"/>
  <c r="D51" i="11"/>
  <c r="N59" i="11"/>
  <c r="BW132" i="9"/>
  <c r="BX130" i="9"/>
  <c r="BY130" i="9" s="1"/>
  <c r="BZ130" i="9" s="1"/>
  <c r="CA130" i="9" s="1"/>
  <c r="G7" i="17"/>
  <c r="I7" i="17" s="1"/>
  <c r="H7" i="17"/>
  <c r="K92" i="11"/>
  <c r="AO52" i="9"/>
  <c r="AO42" i="9" s="1"/>
  <c r="BA46" i="15"/>
  <c r="BC22" i="24"/>
  <c r="J35" i="11"/>
  <c r="G35" i="11"/>
  <c r="C64" i="11"/>
  <c r="E64" i="11" s="1"/>
  <c r="N65" i="11" s="1"/>
  <c r="L65" i="11" s="1"/>
  <c r="H12" i="17"/>
  <c r="G12" i="17"/>
  <c r="I12" i="17" s="1"/>
  <c r="CL282" i="9"/>
  <c r="E118" i="11"/>
  <c r="BW156" i="9"/>
  <c r="BX156" i="9" s="1"/>
  <c r="BY156" i="9" s="1"/>
  <c r="BZ156" i="9" s="1"/>
  <c r="CA156" i="9" s="1"/>
  <c r="CA157" i="9" s="1"/>
  <c r="CB156" i="9"/>
  <c r="CB152" i="9" s="1"/>
  <c r="BT157" i="9"/>
  <c r="CB157" i="9" s="1"/>
  <c r="CE144" i="9"/>
  <c r="I6" i="25"/>
  <c r="I7" i="25" s="1"/>
  <c r="AR138" i="9"/>
  <c r="AT138" i="9" s="1"/>
  <c r="AV53" i="22"/>
  <c r="AV120" i="22"/>
  <c r="BG94" i="22"/>
  <c r="G181" i="22" s="1"/>
  <c r="BH109" i="20"/>
  <c r="AB136" i="20"/>
  <c r="BM113" i="9"/>
  <c r="BM116" i="9" s="1"/>
  <c r="BK116" i="9"/>
  <c r="C220" i="22" s="1"/>
  <c r="AA140" i="9"/>
  <c r="N139" i="22"/>
  <c r="C195" i="11"/>
  <c r="F191" i="11"/>
  <c r="AX50" i="20"/>
  <c r="AX29" i="24"/>
  <c r="BG94" i="15"/>
  <c r="G182" i="15" s="1"/>
  <c r="AV120" i="15"/>
  <c r="AV53" i="15"/>
  <c r="AY120" i="15"/>
  <c r="BG99" i="15"/>
  <c r="G187" i="15" s="1"/>
  <c r="AY58" i="15"/>
  <c r="CQ210" i="9"/>
  <c r="K155" i="9"/>
  <c r="H157" i="9"/>
  <c r="AM143" i="20"/>
  <c r="C217" i="22"/>
  <c r="AU113" i="9"/>
  <c r="O58" i="24"/>
  <c r="L140" i="15"/>
  <c r="Q132" i="9"/>
  <c r="R130" i="9"/>
  <c r="S130" i="9" s="1"/>
  <c r="T130" i="9" s="1"/>
  <c r="U130" i="9" s="1"/>
  <c r="AW55" i="24"/>
  <c r="BI27" i="24"/>
  <c r="J111" i="24" s="1"/>
  <c r="AR139" i="9"/>
  <c r="Z140" i="9"/>
  <c r="AB134" i="15"/>
  <c r="BE108" i="15"/>
  <c r="EB133" i="9"/>
  <c r="P108" i="11"/>
  <c r="Z79" i="11"/>
  <c r="AC79" i="11" s="1"/>
  <c r="P110" i="11"/>
  <c r="Z76" i="11"/>
  <c r="AC76" i="11" s="1"/>
  <c r="P111" i="11"/>
  <c r="P109" i="11"/>
  <c r="Z78" i="11"/>
  <c r="AC78" i="11" s="1"/>
  <c r="Z75" i="11"/>
  <c r="P107" i="11"/>
  <c r="Z77" i="11"/>
  <c r="AC77" i="11" s="1"/>
  <c r="BG103" i="15"/>
  <c r="G191" i="15" s="1"/>
  <c r="BA62" i="15"/>
  <c r="AM131" i="15"/>
  <c r="E220" i="15" s="1"/>
  <c r="W140" i="15"/>
  <c r="CE140" i="9"/>
  <c r="M92" i="11"/>
  <c r="AS139" i="9"/>
  <c r="BK139" i="9"/>
  <c r="BM139" i="9" s="1"/>
  <c r="J199" i="11"/>
  <c r="K199" i="11" s="1"/>
  <c r="M191" i="11"/>
  <c r="BA132" i="9"/>
  <c r="BD130" i="9" s="1"/>
  <c r="L63" i="9"/>
  <c r="K64" i="9"/>
  <c r="BH52" i="9"/>
  <c r="BH42" i="9" s="1"/>
  <c r="AM128" i="15"/>
  <c r="E217" i="15" s="1"/>
  <c r="S140" i="15"/>
  <c r="AP65" i="24" l="1"/>
  <c r="J152" i="24" s="1"/>
  <c r="Z74" i="24"/>
  <c r="AP62" i="24"/>
  <c r="J149" i="24" s="1"/>
  <c r="V74" i="24"/>
  <c r="F10" i="17"/>
  <c r="L155" i="9"/>
  <c r="K156" i="9"/>
  <c r="P190" i="11"/>
  <c r="F195" i="11"/>
  <c r="I200" i="11"/>
  <c r="CL241" i="9"/>
  <c r="S110" i="11"/>
  <c r="W139" i="22"/>
  <c r="AM130" i="22"/>
  <c r="AC89" i="11"/>
  <c r="BE130" i="9"/>
  <c r="BF130" i="9" s="1"/>
  <c r="BG130" i="9" s="1"/>
  <c r="BH130" i="9" s="1"/>
  <c r="BD132" i="9"/>
  <c r="AY120" i="22"/>
  <c r="BG99" i="22"/>
  <c r="G186" i="22" s="1"/>
  <c r="AY58" i="22"/>
  <c r="O74" i="24"/>
  <c r="CB130" i="9"/>
  <c r="CA132" i="9"/>
  <c r="S107" i="11"/>
  <c r="CL238" i="9"/>
  <c r="H149" i="24"/>
  <c r="AY95" i="20"/>
  <c r="AK131" i="9"/>
  <c r="AL131" i="9" s="1"/>
  <c r="AM131" i="9" s="1"/>
  <c r="AN131" i="9" s="1"/>
  <c r="AO131" i="9" s="1"/>
  <c r="AP131" i="9" s="1"/>
  <c r="BT230" i="11"/>
  <c r="BQ230" i="11"/>
  <c r="AC90" i="11"/>
  <c r="AX96" i="20"/>
  <c r="AQ46" i="9"/>
  <c r="O127" i="20"/>
  <c r="U132" i="9"/>
  <c r="V130" i="9"/>
  <c r="Q115" i="9"/>
  <c r="D16" i="14" s="1"/>
  <c r="BA62" i="22"/>
  <c r="BG103" i="22"/>
  <c r="G190" i="22" s="1"/>
  <c r="BA120" i="22"/>
  <c r="AU19" i="24"/>
  <c r="AS43" i="15"/>
  <c r="BG84" i="15"/>
  <c r="G172" i="15" s="1"/>
  <c r="EB134" i="9"/>
  <c r="C52" i="25"/>
  <c r="J6" i="25"/>
  <c r="K6" i="25" s="1"/>
  <c r="L6" i="25" s="1"/>
  <c r="M6" i="25" s="1"/>
  <c r="N6" i="25" s="1"/>
  <c r="AK132" i="9"/>
  <c r="AL130" i="9"/>
  <c r="AM130" i="9" s="1"/>
  <c r="AN130" i="9" s="1"/>
  <c r="AO130" i="9" s="1"/>
  <c r="AF80" i="11"/>
  <c r="AF77" i="11"/>
  <c r="BE67" i="15"/>
  <c r="BG108" i="15"/>
  <c r="G196" i="15" s="1"/>
  <c r="BE120" i="15"/>
  <c r="BA34" i="24"/>
  <c r="BT248" i="9"/>
  <c r="BR249" i="9"/>
  <c r="CA244" i="9" s="1"/>
  <c r="BB87" i="15" s="1"/>
  <c r="BQ248" i="9"/>
  <c r="AC75" i="11"/>
  <c r="Z80" i="11"/>
  <c r="H152" i="24"/>
  <c r="BB95" i="20"/>
  <c r="K112" i="11"/>
  <c r="K110" i="11"/>
  <c r="K111" i="11"/>
  <c r="K109" i="11"/>
  <c r="K107" i="11"/>
  <c r="K108" i="11"/>
  <c r="K113" i="11"/>
  <c r="F11" i="17"/>
  <c r="CL240" i="9"/>
  <c r="S109" i="11"/>
  <c r="AB143" i="20"/>
  <c r="CL242" i="9"/>
  <c r="S111" i="11"/>
  <c r="BH64" i="20"/>
  <c r="BJ109" i="20"/>
  <c r="J196" i="20" s="1"/>
  <c r="D51" i="25"/>
  <c r="E51" i="25"/>
  <c r="F51" i="25"/>
  <c r="G51" i="25"/>
  <c r="L64" i="9"/>
  <c r="U59" i="9" s="1"/>
  <c r="N63" i="9"/>
  <c r="BG84" i="22"/>
  <c r="G171" i="22" s="1"/>
  <c r="AS43" i="22"/>
  <c r="CL239" i="9"/>
  <c r="S108" i="11"/>
  <c r="Q74" i="24"/>
  <c r="N38" i="11"/>
  <c r="N35" i="11"/>
  <c r="N36" i="11"/>
  <c r="F35" i="11"/>
  <c r="S139" i="22"/>
  <c r="AM127" i="22"/>
  <c r="G86" i="24"/>
  <c r="G95" i="24" s="1"/>
  <c r="D163" i="15"/>
  <c r="BD131" i="9"/>
  <c r="BE131" i="9" s="1"/>
  <c r="BF131" i="9" s="1"/>
  <c r="BG131" i="9" s="1"/>
  <c r="BH131" i="9" s="1"/>
  <c r="BI131" i="9" s="1"/>
  <c r="AB140" i="15"/>
  <c r="BD91" i="20"/>
  <c r="E60" i="11"/>
  <c r="L59" i="11"/>
  <c r="V52" i="9"/>
  <c r="V42" i="9" s="1"/>
  <c r="L93" i="11"/>
  <c r="H93" i="11"/>
  <c r="CO210" i="9"/>
  <c r="K93" i="11"/>
  <c r="J93" i="11"/>
  <c r="I93" i="11"/>
  <c r="AT139" i="9"/>
  <c r="E112" i="11"/>
  <c r="C112" i="11" s="1"/>
  <c r="E107" i="11"/>
  <c r="C107" i="11" s="1"/>
  <c r="E111" i="11"/>
  <c r="C111" i="11" s="1"/>
  <c r="E108" i="11"/>
  <c r="C108" i="11" s="1"/>
  <c r="E113" i="11"/>
  <c r="C113" i="11" s="1"/>
  <c r="E110" i="11"/>
  <c r="C110" i="11" s="1"/>
  <c r="E109" i="11"/>
  <c r="C109" i="11" s="1"/>
  <c r="E117" i="11"/>
  <c r="C117" i="11" s="1"/>
  <c r="E115" i="11"/>
  <c r="C115" i="11" s="1"/>
  <c r="E114" i="11"/>
  <c r="C114" i="11" s="1"/>
  <c r="E116" i="11"/>
  <c r="C116" i="11" s="1"/>
  <c r="F101" i="11" s="1"/>
  <c r="AT47" i="9"/>
  <c r="AX55" i="24"/>
  <c r="BI29" i="24"/>
  <c r="J113" i="24" s="1"/>
  <c r="CL274" i="9"/>
  <c r="CO274" i="9" s="1"/>
  <c r="CV267" i="9"/>
  <c r="CL275" i="9"/>
  <c r="CO275" i="9" s="1"/>
  <c r="CL272" i="9"/>
  <c r="CO272" i="9" s="1"/>
  <c r="CL271" i="9"/>
  <c r="CL273" i="9"/>
  <c r="CO273" i="9" s="1"/>
  <c r="CL276" i="9"/>
  <c r="CO276" i="9" s="1"/>
  <c r="CL277" i="9"/>
  <c r="CO277" i="9" s="1"/>
  <c r="CL278" i="9"/>
  <c r="CO278" i="9" s="1"/>
  <c r="CL279" i="9"/>
  <c r="CO279" i="9" s="1"/>
  <c r="CL281" i="9"/>
  <c r="CO281" i="9" s="1"/>
  <c r="CL280" i="9"/>
  <c r="CO280" i="9" s="1"/>
  <c r="L60" i="11"/>
  <c r="CL142" i="9" s="1"/>
  <c r="BJ46" i="9"/>
  <c r="U130" i="20"/>
  <c r="AT46" i="9"/>
  <c r="BA102" i="20"/>
  <c r="BM47" i="9"/>
  <c r="BM46" i="9"/>
  <c r="AC91" i="11"/>
  <c r="AG79" i="11"/>
  <c r="AF79" i="11"/>
  <c r="AH79" i="11" s="1"/>
  <c r="K94" i="11"/>
  <c r="CF203" i="11" s="1"/>
  <c r="J203" i="11"/>
  <c r="K203" i="11" s="1"/>
  <c r="M192" i="11"/>
  <c r="F9" i="17"/>
  <c r="K145" i="9"/>
  <c r="L144" i="9"/>
  <c r="N5" i="25"/>
  <c r="CO239" i="9" l="1"/>
  <c r="F156" i="20"/>
  <c r="F166" i="20" s="1"/>
  <c r="AU87" i="20"/>
  <c r="CL223" i="9"/>
  <c r="I108" i="11"/>
  <c r="K200" i="11"/>
  <c r="BI34" i="24"/>
  <c r="J118" i="24" s="1"/>
  <c r="BA55" i="24"/>
  <c r="EL126" i="9"/>
  <c r="EC131" i="9"/>
  <c r="EC130" i="9"/>
  <c r="EC132" i="9"/>
  <c r="Z91" i="11"/>
  <c r="CL243" i="9"/>
  <c r="CV234" i="9" s="1"/>
  <c r="CO238" i="9"/>
  <c r="CP243" i="9" a="1"/>
  <c r="CP243" i="9" s="1"/>
  <c r="CM238" i="9"/>
  <c r="J200" i="11"/>
  <c r="G198" i="11"/>
  <c r="F198" i="11" s="1"/>
  <c r="J201" i="11"/>
  <c r="M190" i="11"/>
  <c r="C60" i="11"/>
  <c r="E61" i="11"/>
  <c r="E62" i="11"/>
  <c r="F59" i="11" s="1"/>
  <c r="AR88" i="15"/>
  <c r="CL226" i="9"/>
  <c r="I111" i="11"/>
  <c r="EC133" i="9"/>
  <c r="AG77" i="11"/>
  <c r="Z89" i="11"/>
  <c r="H10" i="17"/>
  <c r="G10" i="17"/>
  <c r="I10" i="17" s="1"/>
  <c r="F8" i="14"/>
  <c r="C54" i="14"/>
  <c r="F98" i="11"/>
  <c r="U143" i="20"/>
  <c r="AP130" i="20"/>
  <c r="H219" i="20" s="1"/>
  <c r="E53" i="25"/>
  <c r="CO240" i="9"/>
  <c r="AH77" i="11"/>
  <c r="BJ96" i="20"/>
  <c r="J183" i="20" s="1"/>
  <c r="AX51" i="20"/>
  <c r="AX124" i="20"/>
  <c r="F100" i="11"/>
  <c r="F14" i="17"/>
  <c r="BQ249" i="9"/>
  <c r="CL228" i="9"/>
  <c r="I113" i="11"/>
  <c r="C118" i="11"/>
  <c r="AY50" i="20"/>
  <c r="CL222" i="9"/>
  <c r="I107" i="11"/>
  <c r="I114" i="11" s="1"/>
  <c r="F103" i="11" s="1"/>
  <c r="V132" i="9"/>
  <c r="V126" i="9" s="1"/>
  <c r="Q117" i="9"/>
  <c r="D18" i="14" s="1"/>
  <c r="D54" i="14"/>
  <c r="F9" i="14"/>
  <c r="BH132" i="9"/>
  <c r="BI130" i="9"/>
  <c r="C57" i="14"/>
  <c r="G8" i="14"/>
  <c r="K100" i="11"/>
  <c r="C101" i="11"/>
  <c r="F39" i="11"/>
  <c r="G39" i="11" s="1"/>
  <c r="E35" i="11"/>
  <c r="F38" i="11"/>
  <c r="G38" i="11" s="1"/>
  <c r="CO242" i="9"/>
  <c r="S112" i="11"/>
  <c r="M7" i="25"/>
  <c r="I110" i="11"/>
  <c r="CL225" i="9"/>
  <c r="O143" i="20"/>
  <c r="C240" i="11"/>
  <c r="L156" i="9"/>
  <c r="U151" i="9" s="1"/>
  <c r="N155" i="9"/>
  <c r="BJ102" i="20"/>
  <c r="J189" i="20" s="1"/>
  <c r="BA57" i="20"/>
  <c r="BA124" i="20"/>
  <c r="G53" i="25"/>
  <c r="C58" i="25" s="1"/>
  <c r="CL227" i="9"/>
  <c r="I112" i="11"/>
  <c r="CB132" i="9"/>
  <c r="CB126" i="9" s="1"/>
  <c r="N144" i="9"/>
  <c r="L145" i="9"/>
  <c r="U140" i="9" s="1"/>
  <c r="CP282" i="9" a="1"/>
  <c r="CP282" i="9" s="1"/>
  <c r="CO271" i="9"/>
  <c r="BB50" i="20"/>
  <c r="CF228" i="9"/>
  <c r="EE133" i="9"/>
  <c r="CO211" i="9"/>
  <c r="CR210" i="9" s="1"/>
  <c r="CS210" i="9" s="1"/>
  <c r="CT210" i="9" s="1"/>
  <c r="CU210" i="9" s="1"/>
  <c r="CV210" i="9" s="1"/>
  <c r="G9" i="17"/>
  <c r="I9" i="17" s="1"/>
  <c r="H9" i="17"/>
  <c r="H51" i="25"/>
  <c r="D53" i="25"/>
  <c r="BI19" i="24"/>
  <c r="J103" i="24" s="1"/>
  <c r="AG80" i="11"/>
  <c r="AH80" i="11" s="1"/>
  <c r="Z90" i="11"/>
  <c r="CM241" i="9"/>
  <c r="CO241" i="9"/>
  <c r="CO235" i="11"/>
  <c r="CO234" i="11"/>
  <c r="BD22" i="24"/>
  <c r="BB46" i="15"/>
  <c r="BT249" i="9"/>
  <c r="CO256" i="9"/>
  <c r="BW248" i="9"/>
  <c r="BX248" i="9" s="1"/>
  <c r="BY248" i="9" s="1"/>
  <c r="BZ248" i="9" s="1"/>
  <c r="CA248" i="9" s="1"/>
  <c r="CA249" i="9" s="1"/>
  <c r="CO255" i="9"/>
  <c r="F52" i="25"/>
  <c r="F53" i="25" s="1"/>
  <c r="E52" i="25"/>
  <c r="G52" i="25"/>
  <c r="D52" i="25"/>
  <c r="Y62" i="9"/>
  <c r="N64" i="9"/>
  <c r="Q63" i="9" s="1"/>
  <c r="Y61" i="9"/>
  <c r="AG68" i="9"/>
  <c r="AG67" i="9"/>
  <c r="N76" i="9"/>
  <c r="CL224" i="9"/>
  <c r="I109" i="11"/>
  <c r="G9" i="14"/>
  <c r="D57" i="14"/>
  <c r="L94" i="11"/>
  <c r="CF210" i="11" s="1"/>
  <c r="H94" i="11"/>
  <c r="J94" i="11"/>
  <c r="AC88" i="11"/>
  <c r="N7" i="25"/>
  <c r="BD46" i="20"/>
  <c r="F14" i="13"/>
  <c r="CO142" i="9"/>
  <c r="BM110" i="15"/>
  <c r="AD134" i="15"/>
  <c r="F99" i="11"/>
  <c r="F102" i="11"/>
  <c r="C53" i="25"/>
  <c r="G11" i="17"/>
  <c r="I11" i="17" s="1"/>
  <c r="H11" i="17"/>
  <c r="AF78" i="11"/>
  <c r="AC80" i="11"/>
  <c r="AP130" i="9"/>
  <c r="AO132" i="9"/>
  <c r="CV211" i="9" l="1"/>
  <c r="CW210" i="9"/>
  <c r="R63" i="9"/>
  <c r="S63" i="9" s="1"/>
  <c r="N156" i="9"/>
  <c r="Q155" i="9"/>
  <c r="BQ213" i="9"/>
  <c r="CO224" i="9"/>
  <c r="CM224" i="9"/>
  <c r="AX213" i="9"/>
  <c r="I100" i="11"/>
  <c r="C98" i="11"/>
  <c r="AD133" i="22"/>
  <c r="AD139" i="22" s="1"/>
  <c r="BM110" i="22"/>
  <c r="BN110" i="22" s="1"/>
  <c r="AT23" i="24"/>
  <c r="AR47" i="15"/>
  <c r="EA239" i="9"/>
  <c r="DF239" i="9"/>
  <c r="E240" i="11"/>
  <c r="Z62" i="9"/>
  <c r="AA62" i="9" s="1"/>
  <c r="AD68" i="9"/>
  <c r="N145" i="9"/>
  <c r="Q144" i="9" s="1"/>
  <c r="Y142" i="9"/>
  <c r="AH146" i="9"/>
  <c r="AH147" i="9"/>
  <c r="N167" i="9"/>
  <c r="Y139" i="9"/>
  <c r="BQ212" i="9"/>
  <c r="CM223" i="9"/>
  <c r="AX212" i="9"/>
  <c r="CO223" i="9"/>
  <c r="Z134" i="20"/>
  <c r="BD107" i="20"/>
  <c r="F60" i="11"/>
  <c r="H100" i="11"/>
  <c r="C99" i="11"/>
  <c r="AX214" i="9"/>
  <c r="CO225" i="9"/>
  <c r="BQ214" i="9"/>
  <c r="CM225" i="9"/>
  <c r="BQ144" i="9"/>
  <c r="H53" i="25"/>
  <c r="D58" i="25" s="1"/>
  <c r="E58" i="25" s="1"/>
  <c r="AH78" i="11"/>
  <c r="I38" i="11"/>
  <c r="O36" i="11"/>
  <c r="G44" i="11"/>
  <c r="AV88" i="20"/>
  <c r="G157" i="20"/>
  <c r="G166" i="20" s="1"/>
  <c r="Q116" i="9"/>
  <c r="D17" i="14" s="1"/>
  <c r="CL255" i="9"/>
  <c r="BC109" i="22"/>
  <c r="AC133" i="22"/>
  <c r="AC139" i="22" s="1"/>
  <c r="Z61" i="9"/>
  <c r="AA61" i="9" s="1"/>
  <c r="AD67" i="9"/>
  <c r="Z63" i="9"/>
  <c r="AS88" i="15"/>
  <c r="I39" i="11"/>
  <c r="O35" i="11"/>
  <c r="O38" i="11"/>
  <c r="CF219" i="9"/>
  <c r="CO243" i="9"/>
  <c r="CR240" i="9" s="1"/>
  <c r="CR238" i="9"/>
  <c r="CZ247" i="9"/>
  <c r="CL256" i="9"/>
  <c r="CF218" i="9"/>
  <c r="AC134" i="15"/>
  <c r="BC109" i="15"/>
  <c r="DA229" i="9"/>
  <c r="DB229" i="9" s="1"/>
  <c r="EE134" i="9"/>
  <c r="EG133" i="9"/>
  <c r="AC92" i="11"/>
  <c r="AG78" i="11"/>
  <c r="AD88" i="11"/>
  <c r="Z88" i="11"/>
  <c r="AD140" i="15"/>
  <c r="DF238" i="9"/>
  <c r="EA238" i="9"/>
  <c r="BO45" i="24"/>
  <c r="BP45" i="24" s="1"/>
  <c r="BN110" i="15"/>
  <c r="CO227" i="9"/>
  <c r="AX216" i="9"/>
  <c r="BQ216" i="9"/>
  <c r="BI132" i="9"/>
  <c r="BI126" i="9" s="1"/>
  <c r="BN130" i="9" s="1"/>
  <c r="AU131" i="9"/>
  <c r="EC134" i="9"/>
  <c r="CM240" i="9"/>
  <c r="CR239" i="9"/>
  <c r="CM228" i="9"/>
  <c r="CO228" i="9"/>
  <c r="BQ217" i="9"/>
  <c r="F199" i="11"/>
  <c r="F200" i="11"/>
  <c r="C198" i="11"/>
  <c r="I201" i="11"/>
  <c r="BF115" i="15"/>
  <c r="AI137" i="15"/>
  <c r="DV131" i="9"/>
  <c r="Q64" i="14" s="1"/>
  <c r="AB64" i="14" s="1"/>
  <c r="DW107" i="9"/>
  <c r="ES117" i="9"/>
  <c r="DW120" i="9"/>
  <c r="CM239" i="9"/>
  <c r="CM243" i="9" s="1"/>
  <c r="AP132" i="9"/>
  <c r="AP126" i="9" s="1"/>
  <c r="CF144" i="9"/>
  <c r="CG144" i="9" s="1"/>
  <c r="CO282" i="9"/>
  <c r="CR271" i="9"/>
  <c r="N78" i="9"/>
  <c r="Q76" i="9" s="1"/>
  <c r="R76" i="9" s="1"/>
  <c r="S76" i="9" s="1"/>
  <c r="T76" i="9" s="1"/>
  <c r="U76" i="9" s="1"/>
  <c r="N77" i="9"/>
  <c r="K76" i="9"/>
  <c r="Y63" i="9"/>
  <c r="AA63" i="9" s="1"/>
  <c r="I159" i="15"/>
  <c r="AS89" i="15"/>
  <c r="E39" i="11"/>
  <c r="V14" i="11" s="1"/>
  <c r="E38" i="11"/>
  <c r="V18" i="11"/>
  <c r="C100" i="11"/>
  <c r="J100" i="11"/>
  <c r="CP229" i="9" a="1"/>
  <c r="CP229" i="9" s="1"/>
  <c r="AX211" i="9"/>
  <c r="CO222" i="9"/>
  <c r="BQ211" i="9"/>
  <c r="CL229" i="9"/>
  <c r="CV218" i="9" s="1"/>
  <c r="N61" i="11"/>
  <c r="F61" i="11"/>
  <c r="F62" i="11" s="1"/>
  <c r="C61" i="11"/>
  <c r="C102" i="11"/>
  <c r="L100" i="11"/>
  <c r="CB248" i="9"/>
  <c r="EA240" i="9"/>
  <c r="DF240" i="9"/>
  <c r="CB249" i="9"/>
  <c r="CB244" i="9" s="1"/>
  <c r="AU42" i="20"/>
  <c r="BJ87" i="20"/>
  <c r="J174" i="20" s="1"/>
  <c r="CK210" i="9"/>
  <c r="EA133" i="9"/>
  <c r="N92" i="11"/>
  <c r="CZ248" i="9"/>
  <c r="CZ246" i="9"/>
  <c r="H52" i="25"/>
  <c r="CF201" i="11"/>
  <c r="CL234" i="11"/>
  <c r="CP237" i="11" s="1" a="1"/>
  <c r="CP237" i="11" s="1"/>
  <c r="CL235" i="11"/>
  <c r="CF202" i="11"/>
  <c r="CM242" i="9"/>
  <c r="G14" i="17"/>
  <c r="I14" i="17" s="1"/>
  <c r="H14" i="17"/>
  <c r="CO226" i="9"/>
  <c r="AX215" i="9"/>
  <c r="BQ215" i="9"/>
  <c r="AG68" i="24" l="1"/>
  <c r="AG74" i="24" s="1"/>
  <c r="G17" i="14"/>
  <c r="C58" i="14"/>
  <c r="R144" i="9"/>
  <c r="S144" i="9" s="1"/>
  <c r="CS240" i="9"/>
  <c r="CT240" i="9" s="1"/>
  <c r="CU240" i="9" s="1"/>
  <c r="CV240" i="9" s="1"/>
  <c r="CW240" i="9" s="1"/>
  <c r="CR226" i="9"/>
  <c r="CS226" i="9" s="1"/>
  <c r="CT226" i="9" s="1"/>
  <c r="CU226" i="9" s="1"/>
  <c r="CV226" i="9" s="1"/>
  <c r="CW226" i="9" s="1"/>
  <c r="CF226" i="9"/>
  <c r="AE211" i="9"/>
  <c r="BA211" i="9"/>
  <c r="BQ210" i="9"/>
  <c r="C104" i="11"/>
  <c r="L98" i="11"/>
  <c r="BT214" i="9"/>
  <c r="AE212" i="9"/>
  <c r="BA212" i="9"/>
  <c r="F16" i="17"/>
  <c r="C227" i="22"/>
  <c r="EU117" i="9"/>
  <c r="ED238" i="9"/>
  <c r="CS238" i="9"/>
  <c r="CT238" i="9" s="1"/>
  <c r="CU238" i="9" s="1"/>
  <c r="CV238" i="9" s="1"/>
  <c r="CR225" i="9"/>
  <c r="CS225" i="9" s="1"/>
  <c r="CT225" i="9" s="1"/>
  <c r="CU225" i="9" s="1"/>
  <c r="CV225" i="9" s="1"/>
  <c r="CW225" i="9" s="1"/>
  <c r="CF225" i="9"/>
  <c r="K240" i="11"/>
  <c r="E241" i="11"/>
  <c r="K241" i="11"/>
  <c r="I241" i="11" s="1"/>
  <c r="BA213" i="9"/>
  <c r="AE213" i="9"/>
  <c r="D102" i="11"/>
  <c r="M98" i="11"/>
  <c r="CS271" i="9"/>
  <c r="CT271" i="9" s="1"/>
  <c r="CU271" i="9" s="1"/>
  <c r="CV271" i="9"/>
  <c r="CR241" i="9"/>
  <c r="CR243" i="9" s="1"/>
  <c r="BT212" i="9"/>
  <c r="CR275" i="9"/>
  <c r="CR278" i="9"/>
  <c r="CR280" i="9"/>
  <c r="CR272" i="9"/>
  <c r="CR281" i="9"/>
  <c r="CR276" i="9"/>
  <c r="CR277" i="9"/>
  <c r="CR274" i="9"/>
  <c r="CR273" i="9"/>
  <c r="CR279" i="9"/>
  <c r="I98" i="11"/>
  <c r="N98" i="11" s="1"/>
  <c r="O98" i="11" s="1"/>
  <c r="CF224" i="9"/>
  <c r="N62" i="11"/>
  <c r="CR242" i="9"/>
  <c r="BE44" i="24"/>
  <c r="BC120" i="15"/>
  <c r="BC68" i="15"/>
  <c r="BG109" i="15"/>
  <c r="G197" i="15" s="1"/>
  <c r="ED239" i="9"/>
  <c r="BG89" i="15"/>
  <c r="G177" i="15" s="1"/>
  <c r="AU24" i="24"/>
  <c r="BI24" i="24" s="1"/>
  <c r="J108" i="24" s="1"/>
  <c r="AS48" i="15"/>
  <c r="BT216" i="9"/>
  <c r="AF68" i="24"/>
  <c r="AF74" i="24" s="1"/>
  <c r="AC140" i="15"/>
  <c r="AE146" i="9"/>
  <c r="Z139" i="9"/>
  <c r="Z141" i="9"/>
  <c r="BE91" i="20"/>
  <c r="AA142" i="9"/>
  <c r="BT215" i="9"/>
  <c r="C199" i="11"/>
  <c r="I202" i="11"/>
  <c r="P193" i="11"/>
  <c r="AD89" i="11"/>
  <c r="AD91" i="11"/>
  <c r="AD90" i="11"/>
  <c r="AU23" i="24"/>
  <c r="AS47" i="15"/>
  <c r="BT144" i="9"/>
  <c r="BQ146" i="9"/>
  <c r="CW211" i="9"/>
  <c r="CW206" i="9" s="1"/>
  <c r="V76" i="9"/>
  <c r="EH131" i="9"/>
  <c r="EI131" i="9" s="1"/>
  <c r="EJ131" i="9" s="1"/>
  <c r="EK131" i="9" s="1"/>
  <c r="EL131" i="9" s="1"/>
  <c r="EM131" i="9" s="1"/>
  <c r="EH130" i="9"/>
  <c r="EH132" i="9"/>
  <c r="EI132" i="9" s="1"/>
  <c r="EJ132" i="9" s="1"/>
  <c r="EK132" i="9" s="1"/>
  <c r="EL132" i="9" s="1"/>
  <c r="EM132" i="9" s="1"/>
  <c r="CF223" i="9"/>
  <c r="AE133" i="22"/>
  <c r="AE139" i="22" s="1"/>
  <c r="BM111" i="22"/>
  <c r="BN111" i="22" s="1"/>
  <c r="DY120" i="9"/>
  <c r="EB118" i="9"/>
  <c r="EH133" i="9"/>
  <c r="EI133" i="9" s="1"/>
  <c r="EJ133" i="9" s="1"/>
  <c r="EK133" i="9" s="1"/>
  <c r="EL133" i="9" s="1"/>
  <c r="EM133" i="9" s="1"/>
  <c r="AE67" i="23"/>
  <c r="EF133" i="9"/>
  <c r="EF134" i="9" s="1" a="1"/>
  <c r="EF134" i="9" s="1"/>
  <c r="CN210" i="9"/>
  <c r="CN211" i="9" s="1"/>
  <c r="ED133" i="9"/>
  <c r="ED134" i="9" s="1"/>
  <c r="BH50" i="23" s="1"/>
  <c r="CP210" i="9"/>
  <c r="CP211" i="9" s="1"/>
  <c r="CS239" i="9"/>
  <c r="CT239" i="9" s="1"/>
  <c r="CU239" i="9" s="1"/>
  <c r="CV239" i="9" s="1"/>
  <c r="CW239" i="9" s="1"/>
  <c r="J38" i="11"/>
  <c r="J44" i="11" s="1"/>
  <c r="CL143" i="9"/>
  <c r="I44" i="11"/>
  <c r="J98" i="11"/>
  <c r="D100" i="11"/>
  <c r="EB105" i="9"/>
  <c r="DY107" i="9"/>
  <c r="DI238" i="9"/>
  <c r="AE214" i="9"/>
  <c r="BA214" i="9"/>
  <c r="CL144" i="9"/>
  <c r="L61" i="11"/>
  <c r="L62" i="11" s="1"/>
  <c r="BQ145" i="9"/>
  <c r="BT145" i="9" s="1"/>
  <c r="AA139" i="9"/>
  <c r="AM137" i="15"/>
  <c r="E226" i="15" s="1"/>
  <c r="AI140" i="15"/>
  <c r="F18" i="14"/>
  <c r="D55" i="14"/>
  <c r="C224" i="22"/>
  <c r="DD229" i="9"/>
  <c r="BG109" i="22"/>
  <c r="G196" i="22" s="1"/>
  <c r="BC120" i="22"/>
  <c r="BC68" i="22"/>
  <c r="M100" i="11"/>
  <c r="N168" i="9"/>
  <c r="N169" i="9" s="1"/>
  <c r="K167" i="9"/>
  <c r="Y141" i="9"/>
  <c r="DI239" i="9"/>
  <c r="BT213" i="9"/>
  <c r="BG115" i="15"/>
  <c r="G203" i="15" s="1"/>
  <c r="BF74" i="15"/>
  <c r="BB103" i="20"/>
  <c r="V131" i="20"/>
  <c r="AU130" i="9"/>
  <c r="BK130" i="9"/>
  <c r="BN131" i="9"/>
  <c r="Z142" i="9"/>
  <c r="AE147" i="9"/>
  <c r="R155" i="9"/>
  <c r="S155" i="9" s="1"/>
  <c r="T155" i="9" s="1"/>
  <c r="U155" i="9"/>
  <c r="K201" i="11"/>
  <c r="I204" i="11"/>
  <c r="EA237" i="9"/>
  <c r="DF237" i="9"/>
  <c r="Z92" i="11"/>
  <c r="AA88" i="11"/>
  <c r="E21" i="13"/>
  <c r="E23" i="13" s="1"/>
  <c r="AE134" i="15"/>
  <c r="BM111" i="15"/>
  <c r="L91" i="24"/>
  <c r="L95" i="24" s="1"/>
  <c r="I163" i="15"/>
  <c r="AE216" i="9"/>
  <c r="BA216" i="9"/>
  <c r="AD92" i="11"/>
  <c r="K98" i="11"/>
  <c r="J39" i="11"/>
  <c r="CL118" i="9"/>
  <c r="BT211" i="9"/>
  <c r="CR227" i="9"/>
  <c r="CS227" i="9" s="1"/>
  <c r="CT227" i="9" s="1"/>
  <c r="CU227" i="9" s="1"/>
  <c r="CV227" i="9" s="1"/>
  <c r="CW227" i="9" s="1"/>
  <c r="CF227" i="9"/>
  <c r="C62" i="11"/>
  <c r="BJ107" i="20"/>
  <c r="J194" i="20" s="1"/>
  <c r="BD62" i="20"/>
  <c r="CM226" i="9"/>
  <c r="DI240" i="9"/>
  <c r="CM222" i="9"/>
  <c r="Q128" i="20"/>
  <c r="AY98" i="20"/>
  <c r="AR130" i="9"/>
  <c r="CM227" i="9"/>
  <c r="AE215" i="9"/>
  <c r="BA215" i="9"/>
  <c r="ED240" i="9"/>
  <c r="CO229" i="9"/>
  <c r="CR228" i="9" s="1"/>
  <c r="CS228" i="9" s="1"/>
  <c r="CT228" i="9" s="1"/>
  <c r="CU228" i="9" s="1"/>
  <c r="CV228" i="9" s="1"/>
  <c r="CW228" i="9" s="1"/>
  <c r="CF220" i="9"/>
  <c r="CR222" i="9"/>
  <c r="CS222" i="9" s="1"/>
  <c r="CT222" i="9" s="1"/>
  <c r="CU222" i="9" s="1"/>
  <c r="CV222" i="9" s="1"/>
  <c r="CF222" i="9"/>
  <c r="Q77" i="9"/>
  <c r="R77" i="9" s="1"/>
  <c r="S77" i="9" s="1"/>
  <c r="T77" i="9" s="1"/>
  <c r="U77" i="9" s="1"/>
  <c r="U78" i="9" s="1"/>
  <c r="AG69" i="9"/>
  <c r="Y64" i="9"/>
  <c r="K77" i="9"/>
  <c r="BT217" i="9"/>
  <c r="AX217" i="9"/>
  <c r="BJ88" i="20"/>
  <c r="J175" i="20" s="1"/>
  <c r="AV43" i="20"/>
  <c r="AP134" i="20"/>
  <c r="H223" i="20" s="1"/>
  <c r="Z143" i="20"/>
  <c r="Q167" i="9" l="1"/>
  <c r="R167" i="9" s="1"/>
  <c r="S167" i="9" s="1"/>
  <c r="T167" i="9" s="1"/>
  <c r="U167" i="9" s="1"/>
  <c r="CW238" i="9"/>
  <c r="BV210" i="9"/>
  <c r="BC210" i="9" s="1"/>
  <c r="AJ210" i="9" s="1"/>
  <c r="P210" i="9" s="1"/>
  <c r="Z110" i="11"/>
  <c r="AH110" i="11"/>
  <c r="AA91" i="11"/>
  <c r="AA90" i="11"/>
  <c r="AA89" i="11"/>
  <c r="DA246" i="9"/>
  <c r="DB246" i="9" s="1"/>
  <c r="AE137" i="20"/>
  <c r="BH112" i="20"/>
  <c r="CW271" i="9"/>
  <c r="K216" i="9"/>
  <c r="AH216" i="9"/>
  <c r="EC105" i="9"/>
  <c r="F18" i="17"/>
  <c r="EB106" i="9"/>
  <c r="EH134" i="9"/>
  <c r="EI130" i="9"/>
  <c r="EJ130" i="9" s="1"/>
  <c r="EG134" i="9" a="1"/>
  <c r="EG134" i="9" s="1"/>
  <c r="CW222" i="9"/>
  <c r="K213" i="9"/>
  <c r="AH213" i="9"/>
  <c r="O60" i="11"/>
  <c r="O59" i="11"/>
  <c r="O62" i="11" s="1"/>
  <c r="CS272" i="9"/>
  <c r="CT272" i="9" s="1"/>
  <c r="CU272" i="9" s="1"/>
  <c r="CV272" i="9" s="1"/>
  <c r="BK224" i="9"/>
  <c r="AS224" i="9"/>
  <c r="AI106" i="11"/>
  <c r="AA106" i="11"/>
  <c r="K169" i="9"/>
  <c r="U163" i="9" s="1"/>
  <c r="AS223" i="9"/>
  <c r="BK223" i="9"/>
  <c r="C55" i="14"/>
  <c r="F17" i="14"/>
  <c r="CS279" i="9"/>
  <c r="CT279" i="9" s="1"/>
  <c r="CU279" i="9" s="1"/>
  <c r="CV279" i="9"/>
  <c r="CW279" i="9" s="1"/>
  <c r="K212" i="9"/>
  <c r="AH212" i="9"/>
  <c r="BJ103" i="20"/>
  <c r="J190" i="20" s="1"/>
  <c r="BB58" i="20"/>
  <c r="BB124" i="20"/>
  <c r="AP67" i="23"/>
  <c r="AE73" i="23"/>
  <c r="H102" i="23" s="1" a="1"/>
  <c r="BT146" i="9"/>
  <c r="BW144" i="9" s="1"/>
  <c r="CE142" i="9"/>
  <c r="BE55" i="24"/>
  <c r="BI44" i="24"/>
  <c r="J128" i="24" s="1"/>
  <c r="CS281" i="9"/>
  <c r="CT281" i="9" s="1"/>
  <c r="CU281" i="9" s="1"/>
  <c r="CV281" i="9"/>
  <c r="CW281" i="9" s="1"/>
  <c r="BL222" i="9"/>
  <c r="CE222" i="9"/>
  <c r="CG222" i="9" s="1"/>
  <c r="BE46" i="20"/>
  <c r="CE227" i="9"/>
  <c r="CG227" i="9" s="1"/>
  <c r="BL227" i="9"/>
  <c r="O61" i="11"/>
  <c r="CS280" i="9"/>
  <c r="CT280" i="9" s="1"/>
  <c r="CU280" i="9" s="1"/>
  <c r="CV280" i="9"/>
  <c r="CW280" i="9" s="1"/>
  <c r="H159" i="24"/>
  <c r="BI95" i="20"/>
  <c r="BI50" i="20" s="1"/>
  <c r="D103" i="11"/>
  <c r="D101" i="11"/>
  <c r="D199" i="11"/>
  <c r="CS241" i="9"/>
  <c r="CT241" i="9" s="1"/>
  <c r="CU241" i="9" s="1"/>
  <c r="CV241" i="9" s="1"/>
  <c r="DF241" i="9"/>
  <c r="DI237" i="9"/>
  <c r="DG237" i="9"/>
  <c r="CS273" i="9"/>
  <c r="CT273" i="9" s="1"/>
  <c r="CU273" i="9" s="1"/>
  <c r="CV273" i="9"/>
  <c r="CW273" i="9" s="1"/>
  <c r="BF115" i="22"/>
  <c r="AI136" i="22"/>
  <c r="CA140" i="9"/>
  <c r="BA86" i="15" s="1"/>
  <c r="BR144" i="9"/>
  <c r="CE226" i="9"/>
  <c r="CG226" i="9" s="1"/>
  <c r="BL226" i="9"/>
  <c r="CS274" i="9"/>
  <c r="CT274" i="9" s="1"/>
  <c r="CU274" i="9" s="1"/>
  <c r="CV274" i="9"/>
  <c r="CW274" i="9" s="1"/>
  <c r="BJ98" i="20"/>
  <c r="J185" i="20" s="1"/>
  <c r="AY53" i="20"/>
  <c r="AY124" i="20"/>
  <c r="AH210" i="9"/>
  <c r="BT210" i="9"/>
  <c r="N210" i="9"/>
  <c r="K101" i="11"/>
  <c r="I101" i="11"/>
  <c r="J101" i="11"/>
  <c r="BA210" i="9"/>
  <c r="L101" i="11"/>
  <c r="H101" i="11"/>
  <c r="BL225" i="9"/>
  <c r="CE225" i="9"/>
  <c r="CG225" i="9" s="1"/>
  <c r="C200" i="11"/>
  <c r="Q143" i="20"/>
  <c r="U156" i="9"/>
  <c r="V155" i="9"/>
  <c r="V156" i="9" s="1"/>
  <c r="V151" i="9" s="1"/>
  <c r="CS242" i="9"/>
  <c r="CT242" i="9" s="1"/>
  <c r="CU242" i="9" s="1"/>
  <c r="CV242" i="9"/>
  <c r="CW242" i="9" s="1"/>
  <c r="BL224" i="9"/>
  <c r="CE224" i="9"/>
  <c r="CG224" i="9" s="1"/>
  <c r="CO143" i="9"/>
  <c r="CL145" i="9"/>
  <c r="CP145" i="9" a="1"/>
  <c r="CP145" i="9" s="1"/>
  <c r="EP248" i="9"/>
  <c r="K78" i="9"/>
  <c r="CO144" i="9"/>
  <c r="CM144" i="9"/>
  <c r="BA217" i="9"/>
  <c r="AE217" i="9"/>
  <c r="BK192" i="9"/>
  <c r="BM192" i="9" s="1"/>
  <c r="BK193" i="9"/>
  <c r="BM193" i="9" s="1"/>
  <c r="BK191" i="9"/>
  <c r="BM191" i="9" s="1"/>
  <c r="BK194" i="9"/>
  <c r="BM194" i="9" s="1"/>
  <c r="BK190" i="9"/>
  <c r="CO118" i="9"/>
  <c r="CL119" i="9"/>
  <c r="CV114" i="9" s="1"/>
  <c r="DA248" i="9"/>
  <c r="DB248" i="9" s="1"/>
  <c r="CR224" i="9"/>
  <c r="CS224" i="9" s="1"/>
  <c r="CT224" i="9" s="1"/>
  <c r="CU224" i="9" s="1"/>
  <c r="CV224" i="9" s="1"/>
  <c r="CW224" i="9" s="1"/>
  <c r="CS278" i="9"/>
  <c r="CT278" i="9" s="1"/>
  <c r="CU278" i="9" s="1"/>
  <c r="CV278" i="9" s="1"/>
  <c r="CW278" i="9" s="1"/>
  <c r="D98" i="11"/>
  <c r="BH55" i="23"/>
  <c r="BI50" i="23"/>
  <c r="J134" i="23" s="1"/>
  <c r="K211" i="9"/>
  <c r="AH211" i="9"/>
  <c r="Z64" i="9"/>
  <c r="AA64" i="9" s="1"/>
  <c r="AD69" i="9"/>
  <c r="AG70" i="9"/>
  <c r="AS227" i="9"/>
  <c r="BK227" i="9"/>
  <c r="CS277" i="9"/>
  <c r="CT277" i="9" s="1"/>
  <c r="CU277" i="9" s="1"/>
  <c r="CV277" i="9"/>
  <c r="CW277" i="9" s="1"/>
  <c r="BW145" i="9"/>
  <c r="BX145" i="9" s="1"/>
  <c r="BY145" i="9" s="1"/>
  <c r="BZ145" i="9" s="1"/>
  <c r="CA145" i="9" s="1"/>
  <c r="CE143" i="9"/>
  <c r="EC118" i="9"/>
  <c r="F17" i="17"/>
  <c r="EB119" i="9"/>
  <c r="EP245" i="9"/>
  <c r="AS226" i="9"/>
  <c r="BK226" i="9"/>
  <c r="J202" i="11"/>
  <c r="J204" i="11" s="1"/>
  <c r="M193" i="11"/>
  <c r="P194" i="11"/>
  <c r="CS275" i="9"/>
  <c r="CT275" i="9" s="1"/>
  <c r="CU275" i="9" s="1"/>
  <c r="CV275" i="9"/>
  <c r="CW275" i="9" s="1"/>
  <c r="C241" i="11"/>
  <c r="E242" i="11"/>
  <c r="H16" i="17"/>
  <c r="G16" i="17"/>
  <c r="I16" i="17" s="1"/>
  <c r="AX210" i="9"/>
  <c r="BQ218" i="9"/>
  <c r="AB133" i="22"/>
  <c r="BE108" i="22"/>
  <c r="EP247" i="9"/>
  <c r="BK222" i="9"/>
  <c r="AS222" i="9"/>
  <c r="Q168" i="9"/>
  <c r="R168" i="9" s="1"/>
  <c r="S168" i="9" s="1"/>
  <c r="T168" i="9" s="1"/>
  <c r="U168" i="9" s="1"/>
  <c r="V168" i="9" s="1"/>
  <c r="AH148" i="9"/>
  <c r="Y143" i="9"/>
  <c r="K168" i="9"/>
  <c r="V143" i="20"/>
  <c r="AP131" i="20"/>
  <c r="H220" i="20" s="1"/>
  <c r="EA241" i="9"/>
  <c r="EK233" i="9" s="1"/>
  <c r="ED237" i="9"/>
  <c r="BR145" i="9"/>
  <c r="CS276" i="9"/>
  <c r="CT276" i="9" s="1"/>
  <c r="CU276" i="9" s="1"/>
  <c r="CV276" i="9"/>
  <c r="CW276" i="9" s="1"/>
  <c r="CM229" i="9"/>
  <c r="BO46" i="24"/>
  <c r="BP46" i="24" s="1"/>
  <c r="BN111" i="15"/>
  <c r="H156" i="24"/>
  <c r="BF95" i="20"/>
  <c r="AH68" i="24"/>
  <c r="AH74" i="24" s="1"/>
  <c r="AE140" i="15"/>
  <c r="BK225" i="9"/>
  <c r="BM225" i="9" s="1"/>
  <c r="AS225" i="9"/>
  <c r="CR223" i="9"/>
  <c r="CS223" i="9" s="1"/>
  <c r="CT223" i="9" s="1"/>
  <c r="CU223" i="9" s="1"/>
  <c r="CV223" i="9" s="1"/>
  <c r="CW223" i="9" s="1"/>
  <c r="V77" i="9"/>
  <c r="AH215" i="9"/>
  <c r="K215" i="9"/>
  <c r="G18" i="14"/>
  <c r="D58" i="14"/>
  <c r="AA141" i="9"/>
  <c r="K214" i="9"/>
  <c r="AH214" i="9"/>
  <c r="V78" i="9"/>
  <c r="V72" i="9" s="1"/>
  <c r="AU90" i="20" s="1"/>
  <c r="K202" i="11"/>
  <c r="D99" i="11"/>
  <c r="BL223" i="9"/>
  <c r="CE223" i="9"/>
  <c r="CG223" i="9" s="1"/>
  <c r="I240" i="11"/>
  <c r="BX144" i="9" l="1"/>
  <c r="BY144" i="9" s="1"/>
  <c r="BZ144" i="9" s="1"/>
  <c r="CA144" i="9" s="1"/>
  <c r="CA146" i="9" s="1"/>
  <c r="BW146" i="9"/>
  <c r="CW241" i="9"/>
  <c r="CV243" i="9"/>
  <c r="CW272" i="9"/>
  <c r="CV282" i="9"/>
  <c r="AS86" i="15"/>
  <c r="Z223" i="9"/>
  <c r="AR223" i="9"/>
  <c r="AT223" i="9" s="1"/>
  <c r="Z227" i="9"/>
  <c r="AR227" i="9"/>
  <c r="AT227" i="9" s="1"/>
  <c r="AA107" i="11"/>
  <c r="Z107" i="11" s="1"/>
  <c r="AI107" i="11"/>
  <c r="AH107" i="11" s="1"/>
  <c r="C242" i="11"/>
  <c r="C243" i="11" s="1"/>
  <c r="K242" i="11"/>
  <c r="E243" i="11"/>
  <c r="DP233" i="9"/>
  <c r="EB160" i="9"/>
  <c r="EL152" i="9" s="1"/>
  <c r="BF114" i="15" s="1"/>
  <c r="DG240" i="9"/>
  <c r="DG239" i="9"/>
  <c r="DG241" i="9" s="1"/>
  <c r="EB240" i="9"/>
  <c r="DG238" i="9"/>
  <c r="EB238" i="9"/>
  <c r="EB239" i="9"/>
  <c r="Z106" i="11"/>
  <c r="EB237" i="9"/>
  <c r="EB241" i="9" s="1"/>
  <c r="BM222" i="9"/>
  <c r="ED241" i="9"/>
  <c r="EG237" i="9"/>
  <c r="Z222" i="9"/>
  <c r="AR222" i="9"/>
  <c r="AT222" i="9" s="1"/>
  <c r="AV93" i="20"/>
  <c r="F27" i="17"/>
  <c r="G27" i="17" s="1"/>
  <c r="L162" i="20"/>
  <c r="L166" i="20" s="1"/>
  <c r="L215" i="9"/>
  <c r="N215" i="9"/>
  <c r="AH136" i="15"/>
  <c r="CG143" i="9"/>
  <c r="BK195" i="9"/>
  <c r="C221" i="22" s="1"/>
  <c r="BM190" i="9"/>
  <c r="BM195" i="9" s="1"/>
  <c r="CW229" i="9"/>
  <c r="CW218" i="9" s="1"/>
  <c r="BJ112" i="20"/>
  <c r="J199" i="20" s="1"/>
  <c r="BH67" i="20"/>
  <c r="BH124" i="20"/>
  <c r="CV138" i="9"/>
  <c r="CM142" i="9"/>
  <c r="BF74" i="22"/>
  <c r="BG115" i="22"/>
  <c r="G202" i="22" s="1"/>
  <c r="BH50" i="24"/>
  <c r="BI50" i="24" s="1"/>
  <c r="J134" i="24" s="1"/>
  <c r="H136" i="23"/>
  <c r="H134" i="23"/>
  <c r="H122" i="23"/>
  <c r="H110" i="23"/>
  <c r="H132" i="23"/>
  <c r="H120" i="23"/>
  <c r="H108" i="23"/>
  <c r="H131" i="23"/>
  <c r="H119" i="23"/>
  <c r="H107" i="23"/>
  <c r="H128" i="23"/>
  <c r="H116" i="23"/>
  <c r="H104" i="23"/>
  <c r="H126" i="23"/>
  <c r="H114" i="23"/>
  <c r="H130" i="23"/>
  <c r="H111" i="23"/>
  <c r="H135" i="23"/>
  <c r="H113" i="23"/>
  <c r="H133" i="23"/>
  <c r="H112" i="23"/>
  <c r="H127" i="23"/>
  <c r="H102" i="23"/>
  <c r="H125" i="23"/>
  <c r="H124" i="23"/>
  <c r="H103" i="23"/>
  <c r="H137" i="23"/>
  <c r="H129" i="23"/>
  <c r="H123" i="23"/>
  <c r="H105" i="23"/>
  <c r="H121" i="23"/>
  <c r="H109" i="23"/>
  <c r="H106" i="23"/>
  <c r="H118" i="23"/>
  <c r="H115" i="23"/>
  <c r="H117" i="23"/>
  <c r="BM223" i="9"/>
  <c r="BM224" i="9"/>
  <c r="EJ134" i="9" a="1"/>
  <c r="EJ134" i="9" s="1"/>
  <c r="EK130" i="9"/>
  <c r="EL130" i="9" s="1"/>
  <c r="AE143" i="20"/>
  <c r="CW243" i="9"/>
  <c r="CW234" i="9" s="1"/>
  <c r="AO69" i="9"/>
  <c r="AJ67" i="9"/>
  <c r="AJ68" i="9"/>
  <c r="AK68" i="9" s="1"/>
  <c r="AL68" i="9" s="1"/>
  <c r="AM68" i="9" s="1"/>
  <c r="AN68" i="9" s="1"/>
  <c r="AO68" i="9" s="1"/>
  <c r="AD70" i="9"/>
  <c r="AH70" i="9" a="1"/>
  <c r="AH70" i="9" s="1"/>
  <c r="CF143" i="9"/>
  <c r="L212" i="9"/>
  <c r="N212" i="9"/>
  <c r="AR224" i="9"/>
  <c r="AT224" i="9" s="1"/>
  <c r="Z224" i="9"/>
  <c r="L216" i="9"/>
  <c r="N216" i="9"/>
  <c r="U72" i="9"/>
  <c r="L76" i="9"/>
  <c r="N211" i="9"/>
  <c r="L211" i="9"/>
  <c r="BM107" i="22"/>
  <c r="BN107" i="22" s="1"/>
  <c r="AA132" i="22"/>
  <c r="CA206" i="9"/>
  <c r="BR217" i="9"/>
  <c r="BR214" i="9"/>
  <c r="BR215" i="9"/>
  <c r="BR212" i="9"/>
  <c r="BR213" i="9"/>
  <c r="BR216" i="9"/>
  <c r="BR211" i="9"/>
  <c r="I187" i="11"/>
  <c r="D198" i="11"/>
  <c r="D200" i="11" s="1"/>
  <c r="BM226" i="9"/>
  <c r="D104" i="11"/>
  <c r="CM143" i="9"/>
  <c r="U169" i="9"/>
  <c r="EC106" i="9"/>
  <c r="EL101" i="9" s="1"/>
  <c r="EE105" i="9"/>
  <c r="C257" i="11"/>
  <c r="EP246" i="9"/>
  <c r="DI241" i="9"/>
  <c r="L167" i="9"/>
  <c r="AA109" i="11"/>
  <c r="Z109" i="11" s="1"/>
  <c r="AI109" i="11"/>
  <c r="AH109" i="11" s="1"/>
  <c r="H17" i="17"/>
  <c r="G17" i="17"/>
  <c r="I17" i="17" s="1"/>
  <c r="AA92" i="11"/>
  <c r="K102" i="11"/>
  <c r="L102" i="11"/>
  <c r="CE210" i="11" s="1"/>
  <c r="J102" i="11"/>
  <c r="H102" i="11"/>
  <c r="AH106" i="11"/>
  <c r="CW282" i="9"/>
  <c r="CW267" i="9" s="1"/>
  <c r="L77" i="9"/>
  <c r="EE241" i="9" a="1"/>
  <c r="EE241" i="9" s="1"/>
  <c r="AH135" i="22" s="1"/>
  <c r="BC21" i="24"/>
  <c r="BC55" i="24" s="1"/>
  <c r="BA120" i="15"/>
  <c r="BA45" i="15"/>
  <c r="BF50" i="20"/>
  <c r="AB139" i="22"/>
  <c r="AE68" i="24"/>
  <c r="M194" i="11"/>
  <c r="CE219" i="9"/>
  <c r="CG219" i="9" s="1"/>
  <c r="BL218" i="9"/>
  <c r="CE228" i="9"/>
  <c r="CG228" i="9" s="1"/>
  <c r="BT218" i="9"/>
  <c r="BW210" i="9"/>
  <c r="BX210" i="9" s="1"/>
  <c r="BY210" i="9" s="1"/>
  <c r="BZ210" i="9" s="1"/>
  <c r="CA210" i="9" s="1"/>
  <c r="CE218" i="9"/>
  <c r="CG218" i="9" s="1"/>
  <c r="AI139" i="22"/>
  <c r="AM136" i="22"/>
  <c r="AL71" i="24"/>
  <c r="AU45" i="20"/>
  <c r="L168" i="9"/>
  <c r="AY210" i="9"/>
  <c r="AE210" i="9"/>
  <c r="AX218" i="9"/>
  <c r="AR225" i="9"/>
  <c r="AT225" i="9" s="1"/>
  <c r="Z225" i="9"/>
  <c r="BR210" i="9"/>
  <c r="BM227" i="9"/>
  <c r="AF217" i="9"/>
  <c r="K217" i="9"/>
  <c r="AS190" i="9"/>
  <c r="AH217" i="9"/>
  <c r="CF140" i="9"/>
  <c r="CG140" i="9" s="1"/>
  <c r="CO145" i="9"/>
  <c r="CR143" i="9" s="1"/>
  <c r="CS143" i="9" s="1"/>
  <c r="CT143" i="9" s="1"/>
  <c r="CU143" i="9" s="1"/>
  <c r="CV143" i="9" s="1"/>
  <c r="DA247" i="9"/>
  <c r="DB247" i="9" s="1"/>
  <c r="AI108" i="11"/>
  <c r="AH108" i="11" s="1"/>
  <c r="AA108" i="11"/>
  <c r="Z108" i="11" s="1"/>
  <c r="AJ69" i="9"/>
  <c r="AK69" i="9" s="1"/>
  <c r="AL69" i="9" s="1"/>
  <c r="AM69" i="9" s="1"/>
  <c r="AN69" i="9" s="1"/>
  <c r="AS218" i="9"/>
  <c r="BK218" i="9"/>
  <c r="BA218" i="9"/>
  <c r="AK211" i="9" s="1"/>
  <c r="AL211" i="9" s="1"/>
  <c r="AM211" i="9" s="1"/>
  <c r="AN211" i="9" s="1"/>
  <c r="AO211" i="9" s="1"/>
  <c r="AP211" i="9" s="1"/>
  <c r="BD210" i="9"/>
  <c r="BE210" i="9" s="1"/>
  <c r="BF210" i="9" s="1"/>
  <c r="BG210" i="9" s="1"/>
  <c r="BH210" i="9" s="1"/>
  <c r="F13" i="13"/>
  <c r="F15" i="13" s="1"/>
  <c r="BM106" i="15"/>
  <c r="Z133" i="15"/>
  <c r="L213" i="9"/>
  <c r="N213" i="9"/>
  <c r="EC119" i="9"/>
  <c r="EL114" i="9" s="1"/>
  <c r="C273" i="11"/>
  <c r="EE118" i="9"/>
  <c r="CF142" i="9"/>
  <c r="CG142" i="9" s="1"/>
  <c r="CO119" i="9"/>
  <c r="CR118" i="9" s="1"/>
  <c r="CS118" i="9" s="1"/>
  <c r="CT118" i="9" s="1"/>
  <c r="CU118" i="9" s="1"/>
  <c r="CV118" i="9" s="1"/>
  <c r="CF141" i="9"/>
  <c r="CG141" i="9" s="1"/>
  <c r="Z226" i="9"/>
  <c r="AR226" i="9"/>
  <c r="AT226" i="9" s="1"/>
  <c r="BE67" i="22"/>
  <c r="BG108" i="22"/>
  <c r="G195" i="22" s="1"/>
  <c r="BE120" i="22"/>
  <c r="BG43" i="24"/>
  <c r="CB145" i="9"/>
  <c r="CB144" i="9"/>
  <c r="CB146" i="9" s="1"/>
  <c r="CB140" i="9" s="1"/>
  <c r="CV229" i="9"/>
  <c r="EK134" i="9"/>
  <c r="AR218" i="9"/>
  <c r="AH218" i="9"/>
  <c r="L214" i="9"/>
  <c r="N214" i="9"/>
  <c r="Z143" i="9"/>
  <c r="AA143" i="9" s="1"/>
  <c r="AE148" i="9"/>
  <c r="AH149" i="9"/>
  <c r="AK148" i="9" s="1"/>
  <c r="AL148" i="9" s="1"/>
  <c r="AM148" i="9" s="1"/>
  <c r="AN148" i="9" s="1"/>
  <c r="AO148" i="9" s="1"/>
  <c r="DJ241" i="9" a="1"/>
  <c r="DJ241" i="9" s="1"/>
  <c r="O169" i="9" a="1"/>
  <c r="O169" i="9" s="1"/>
  <c r="AS86" i="22" s="1"/>
  <c r="H18" i="17"/>
  <c r="G18" i="17"/>
  <c r="I18" i="17" s="1"/>
  <c r="V167" i="9"/>
  <c r="V169" i="9" s="1"/>
  <c r="V163" i="9" s="1"/>
  <c r="AV90" i="20" s="1"/>
  <c r="CR144" i="9" l="1"/>
  <c r="CS144" i="9" s="1"/>
  <c r="CT144" i="9" s="1"/>
  <c r="CU144" i="9" s="1"/>
  <c r="CV144" i="9" s="1"/>
  <c r="BI210" i="9"/>
  <c r="AM135" i="22"/>
  <c r="AH139" i="22"/>
  <c r="BD90" i="20"/>
  <c r="CG131" i="9"/>
  <c r="N191" i="11"/>
  <c r="N192" i="11"/>
  <c r="N190" i="11"/>
  <c r="BR218" i="9"/>
  <c r="AK70" i="24"/>
  <c r="AH140" i="15"/>
  <c r="AM136" i="15"/>
  <c r="E225" i="15" s="1"/>
  <c r="C218" i="22"/>
  <c r="AU190" i="9"/>
  <c r="BF90" i="15"/>
  <c r="J160" i="15"/>
  <c r="BD211" i="9"/>
  <c r="BE211" i="9" s="1"/>
  <c r="BF211" i="9" s="1"/>
  <c r="BG211" i="9" s="1"/>
  <c r="BH211" i="9" s="1"/>
  <c r="BI211" i="9" s="1"/>
  <c r="BD212" i="9"/>
  <c r="BE212" i="9" s="1"/>
  <c r="BF212" i="9" s="1"/>
  <c r="BG212" i="9" s="1"/>
  <c r="BH212" i="9" s="1"/>
  <c r="BI212" i="9" s="1"/>
  <c r="BD215" i="9"/>
  <c r="BE215" i="9" s="1"/>
  <c r="BF215" i="9" s="1"/>
  <c r="BG215" i="9" s="1"/>
  <c r="BH215" i="9" s="1"/>
  <c r="BI215" i="9" s="1"/>
  <c r="BD216" i="9"/>
  <c r="BE216" i="9" s="1"/>
  <c r="BF216" i="9" s="1"/>
  <c r="BG216" i="9" s="1"/>
  <c r="BH216" i="9" s="1"/>
  <c r="BI216" i="9" s="1"/>
  <c r="BD213" i="9"/>
  <c r="BE213" i="9" s="1"/>
  <c r="BF213" i="9" s="1"/>
  <c r="BG213" i="9" s="1"/>
  <c r="BH213" i="9" s="1"/>
  <c r="BI213" i="9" s="1"/>
  <c r="BD214" i="9"/>
  <c r="BE214" i="9" s="1"/>
  <c r="BF214" i="9" s="1"/>
  <c r="BG214" i="9" s="1"/>
  <c r="BH214" i="9" s="1"/>
  <c r="BI214" i="9" s="1"/>
  <c r="AA139" i="22"/>
  <c r="AM132" i="22"/>
  <c r="AP71" i="24"/>
  <c r="J158" i="24" s="1"/>
  <c r="AL74" i="24"/>
  <c r="AU21" i="24"/>
  <c r="AU55" i="24" s="1"/>
  <c r="AS45" i="15"/>
  <c r="AS120" i="15"/>
  <c r="Q214" i="9"/>
  <c r="R214" i="9" s="1"/>
  <c r="S214" i="9" s="1"/>
  <c r="T214" i="9" s="1"/>
  <c r="U214" i="9" s="1"/>
  <c r="V214" i="9" s="1"/>
  <c r="Y225" i="9"/>
  <c r="AA225" i="9" s="1"/>
  <c r="AK214" i="9"/>
  <c r="AL214" i="9" s="1"/>
  <c r="AM214" i="9" s="1"/>
  <c r="AN214" i="9" s="1"/>
  <c r="AO214" i="9" s="1"/>
  <c r="AP214" i="9" s="1"/>
  <c r="DL239" i="9"/>
  <c r="DM239" i="9" s="1"/>
  <c r="DN239" i="9" s="1"/>
  <c r="DO239" i="9" s="1"/>
  <c r="DP239" i="9" s="1"/>
  <c r="DQ239" i="9" s="1"/>
  <c r="EG238" i="9"/>
  <c r="EH238" i="9" s="1"/>
  <c r="EI238" i="9" s="1"/>
  <c r="EJ238" i="9" s="1"/>
  <c r="EK238" i="9" s="1"/>
  <c r="EL238" i="9" s="1"/>
  <c r="DL238" i="9"/>
  <c r="DM238" i="9" s="1"/>
  <c r="DN238" i="9" s="1"/>
  <c r="DO238" i="9" s="1"/>
  <c r="DP238" i="9" s="1"/>
  <c r="DQ238" i="9" s="1"/>
  <c r="DC238" i="9" s="1"/>
  <c r="D62" i="14" s="1"/>
  <c r="EG240" i="9"/>
  <c r="EH240" i="9" s="1"/>
  <c r="EI240" i="9" s="1"/>
  <c r="EJ240" i="9" s="1"/>
  <c r="EK240" i="9" s="1"/>
  <c r="EL240" i="9" s="1"/>
  <c r="DL240" i="9"/>
  <c r="DM240" i="9" s="1"/>
  <c r="DN240" i="9" s="1"/>
  <c r="DO240" i="9" s="1"/>
  <c r="DP240" i="9" s="1"/>
  <c r="DQ240" i="9" s="1"/>
  <c r="EG239" i="9"/>
  <c r="EH239" i="9" s="1"/>
  <c r="EI239" i="9" s="1"/>
  <c r="EJ239" i="9" s="1"/>
  <c r="EK239" i="9" s="1"/>
  <c r="EL239" i="9" s="1"/>
  <c r="Y226" i="9"/>
  <c r="AA226" i="9" s="1"/>
  <c r="Q215" i="9"/>
  <c r="R215" i="9" s="1"/>
  <c r="S215" i="9" s="1"/>
  <c r="T215" i="9" s="1"/>
  <c r="U215" i="9" s="1"/>
  <c r="V215" i="9" s="1"/>
  <c r="AD210" i="9"/>
  <c r="BP210" i="9"/>
  <c r="AS219" i="9"/>
  <c r="AR219" i="9"/>
  <c r="AT219" i="9" s="1"/>
  <c r="CE201" i="11"/>
  <c r="J210" i="9"/>
  <c r="BK219" i="9"/>
  <c r="BL219" i="9"/>
  <c r="AW210" i="9"/>
  <c r="M102" i="11"/>
  <c r="EV238" i="9"/>
  <c r="AK107" i="11"/>
  <c r="BM93" i="22"/>
  <c r="BN93" i="22" s="1"/>
  <c r="M123" i="22"/>
  <c r="Q210" i="9"/>
  <c r="BD217" i="9"/>
  <c r="BE217" i="9" s="1"/>
  <c r="BF217" i="9" s="1"/>
  <c r="BG217" i="9" s="1"/>
  <c r="BH217" i="9" s="1"/>
  <c r="BI217" i="9" s="1"/>
  <c r="CV119" i="9"/>
  <c r="CW118" i="9"/>
  <c r="CW119" i="9" s="1"/>
  <c r="CW114" i="9" s="1"/>
  <c r="Q216" i="9"/>
  <c r="R216" i="9" s="1"/>
  <c r="S216" i="9" s="1"/>
  <c r="T216" i="9" s="1"/>
  <c r="U216" i="9" s="1"/>
  <c r="V216" i="9" s="1"/>
  <c r="Y227" i="9"/>
  <c r="AA227" i="9" s="1"/>
  <c r="BP115" i="20"/>
  <c r="BQ115" i="20" s="1"/>
  <c r="AH137" i="20"/>
  <c r="AH143" i="20" s="1"/>
  <c r="AK67" i="9"/>
  <c r="AL67" i="9" s="1"/>
  <c r="AM67" i="9" s="1"/>
  <c r="AN67" i="9" s="1"/>
  <c r="AJ70" i="9"/>
  <c r="AK212" i="9"/>
  <c r="AL212" i="9" s="1"/>
  <c r="AM212" i="9" s="1"/>
  <c r="AN212" i="9" s="1"/>
  <c r="AO212" i="9" s="1"/>
  <c r="AP212" i="9" s="1"/>
  <c r="BM218" i="9"/>
  <c r="EV240" i="9"/>
  <c r="AK109" i="11"/>
  <c r="BG114" i="15"/>
  <c r="G202" i="15" s="1"/>
  <c r="BF73" i="15"/>
  <c r="AE149" i="9"/>
  <c r="EB159" i="9"/>
  <c r="AC109" i="11"/>
  <c r="C166" i="11"/>
  <c r="X132" i="15"/>
  <c r="BB104" i="15"/>
  <c r="AG135" i="15"/>
  <c r="BD113" i="15"/>
  <c r="DA237" i="9"/>
  <c r="Q62" i="14" s="1"/>
  <c r="AB62" i="14" s="1"/>
  <c r="BI43" i="24"/>
  <c r="J127" i="24" s="1"/>
  <c r="BG55" i="24"/>
  <c r="C281" i="11"/>
  <c r="C280" i="11" s="1"/>
  <c r="C283" i="11" s="1"/>
  <c r="E273" i="11"/>
  <c r="N193" i="11"/>
  <c r="AK213" i="9"/>
  <c r="AL213" i="9" s="1"/>
  <c r="AM213" i="9" s="1"/>
  <c r="AN213" i="9" s="1"/>
  <c r="AO213" i="9" s="1"/>
  <c r="AP213" i="9" s="1"/>
  <c r="AA133" i="15"/>
  <c r="BM107" i="15"/>
  <c r="CE130" i="9"/>
  <c r="Q60" i="14" s="1"/>
  <c r="AB60" i="14" s="1"/>
  <c r="BF87" i="15"/>
  <c r="G157" i="15"/>
  <c r="AE74" i="24"/>
  <c r="L169" i="9"/>
  <c r="Q212" i="9"/>
  <c r="R212" i="9" s="1"/>
  <c r="S212" i="9" s="1"/>
  <c r="T212" i="9" s="1"/>
  <c r="U212" i="9" s="1"/>
  <c r="V212" i="9" s="1"/>
  <c r="Y223" i="9"/>
  <c r="AA223" i="9" s="1"/>
  <c r="BF113" i="20"/>
  <c r="AF137" i="20"/>
  <c r="DU237" i="9"/>
  <c r="Q63" i="14" s="1"/>
  <c r="AB63" i="14" s="1"/>
  <c r="EV239" i="9"/>
  <c r="AK108" i="11"/>
  <c r="AA110" i="11"/>
  <c r="DL237" i="9"/>
  <c r="Q211" i="9"/>
  <c r="R211" i="9" s="1"/>
  <c r="S211" i="9" s="1"/>
  <c r="T211" i="9" s="1"/>
  <c r="U211" i="9" s="1"/>
  <c r="V211" i="9" s="1"/>
  <c r="Y222" i="9"/>
  <c r="AA222" i="9" s="1"/>
  <c r="AC106" i="11"/>
  <c r="EB156" i="9"/>
  <c r="C163" i="11"/>
  <c r="AV45" i="20"/>
  <c r="AC67" i="24"/>
  <c r="Z140" i="15"/>
  <c r="AM133" i="15"/>
  <c r="E222" i="15" s="1"/>
  <c r="EL134" i="9"/>
  <c r="EM130" i="9"/>
  <c r="EB157" i="9"/>
  <c r="C164" i="11"/>
  <c r="AC107" i="11"/>
  <c r="AK210" i="9"/>
  <c r="AL210" i="9" s="1"/>
  <c r="AM210" i="9" s="1"/>
  <c r="AN210" i="9" s="1"/>
  <c r="AO210" i="9" s="1"/>
  <c r="AK215" i="9"/>
  <c r="AL215" i="9" s="1"/>
  <c r="AM215" i="9" s="1"/>
  <c r="AN215" i="9" s="1"/>
  <c r="AO215" i="9" s="1"/>
  <c r="AP215" i="9" s="1"/>
  <c r="CB210" i="9"/>
  <c r="BH206" i="9"/>
  <c r="AY212" i="9"/>
  <c r="AY216" i="9"/>
  <c r="AY215" i="9"/>
  <c r="AY214" i="9"/>
  <c r="AY213" i="9"/>
  <c r="AY211" i="9"/>
  <c r="AY218" i="9" s="1"/>
  <c r="AY217" i="9"/>
  <c r="AF214" i="9"/>
  <c r="AF211" i="9"/>
  <c r="AF213" i="9"/>
  <c r="AF212" i="9"/>
  <c r="AF215" i="9"/>
  <c r="AF216" i="9"/>
  <c r="BW213" i="9"/>
  <c r="BX213" i="9" s="1"/>
  <c r="BY213" i="9" s="1"/>
  <c r="BZ213" i="9" s="1"/>
  <c r="CA213" i="9" s="1"/>
  <c r="CB213" i="9" s="1"/>
  <c r="BW217" i="9"/>
  <c r="BX217" i="9" s="1"/>
  <c r="BY217" i="9" s="1"/>
  <c r="BZ217" i="9" s="1"/>
  <c r="CA217" i="9" s="1"/>
  <c r="CB217" i="9" s="1"/>
  <c r="BW214" i="9"/>
  <c r="BX214" i="9" s="1"/>
  <c r="BY214" i="9" s="1"/>
  <c r="BZ214" i="9" s="1"/>
  <c r="CA214" i="9" s="1"/>
  <c r="CB214" i="9" s="1"/>
  <c r="BW216" i="9"/>
  <c r="BX216" i="9" s="1"/>
  <c r="BY216" i="9" s="1"/>
  <c r="BZ216" i="9" s="1"/>
  <c r="CA216" i="9" s="1"/>
  <c r="CB216" i="9" s="1"/>
  <c r="BW215" i="9"/>
  <c r="BX215" i="9" s="1"/>
  <c r="BY215" i="9" s="1"/>
  <c r="BZ215" i="9" s="1"/>
  <c r="CA215" i="9" s="1"/>
  <c r="CB215" i="9" s="1"/>
  <c r="BW211" i="9"/>
  <c r="BX211" i="9" s="1"/>
  <c r="BY211" i="9" s="1"/>
  <c r="BZ211" i="9" s="1"/>
  <c r="CA211" i="9" s="1"/>
  <c r="CB211" i="9" s="1"/>
  <c r="BW212" i="9"/>
  <c r="BX212" i="9" s="1"/>
  <c r="BY212" i="9" s="1"/>
  <c r="BZ212" i="9" s="1"/>
  <c r="CA212" i="9" s="1"/>
  <c r="CB212" i="9" s="1"/>
  <c r="BK221" i="9"/>
  <c r="BM221" i="9" s="1"/>
  <c r="AS221" i="9"/>
  <c r="AR221" i="9"/>
  <c r="AT221" i="9" s="1"/>
  <c r="BL221" i="9"/>
  <c r="CE203" i="11"/>
  <c r="E257" i="11"/>
  <c r="AN63" i="9"/>
  <c r="AE67" i="9"/>
  <c r="AE68" i="9"/>
  <c r="N218" i="9"/>
  <c r="BJ93" i="20"/>
  <c r="J180" i="20" s="1"/>
  <c r="AV48" i="20"/>
  <c r="BD113" i="22"/>
  <c r="AG134" i="22"/>
  <c r="L217" i="9"/>
  <c r="N217" i="9"/>
  <c r="Q217" i="9" s="1"/>
  <c r="R217" i="9" s="1"/>
  <c r="S217" i="9" s="1"/>
  <c r="T217" i="9" s="1"/>
  <c r="U217" i="9" s="1"/>
  <c r="V217" i="9" s="1"/>
  <c r="H153" i="24"/>
  <c r="BC95" i="20"/>
  <c r="AP148" i="9"/>
  <c r="AK147" i="9"/>
  <c r="AL147" i="9" s="1"/>
  <c r="AM147" i="9" s="1"/>
  <c r="AN147" i="9" s="1"/>
  <c r="AO147" i="9" s="1"/>
  <c r="AP147" i="9" s="1"/>
  <c r="AK146" i="9"/>
  <c r="EH237" i="9"/>
  <c r="EI237" i="9" s="1"/>
  <c r="EJ237" i="9" s="1"/>
  <c r="EK237" i="9" s="1"/>
  <c r="EE119" i="9"/>
  <c r="EH118" i="9" s="1"/>
  <c r="CM145" i="9"/>
  <c r="BP114" i="20"/>
  <c r="BQ114" i="20" s="1"/>
  <c r="AG137" i="20"/>
  <c r="AG143" i="20" s="1"/>
  <c r="EB158" i="9"/>
  <c r="C165" i="11"/>
  <c r="AC108" i="11"/>
  <c r="AI110" i="11"/>
  <c r="I242" i="11"/>
  <c r="I243" i="11" s="1"/>
  <c r="K243" i="11"/>
  <c r="Y224" i="9"/>
  <c r="AA224" i="9" s="1"/>
  <c r="Q213" i="9"/>
  <c r="R213" i="9" s="1"/>
  <c r="S213" i="9" s="1"/>
  <c r="T213" i="9" s="1"/>
  <c r="U213" i="9" s="1"/>
  <c r="V213" i="9" s="1"/>
  <c r="EV237" i="9"/>
  <c r="AK106" i="11"/>
  <c r="CW143" i="9"/>
  <c r="CW144" i="9"/>
  <c r="CR142" i="9"/>
  <c r="AS220" i="9"/>
  <c r="AR220" i="9"/>
  <c r="AT220" i="9" s="1"/>
  <c r="BK220" i="9"/>
  <c r="BL220" i="9"/>
  <c r="BO41" i="24"/>
  <c r="BP41" i="24" s="1"/>
  <c r="BN106" i="15"/>
  <c r="AS45" i="22"/>
  <c r="BG86" i="22"/>
  <c r="G173" i="22" s="1"/>
  <c r="AS120" i="22"/>
  <c r="AT218" i="9"/>
  <c r="AK217" i="9"/>
  <c r="AL217" i="9" s="1"/>
  <c r="AM217" i="9" s="1"/>
  <c r="AN217" i="9" s="1"/>
  <c r="AO217" i="9" s="1"/>
  <c r="AP217" i="9" s="1"/>
  <c r="AF210" i="9"/>
  <c r="K210" i="9"/>
  <c r="AE218" i="9"/>
  <c r="AO206" i="9" s="1"/>
  <c r="EE106" i="9"/>
  <c r="EH105" i="9"/>
  <c r="AR86" i="15"/>
  <c r="AE69" i="9"/>
  <c r="AK216" i="9"/>
  <c r="AL216" i="9" s="1"/>
  <c r="AM216" i="9" s="1"/>
  <c r="AN216" i="9" s="1"/>
  <c r="AO216" i="9" s="1"/>
  <c r="AP216" i="9" s="1"/>
  <c r="EI118" i="9" l="1"/>
  <c r="EJ118" i="9" s="1"/>
  <c r="EK118" i="9" s="1"/>
  <c r="EL118" i="9" s="1"/>
  <c r="AM132" i="15"/>
  <c r="E221" i="15" s="1"/>
  <c r="X140" i="15"/>
  <c r="AK74" i="24"/>
  <c r="AP70" i="24"/>
  <c r="J157" i="24" s="1"/>
  <c r="BJ113" i="20"/>
  <c r="J200" i="20" s="1"/>
  <c r="BF68" i="20"/>
  <c r="BF124" i="20"/>
  <c r="D166" i="11"/>
  <c r="F166" i="11"/>
  <c r="K273" i="11"/>
  <c r="K274" i="11"/>
  <c r="I274" i="11" s="1"/>
  <c r="N194" i="11"/>
  <c r="AK110" i="11"/>
  <c r="AL108" i="11" s="1"/>
  <c r="AL106" i="11"/>
  <c r="BM93" i="15"/>
  <c r="M124" i="15"/>
  <c r="C284" i="11"/>
  <c r="E280" i="11"/>
  <c r="G280" i="11" s="1"/>
  <c r="H280" i="11" s="1"/>
  <c r="EE159" i="9"/>
  <c r="EC159" i="9"/>
  <c r="AN70" i="9"/>
  <c r="AO67" i="9"/>
  <c r="AO70" i="9" s="1"/>
  <c r="AO63" i="9" s="1"/>
  <c r="AO142" i="9"/>
  <c r="AF146" i="9"/>
  <c r="AF147" i="9"/>
  <c r="AL107" i="11"/>
  <c r="EW238" i="9"/>
  <c r="EY238" i="9"/>
  <c r="L210" i="9"/>
  <c r="L218" i="9" s="1"/>
  <c r="K218" i="9"/>
  <c r="M210" i="9"/>
  <c r="M218" i="9" s="1"/>
  <c r="H86" i="23" s="1"/>
  <c r="H94" i="23" s="1"/>
  <c r="F102" i="23" s="1" a="1"/>
  <c r="AZ210" i="9"/>
  <c r="AZ218" i="9" s="1"/>
  <c r="AG210" i="9"/>
  <c r="AG218" i="9" s="1"/>
  <c r="AV20" i="23" s="1"/>
  <c r="BB210" i="9"/>
  <c r="BB218" i="9" s="1" a="1"/>
  <c r="BB218" i="9" s="1"/>
  <c r="BU210" i="9"/>
  <c r="BU218" i="9" s="1" a="1"/>
  <c r="BU218" i="9" s="1"/>
  <c r="BS210" i="9"/>
  <c r="BS218" i="9" s="1"/>
  <c r="BD39" i="23" s="1"/>
  <c r="AI210" i="9"/>
  <c r="AI218" i="9" s="1" a="1"/>
  <c r="AI218" i="9" s="1"/>
  <c r="O210" i="9"/>
  <c r="J89" i="24"/>
  <c r="J95" i="24" s="1"/>
  <c r="G163" i="15"/>
  <c r="BH25" i="24"/>
  <c r="BI25" i="24" s="1"/>
  <c r="J109" i="24" s="1"/>
  <c r="BG90" i="15"/>
  <c r="G178" i="15" s="1"/>
  <c r="BF49" i="15"/>
  <c r="BF48" i="24"/>
  <c r="BD73" i="15"/>
  <c r="BD120" i="15"/>
  <c r="BG113" i="15"/>
  <c r="G201" i="15" s="1"/>
  <c r="AZ100" i="15"/>
  <c r="AS210" i="9"/>
  <c r="Q56" i="14" s="1"/>
  <c r="AB56" i="14" s="1"/>
  <c r="T129" i="15"/>
  <c r="EW239" i="9"/>
  <c r="EY239" i="9"/>
  <c r="AJ69" i="24"/>
  <c r="AG140" i="15"/>
  <c r="AM135" i="15"/>
  <c r="E224" i="15" s="1"/>
  <c r="BM219" i="9"/>
  <c r="AE70" i="9"/>
  <c r="F164" i="11"/>
  <c r="D164" i="11"/>
  <c r="AC110" i="11"/>
  <c r="AD107" i="11" s="1"/>
  <c r="AD106" i="11"/>
  <c r="P126" i="15"/>
  <c r="AW96" i="15"/>
  <c r="K257" i="11"/>
  <c r="E258" i="11"/>
  <c r="K258" i="11"/>
  <c r="I258" i="11" s="1"/>
  <c r="AI149" i="9" a="1"/>
  <c r="AI149" i="9" s="1"/>
  <c r="BM220" i="9"/>
  <c r="EL237" i="9"/>
  <c r="EL241" i="9" s="1"/>
  <c r="EL233" i="9" s="1"/>
  <c r="EK241" i="9"/>
  <c r="BD124" i="20"/>
  <c r="BD45" i="20"/>
  <c r="AG139" i="22"/>
  <c r="AM134" i="22"/>
  <c r="BH22" i="24"/>
  <c r="BI22" i="24" s="1"/>
  <c r="J106" i="24" s="1"/>
  <c r="BF46" i="15"/>
  <c r="BG87" i="15"/>
  <c r="G175" i="15" s="1"/>
  <c r="H150" i="24"/>
  <c r="AZ95" i="20"/>
  <c r="CB218" i="9"/>
  <c r="CB206" i="9" s="1"/>
  <c r="BL210" i="9"/>
  <c r="Q59" i="14" s="1"/>
  <c r="AB59" i="14" s="1"/>
  <c r="AL109" i="11"/>
  <c r="BP110" i="20"/>
  <c r="BQ110" i="20" s="1"/>
  <c r="AC136" i="20"/>
  <c r="BH218" i="9"/>
  <c r="AT21" i="24"/>
  <c r="AR45" i="15"/>
  <c r="AR120" i="15"/>
  <c r="EE158" i="9"/>
  <c r="EC158" i="9"/>
  <c r="EI105" i="9"/>
  <c r="EJ105" i="9" s="1"/>
  <c r="EK105" i="9" s="1"/>
  <c r="EL105" i="9"/>
  <c r="AO218" i="9"/>
  <c r="AP210" i="9"/>
  <c r="F163" i="11"/>
  <c r="C167" i="11"/>
  <c r="D163" i="11" s="1"/>
  <c r="D167" i="11" s="1"/>
  <c r="Q218" i="9"/>
  <c r="R210" i="9"/>
  <c r="S210" i="9" s="1"/>
  <c r="T210" i="9" s="1"/>
  <c r="U210" i="9" s="1"/>
  <c r="EF160" i="9" a="1"/>
  <c r="EF160" i="9" s="1"/>
  <c r="BF114" i="22" s="1"/>
  <c r="EE156" i="9"/>
  <c r="EC156" i="9"/>
  <c r="AD109" i="11"/>
  <c r="M139" i="22"/>
  <c r="AM123" i="22"/>
  <c r="EZ241" i="9" a="1"/>
  <c r="EZ241" i="9" s="1"/>
  <c r="BL114" i="22" s="1"/>
  <c r="BN114" i="22" s="1"/>
  <c r="EW237" i="9"/>
  <c r="EW241" i="9" s="1"/>
  <c r="EV241" i="9"/>
  <c r="FF233" i="9" s="1"/>
  <c r="BL114" i="15" s="1"/>
  <c r="EY237" i="9"/>
  <c r="BC50" i="20"/>
  <c r="EC157" i="9"/>
  <c r="EE157" i="9"/>
  <c r="EM134" i="9"/>
  <c r="EM126" i="9" s="1"/>
  <c r="DX132" i="9"/>
  <c r="H18" i="14"/>
  <c r="D60" i="14"/>
  <c r="DM237" i="9"/>
  <c r="DN237" i="9" s="1"/>
  <c r="DO237" i="9" s="1"/>
  <c r="DP237" i="9" s="1"/>
  <c r="DL241" i="9"/>
  <c r="AF148" i="9"/>
  <c r="M92" i="24"/>
  <c r="M95" i="24" s="1"/>
  <c r="J163" i="15"/>
  <c r="AF218" i="9"/>
  <c r="EG241" i="9"/>
  <c r="AL146" i="9"/>
  <c r="AM146" i="9" s="1"/>
  <c r="AN146" i="9" s="1"/>
  <c r="AO146" i="9" s="1"/>
  <c r="AK149" i="9"/>
  <c r="BG113" i="22"/>
  <c r="G200" i="22" s="1"/>
  <c r="BD120" i="22"/>
  <c r="BD72" i="22"/>
  <c r="AD108" i="11"/>
  <c r="AC74" i="24"/>
  <c r="BO42" i="24"/>
  <c r="BP42" i="24" s="1"/>
  <c r="BN107" i="15"/>
  <c r="Y46" i="9"/>
  <c r="Q51" i="14" s="1"/>
  <c r="AB51" i="14" s="1"/>
  <c r="CR145" i="9"/>
  <c r="CS142" i="9"/>
  <c r="CT142" i="9" s="1"/>
  <c r="CU142" i="9" s="1"/>
  <c r="CV142" i="9" s="1"/>
  <c r="F165" i="11"/>
  <c r="D165" i="11"/>
  <c r="CA218" i="9"/>
  <c r="AF143" i="20"/>
  <c r="AD67" i="24"/>
  <c r="AD74" i="24" s="1"/>
  <c r="AA140" i="15"/>
  <c r="BB63" i="15"/>
  <c r="BG104" i="15"/>
  <c r="G192" i="15" s="1"/>
  <c r="EW240" i="9"/>
  <c r="EY240" i="9"/>
  <c r="BI218" i="9"/>
  <c r="BI206" i="9" s="1"/>
  <c r="EL119" i="9" l="1"/>
  <c r="EM118" i="9"/>
  <c r="EM119" i="9" s="1"/>
  <c r="EM114" i="9" s="1"/>
  <c r="EQ247" i="9"/>
  <c r="ER247" i="9" s="1"/>
  <c r="FB239" i="9"/>
  <c r="FC239" i="9" s="1"/>
  <c r="FD239" i="9" s="1"/>
  <c r="FE239" i="9" s="1"/>
  <c r="FF239" i="9" s="1"/>
  <c r="FG239" i="9" s="1"/>
  <c r="EQ147" i="9"/>
  <c r="F167" i="11"/>
  <c r="I172" i="11"/>
  <c r="AW120" i="15"/>
  <c r="AW55" i="15"/>
  <c r="BG96" i="15"/>
  <c r="G184" i="15" s="1"/>
  <c r="AP218" i="9"/>
  <c r="AP206" i="9" s="1"/>
  <c r="U206" i="9"/>
  <c r="AA188" i="9"/>
  <c r="AC188" i="9" s="1"/>
  <c r="AA194" i="9"/>
  <c r="AC194" i="9" s="1"/>
  <c r="AA187" i="9"/>
  <c r="AC187" i="9" s="1"/>
  <c r="AA192" i="9"/>
  <c r="AC192" i="9" s="1"/>
  <c r="AA191" i="9"/>
  <c r="AC191" i="9" s="1"/>
  <c r="AA189" i="9"/>
  <c r="AC189" i="9" s="1"/>
  <c r="AA185" i="9"/>
  <c r="AA193" i="9"/>
  <c r="AC193" i="9" s="1"/>
  <c r="AA186" i="9"/>
  <c r="AC186" i="9" s="1"/>
  <c r="AA190" i="9"/>
  <c r="AC190" i="9" s="1"/>
  <c r="P140" i="15"/>
  <c r="AU210" i="9"/>
  <c r="W132" i="20"/>
  <c r="BC104" i="20"/>
  <c r="BJ210" i="9"/>
  <c r="BK210" i="9"/>
  <c r="D64" i="14"/>
  <c r="D35" i="14"/>
  <c r="AK139" i="20"/>
  <c r="FB240" i="9"/>
  <c r="FC240" i="9" s="1"/>
  <c r="FD240" i="9" s="1"/>
  <c r="FE240" i="9" s="1"/>
  <c r="FF240" i="9" s="1"/>
  <c r="FG240" i="9" s="1"/>
  <c r="EQ248" i="9"/>
  <c r="ER248" i="9" s="1"/>
  <c r="BF73" i="22"/>
  <c r="BG114" i="22"/>
  <c r="G201" i="22" s="1"/>
  <c r="BF120" i="22"/>
  <c r="BH49" i="24"/>
  <c r="BI49" i="24" s="1"/>
  <c r="J133" i="24" s="1"/>
  <c r="BI39" i="23"/>
  <c r="J123" i="23" s="1"/>
  <c r="BD55" i="23"/>
  <c r="X131" i="22"/>
  <c r="BB104" i="22"/>
  <c r="DP241" i="9"/>
  <c r="DQ237" i="9"/>
  <c r="DQ241" i="9" s="1"/>
  <c r="DQ233" i="9" s="1"/>
  <c r="AJ74" i="24"/>
  <c r="AP69" i="24"/>
  <c r="J156" i="24" s="1"/>
  <c r="EL106" i="9"/>
  <c r="EM105" i="9"/>
  <c r="EM106" i="9" s="1"/>
  <c r="EM101" i="9" s="1"/>
  <c r="O218" i="9" a="1"/>
  <c r="O218" i="9" s="1"/>
  <c r="T140" i="15"/>
  <c r="AM129" i="15"/>
  <c r="E218" i="15" s="1"/>
  <c r="EQ245" i="9"/>
  <c r="ER245" i="9" s="1"/>
  <c r="AZ100" i="22"/>
  <c r="T128" i="22"/>
  <c r="W63" i="24" s="1"/>
  <c r="BM95" i="15"/>
  <c r="O125" i="15"/>
  <c r="Y130" i="9"/>
  <c r="Q52" i="14" s="1"/>
  <c r="AB52" i="14" s="1"/>
  <c r="F135" i="23"/>
  <c r="N135" i="23" s="1"/>
  <c r="F123" i="23"/>
  <c r="F111" i="23"/>
  <c r="N111" i="23" s="1"/>
  <c r="F133" i="23"/>
  <c r="F121" i="23"/>
  <c r="N121" i="23" s="1"/>
  <c r="F109" i="23"/>
  <c r="N109" i="23" s="1"/>
  <c r="F129" i="23"/>
  <c r="N129" i="23" s="1"/>
  <c r="F117" i="23"/>
  <c r="N117" i="23" s="1"/>
  <c r="F105" i="23"/>
  <c r="F127" i="23"/>
  <c r="N127" i="23" s="1"/>
  <c r="F115" i="23"/>
  <c r="N115" i="23" s="1"/>
  <c r="F103" i="23"/>
  <c r="N103" i="23" s="1"/>
  <c r="F128" i="23"/>
  <c r="N128" i="23" s="1"/>
  <c r="F110" i="23"/>
  <c r="N110" i="23" s="1"/>
  <c r="F131" i="23"/>
  <c r="N131" i="23" s="1"/>
  <c r="F113" i="23"/>
  <c r="N113" i="23" s="1"/>
  <c r="F130" i="23"/>
  <c r="N130" i="23" s="1"/>
  <c r="F112" i="23"/>
  <c r="N112" i="23" s="1"/>
  <c r="F116" i="23"/>
  <c r="N116" i="23" s="1"/>
  <c r="F137" i="23"/>
  <c r="N137" i="23" s="1"/>
  <c r="F114" i="23"/>
  <c r="N114" i="23" s="1"/>
  <c r="F136" i="23"/>
  <c r="N136" i="23" s="1"/>
  <c r="F108" i="23"/>
  <c r="N108" i="23" s="1"/>
  <c r="F104" i="23"/>
  <c r="F134" i="23"/>
  <c r="N134" i="23" s="1"/>
  <c r="F132" i="23"/>
  <c r="N132" i="23" s="1"/>
  <c r="F102" i="23"/>
  <c r="N102" i="23" s="1"/>
  <c r="F126" i="23"/>
  <c r="N126" i="23" s="1"/>
  <c r="F125" i="23"/>
  <c r="N125" i="23" s="1"/>
  <c r="F124" i="23"/>
  <c r="N124" i="23" s="1"/>
  <c r="F118" i="23"/>
  <c r="N118" i="23" s="1"/>
  <c r="F107" i="23"/>
  <c r="F106" i="23"/>
  <c r="F122" i="23"/>
  <c r="N122" i="23" s="1"/>
  <c r="F120" i="23"/>
  <c r="N120" i="23" s="1"/>
  <c r="F119" i="23"/>
  <c r="N119" i="23" s="1"/>
  <c r="I175" i="11"/>
  <c r="N165" i="11"/>
  <c r="AC143" i="20"/>
  <c r="BO28" i="24"/>
  <c r="BP28" i="24" s="1"/>
  <c r="BN93" i="15"/>
  <c r="AO149" i="9"/>
  <c r="AP146" i="9"/>
  <c r="AP149" i="9" s="1"/>
  <c r="AP142" i="9" s="1"/>
  <c r="EQ143" i="9"/>
  <c r="BE108" i="20"/>
  <c r="AA135" i="20"/>
  <c r="BN210" i="9"/>
  <c r="C59" i="14" s="1"/>
  <c r="BG100" i="15"/>
  <c r="G188" i="15" s="1"/>
  <c r="AZ59" i="15"/>
  <c r="AZ120" i="15"/>
  <c r="AL110" i="11"/>
  <c r="AZ50" i="20"/>
  <c r="I171" i="11"/>
  <c r="N163" i="11"/>
  <c r="N164" i="11"/>
  <c r="FB237" i="9"/>
  <c r="EQ246" i="9"/>
  <c r="ER246" i="9" s="1"/>
  <c r="EY241" i="9"/>
  <c r="FB238" i="9" s="1"/>
  <c r="FC238" i="9" s="1"/>
  <c r="FD238" i="9" s="1"/>
  <c r="FE238" i="9" s="1"/>
  <c r="FF238" i="9" s="1"/>
  <c r="FG238" i="9" s="1"/>
  <c r="AT55" i="24"/>
  <c r="C258" i="11"/>
  <c r="E259" i="11"/>
  <c r="BF55" i="24"/>
  <c r="BI48" i="24"/>
  <c r="J132" i="24" s="1"/>
  <c r="AV55" i="23"/>
  <c r="BI20" i="23"/>
  <c r="J104" i="23" s="1"/>
  <c r="P127" i="20"/>
  <c r="W46" i="9"/>
  <c r="L6" i="13" s="1"/>
  <c r="BP97" i="20"/>
  <c r="BQ97" i="20" s="1"/>
  <c r="E274" i="11"/>
  <c r="I273" i="11"/>
  <c r="AD110" i="11"/>
  <c r="P58" i="24"/>
  <c r="M140" i="15"/>
  <c r="AM124" i="15"/>
  <c r="E213" i="15" s="1"/>
  <c r="BI119" i="20"/>
  <c r="AL140" i="20"/>
  <c r="DX131" i="9"/>
  <c r="DU131" i="9"/>
  <c r="BN211" i="9"/>
  <c r="D59" i="14" s="1"/>
  <c r="CV145" i="9"/>
  <c r="CW142" i="9"/>
  <c r="CW145" i="9" s="1"/>
  <c r="CW138" i="9" s="1"/>
  <c r="EE160" i="9"/>
  <c r="EH157" i="9" s="1"/>
  <c r="EI157" i="9" s="1"/>
  <c r="EJ157" i="9" s="1"/>
  <c r="EK157" i="9" s="1"/>
  <c r="EL157" i="9" s="1"/>
  <c r="EM157" i="9" s="1"/>
  <c r="EH156" i="9"/>
  <c r="EQ145" i="9"/>
  <c r="AW96" i="22"/>
  <c r="P125" i="22"/>
  <c r="O124" i="22"/>
  <c r="BM95" i="22"/>
  <c r="BN95" i="22" s="1"/>
  <c r="U218" i="9"/>
  <c r="V210" i="9"/>
  <c r="AF149" i="9"/>
  <c r="AP67" i="24"/>
  <c r="J154" i="24" s="1"/>
  <c r="BN49" i="24"/>
  <c r="BP49" i="24" s="1"/>
  <c r="BN114" i="15"/>
  <c r="I257" i="11"/>
  <c r="O139" i="22" l="1"/>
  <c r="AM124" i="22"/>
  <c r="P139" i="22"/>
  <c r="BJ119" i="20"/>
  <c r="J206" i="20" s="1"/>
  <c r="BI74" i="20"/>
  <c r="P143" i="20"/>
  <c r="AP127" i="20"/>
  <c r="H216" i="20" s="1"/>
  <c r="L163" i="11"/>
  <c r="F170" i="11"/>
  <c r="J172" i="11"/>
  <c r="J173" i="11"/>
  <c r="N138" i="23"/>
  <c r="W74" i="24"/>
  <c r="AP63" i="24"/>
  <c r="J150" i="24" s="1"/>
  <c r="AC185" i="9"/>
  <c r="AA195" i="9"/>
  <c r="AW120" i="22"/>
  <c r="BG96" i="22"/>
  <c r="G183" i="22" s="1"/>
  <c r="AW55" i="22"/>
  <c r="J175" i="11"/>
  <c r="L165" i="11"/>
  <c r="FB147" i="9" s="1"/>
  <c r="K175" i="11"/>
  <c r="M163" i="20"/>
  <c r="M166" i="20" s="1"/>
  <c r="BI94" i="20"/>
  <c r="F28" i="17"/>
  <c r="G28" i="17" s="1"/>
  <c r="K172" i="11"/>
  <c r="EI156" i="9"/>
  <c r="EJ156" i="9" s="1"/>
  <c r="EK156" i="9" s="1"/>
  <c r="EL156" i="9" s="1"/>
  <c r="BE63" i="20"/>
  <c r="BJ108" i="20"/>
  <c r="J195" i="20" s="1"/>
  <c r="N104" i="23"/>
  <c r="BP99" i="20"/>
  <c r="BQ99" i="20" s="1"/>
  <c r="R128" i="20"/>
  <c r="W130" i="9"/>
  <c r="L12" i="13" s="1"/>
  <c r="AJ138" i="20"/>
  <c r="DT237" i="9"/>
  <c r="DC237" i="9"/>
  <c r="C62" i="14" s="1"/>
  <c r="BG117" i="20"/>
  <c r="CZ237" i="9"/>
  <c r="BG100" i="22"/>
  <c r="G187" i="22" s="1"/>
  <c r="AZ59" i="22"/>
  <c r="AZ120" i="22"/>
  <c r="DW238" i="9"/>
  <c r="D63" i="14" s="1"/>
  <c r="AT85" i="15"/>
  <c r="E155" i="15"/>
  <c r="F227" i="9"/>
  <c r="H227" i="9" s="1"/>
  <c r="F228" i="9"/>
  <c r="H228" i="9" s="1"/>
  <c r="F226" i="9"/>
  <c r="Z210" i="9"/>
  <c r="Q53" i="14" s="1"/>
  <c r="AB53" i="14" s="1"/>
  <c r="AT85" i="22"/>
  <c r="E154" i="22"/>
  <c r="E162" i="22" s="1"/>
  <c r="C170" i="22" s="1" a="1"/>
  <c r="AY31" i="24"/>
  <c r="BC59" i="20"/>
  <c r="BJ104" i="20"/>
  <c r="J191" i="20" s="1"/>
  <c r="BC124" i="20"/>
  <c r="EH158" i="9"/>
  <c r="EI158" i="9" s="1"/>
  <c r="EJ158" i="9" s="1"/>
  <c r="EK158" i="9" s="1"/>
  <c r="EL158" i="9" s="1"/>
  <c r="EM158" i="9" s="1"/>
  <c r="C56" i="14"/>
  <c r="F25" i="14"/>
  <c r="EH159" i="9"/>
  <c r="EI159" i="9" s="1"/>
  <c r="EJ159" i="9" s="1"/>
  <c r="EK159" i="9" s="1"/>
  <c r="EL159" i="9" s="1"/>
  <c r="EM159" i="9" s="1"/>
  <c r="BP111" i="20"/>
  <c r="BQ111" i="20" s="1"/>
  <c r="AD136" i="20"/>
  <c r="CG130" i="9"/>
  <c r="CD130" i="9"/>
  <c r="CC130" i="9"/>
  <c r="O12" i="13" s="1"/>
  <c r="AM128" i="22"/>
  <c r="T139" i="22"/>
  <c r="BB63" i="22"/>
  <c r="BG104" i="22"/>
  <c r="G191" i="22" s="1"/>
  <c r="BB120" i="22"/>
  <c r="BD39" i="24"/>
  <c r="BI39" i="24" s="1"/>
  <c r="J123" i="24" s="1"/>
  <c r="AK143" i="20"/>
  <c r="AP139" i="20"/>
  <c r="H228" i="20" s="1"/>
  <c r="S60" i="24"/>
  <c r="BI91" i="20"/>
  <c r="J160" i="20"/>
  <c r="J166" i="20" s="1"/>
  <c r="F26" i="17"/>
  <c r="G26" i="17" s="1"/>
  <c r="AP140" i="20"/>
  <c r="H229" i="20" s="1"/>
  <c r="AL143" i="20"/>
  <c r="FC237" i="9"/>
  <c r="FD237" i="9" s="1"/>
  <c r="FE237" i="9" s="1"/>
  <c r="FF237" i="9" s="1"/>
  <c r="FB241" i="9"/>
  <c r="J171" i="11"/>
  <c r="L164" i="11"/>
  <c r="FB145" i="9" s="1"/>
  <c r="N123" i="23"/>
  <c r="P74" i="24"/>
  <c r="AP58" i="24"/>
  <c r="J145" i="24" s="1"/>
  <c r="AP135" i="20"/>
  <c r="H224" i="20" s="1"/>
  <c r="AA143" i="20"/>
  <c r="W143" i="20"/>
  <c r="AP132" i="20"/>
  <c r="H221" i="20" s="1"/>
  <c r="C259" i="11"/>
  <c r="C260" i="11" s="1"/>
  <c r="K259" i="11"/>
  <c r="E260" i="11"/>
  <c r="R59" i="24"/>
  <c r="O140" i="15"/>
  <c r="AM125" i="15"/>
  <c r="E214" i="15" s="1"/>
  <c r="C274" i="11"/>
  <c r="E275" i="11"/>
  <c r="E276" i="11" s="1"/>
  <c r="G274" i="11"/>
  <c r="BN95" i="15"/>
  <c r="BO30" i="24"/>
  <c r="BP30" i="24" s="1"/>
  <c r="V218" i="9"/>
  <c r="V206" i="9" s="1"/>
  <c r="D34" i="14"/>
  <c r="C64" i="14"/>
  <c r="BB35" i="24"/>
  <c r="X139" i="22"/>
  <c r="AM131" i="22"/>
  <c r="AA66" i="24"/>
  <c r="DW237" i="9"/>
  <c r="C63" i="14" s="1"/>
  <c r="S129" i="20"/>
  <c r="AR210" i="9"/>
  <c r="AQ210" i="9"/>
  <c r="M17" i="13" s="1"/>
  <c r="AZ100" i="20"/>
  <c r="AU211" i="9"/>
  <c r="F229" i="9" l="1"/>
  <c r="H226" i="9"/>
  <c r="I259" i="11"/>
  <c r="I260" i="11" s="1"/>
  <c r="K260" i="11"/>
  <c r="EM156" i="9"/>
  <c r="EM160" i="9" s="1"/>
  <c r="EM152" i="9" s="1"/>
  <c r="EL160" i="9"/>
  <c r="S143" i="20"/>
  <c r="AJ143" i="20"/>
  <c r="AP138" i="20"/>
  <c r="H227" i="20" s="1"/>
  <c r="AW89" i="20"/>
  <c r="H158" i="20"/>
  <c r="H166" i="20" s="1"/>
  <c r="H87" i="24"/>
  <c r="H95" i="24" s="1"/>
  <c r="E163" i="15"/>
  <c r="AP66" i="24"/>
  <c r="J153" i="24" s="1"/>
  <c r="AA74" i="24"/>
  <c r="R143" i="20"/>
  <c r="AP128" i="20"/>
  <c r="H217" i="20" s="1"/>
  <c r="K275" i="11"/>
  <c r="C275" i="11"/>
  <c r="C276" i="11" s="1"/>
  <c r="S74" i="24"/>
  <c r="C60" i="14"/>
  <c r="H17" i="14"/>
  <c r="AT120" i="22"/>
  <c r="AT44" i="22"/>
  <c r="BG85" i="22"/>
  <c r="G172" i="22" s="1"/>
  <c r="FE147" i="9"/>
  <c r="R74" i="24"/>
  <c r="AP59" i="24"/>
  <c r="J146" i="24" s="1"/>
  <c r="FG237" i="9"/>
  <c r="FG241" i="9" s="1"/>
  <c r="FG233" i="9" s="1"/>
  <c r="BO118" i="20" s="1"/>
  <c r="BQ118" i="20" s="1"/>
  <c r="FF241" i="9"/>
  <c r="F26" i="14"/>
  <c r="D56" i="14"/>
  <c r="AD143" i="20"/>
  <c r="AP136" i="20"/>
  <c r="H225" i="20" s="1"/>
  <c r="BJ117" i="20"/>
  <c r="J204" i="20" s="1"/>
  <c r="BG124" i="20"/>
  <c r="BG72" i="20"/>
  <c r="C170" i="11"/>
  <c r="F171" i="11"/>
  <c r="I173" i="11"/>
  <c r="EH160" i="9"/>
  <c r="F15" i="17"/>
  <c r="C215" i="22"/>
  <c r="AC195" i="9"/>
  <c r="Q194" i="9" s="1"/>
  <c r="D25" i="14" s="1"/>
  <c r="AV20" i="24"/>
  <c r="BG85" i="15"/>
  <c r="G173" i="15" s="1"/>
  <c r="AT44" i="15"/>
  <c r="BJ94" i="20"/>
  <c r="J181" i="20" s="1"/>
  <c r="BI49" i="20"/>
  <c r="K171" i="11"/>
  <c r="BT236" i="9"/>
  <c r="BT218" i="11"/>
  <c r="M275" i="11"/>
  <c r="J268" i="11" s="1"/>
  <c r="BI46" i="20"/>
  <c r="BJ91" i="20"/>
  <c r="J178" i="20" s="1"/>
  <c r="BI31" i="24"/>
  <c r="J115" i="24" s="1"/>
  <c r="AY55" i="24"/>
  <c r="C202" i="22"/>
  <c r="C190" i="22"/>
  <c r="C178" i="22"/>
  <c r="C196" i="22"/>
  <c r="C184" i="22"/>
  <c r="C172" i="22"/>
  <c r="C201" i="22"/>
  <c r="C187" i="22"/>
  <c r="C173" i="22"/>
  <c r="C204" i="22"/>
  <c r="C189" i="22"/>
  <c r="C175" i="22"/>
  <c r="C203" i="22"/>
  <c r="C188" i="22"/>
  <c r="C174" i="22"/>
  <c r="C193" i="22"/>
  <c r="C171" i="22"/>
  <c r="C192" i="22"/>
  <c r="C194" i="22"/>
  <c r="C191" i="22"/>
  <c r="C186" i="22"/>
  <c r="C185" i="22"/>
  <c r="C183" i="22"/>
  <c r="C200" i="22"/>
  <c r="C199" i="22"/>
  <c r="C205" i="22"/>
  <c r="C198" i="22"/>
  <c r="C197" i="22"/>
  <c r="C195" i="22"/>
  <c r="C181" i="22"/>
  <c r="C182" i="22"/>
  <c r="C180" i="22"/>
  <c r="C179" i="22"/>
  <c r="C170" i="22"/>
  <c r="C177" i="22"/>
  <c r="C176" i="22"/>
  <c r="BI35" i="24"/>
  <c r="J119" i="24" s="1"/>
  <c r="BB55" i="24"/>
  <c r="BJ100" i="20"/>
  <c r="J187" i="20" s="1"/>
  <c r="AZ55" i="20"/>
  <c r="AZ124" i="20"/>
  <c r="G7" i="13"/>
  <c r="G8" i="13" s="1"/>
  <c r="FE145" i="9"/>
  <c r="FB146" i="9"/>
  <c r="BI118" i="20" l="1"/>
  <c r="I174" i="11"/>
  <c r="C171" i="11"/>
  <c r="N166" i="11"/>
  <c r="ER147" i="9"/>
  <c r="ES147" i="9" s="1"/>
  <c r="BQ218" i="11"/>
  <c r="CE202" i="11"/>
  <c r="G15" i="17"/>
  <c r="I15" i="17" s="1"/>
  <c r="H15" i="17"/>
  <c r="ER143" i="9"/>
  <c r="ES143" i="9" s="1"/>
  <c r="BI20" i="24"/>
  <c r="J104" i="24" s="1"/>
  <c r="H229" i="9"/>
  <c r="K226" i="9"/>
  <c r="FE146" i="9"/>
  <c r="BT237" i="9"/>
  <c r="BQ236" i="9"/>
  <c r="CE220" i="9"/>
  <c r="CG220" i="9" s="1"/>
  <c r="K173" i="11"/>
  <c r="I176" i="11"/>
  <c r="BJ89" i="20"/>
  <c r="J176" i="20" s="1"/>
  <c r="AW44" i="20"/>
  <c r="I275" i="11"/>
  <c r="I276" i="11" s="1"/>
  <c r="K276" i="11"/>
  <c r="EB144" i="9"/>
  <c r="H147" i="24"/>
  <c r="AW95" i="20"/>
  <c r="N164" i="20"/>
  <c r="N166" i="20" s="1"/>
  <c r="F25" i="17"/>
  <c r="G25" i="17" s="1"/>
  <c r="Q193" i="9"/>
  <c r="D24" i="14" s="1"/>
  <c r="Q195" i="9"/>
  <c r="D26" i="14" s="1"/>
  <c r="F172" i="11"/>
  <c r="ER144" i="9" l="1"/>
  <c r="ER145" i="9"/>
  <c r="ES145" i="9" s="1"/>
  <c r="C172" i="11"/>
  <c r="D170" i="11" s="1"/>
  <c r="J174" i="11"/>
  <c r="J176" i="11" s="1"/>
  <c r="L166" i="11"/>
  <c r="L167" i="11" s="1"/>
  <c r="I162" i="11" s="1"/>
  <c r="N167" i="11"/>
  <c r="BJ118" i="20"/>
  <c r="J205" i="20" s="1"/>
  <c r="BI73" i="20"/>
  <c r="BW237" i="9"/>
  <c r="BX237" i="9" s="1"/>
  <c r="BY237" i="9" s="1"/>
  <c r="BZ237" i="9" s="1"/>
  <c r="CA237" i="9" s="1"/>
  <c r="CO257" i="9"/>
  <c r="BQ237" i="9"/>
  <c r="BQ238" i="9" s="1"/>
  <c r="CA232" i="9" s="1"/>
  <c r="BB86" i="15" s="1"/>
  <c r="CE221" i="9"/>
  <c r="BT238" i="9"/>
  <c r="AW50" i="20"/>
  <c r="BJ95" i="20"/>
  <c r="J182" i="20" s="1"/>
  <c r="K174" i="11"/>
  <c r="EE144" i="9"/>
  <c r="F13" i="17"/>
  <c r="L226" i="9"/>
  <c r="K227" i="9"/>
  <c r="BD21" i="24" l="1"/>
  <c r="BD55" i="24" s="1"/>
  <c r="BB120" i="15"/>
  <c r="BB45" i="15"/>
  <c r="BR236" i="9"/>
  <c r="D171" i="11"/>
  <c r="CB237" i="9"/>
  <c r="BW236" i="9"/>
  <c r="BX236" i="9" s="1"/>
  <c r="BY236" i="9" s="1"/>
  <c r="BZ236" i="9" s="1"/>
  <c r="CA236" i="9" s="1"/>
  <c r="CA238" i="9" s="1"/>
  <c r="CG221" i="9"/>
  <c r="H13" i="17"/>
  <c r="G13" i="17"/>
  <c r="I13" i="17" s="1"/>
  <c r="F19" i="17"/>
  <c r="C42" i="14" s="1"/>
  <c r="CL257" i="9"/>
  <c r="CF221" i="9"/>
  <c r="CO258" i="9"/>
  <c r="EE145" i="9"/>
  <c r="EE146" i="9" s="1"/>
  <c r="EQ144" i="9"/>
  <c r="ES144" i="9" s="1"/>
  <c r="D172" i="11"/>
  <c r="L227" i="9"/>
  <c r="U222" i="9" s="1"/>
  <c r="N226" i="9"/>
  <c r="C215" i="11"/>
  <c r="BR237" i="9"/>
  <c r="BR238" i="9" l="1"/>
  <c r="EH144" i="9"/>
  <c r="EI144" i="9" s="1"/>
  <c r="EJ144" i="9" s="1"/>
  <c r="EK144" i="9" s="1"/>
  <c r="EL144" i="9" s="1"/>
  <c r="EM144" i="9" s="1"/>
  <c r="E215" i="11"/>
  <c r="AH232" i="9"/>
  <c r="AH231" i="9"/>
  <c r="N227" i="9"/>
  <c r="Q226" i="9" s="1"/>
  <c r="N240" i="9"/>
  <c r="AH233" i="9"/>
  <c r="Y218" i="9"/>
  <c r="Y219" i="9"/>
  <c r="H158" i="15"/>
  <c r="AT88" i="15"/>
  <c r="EH145" i="9"/>
  <c r="EI145" i="9" s="1"/>
  <c r="EJ145" i="9" s="1"/>
  <c r="EK145" i="9" s="1"/>
  <c r="EL145" i="9" s="1"/>
  <c r="EM145" i="9" s="1"/>
  <c r="EQ146" i="9"/>
  <c r="EB145" i="9"/>
  <c r="FE148" i="9"/>
  <c r="CB236" i="9"/>
  <c r="CB238" i="9" s="1"/>
  <c r="CB232" i="9" s="1"/>
  <c r="CR255" i="9"/>
  <c r="CR256" i="9"/>
  <c r="CP258" i="9" a="1"/>
  <c r="CL258" i="9"/>
  <c r="CM257" i="9" s="1"/>
  <c r="CR257" i="9"/>
  <c r="CP258" i="9" l="1"/>
  <c r="BM112" i="22" s="1"/>
  <c r="BN112" i="22" s="1"/>
  <c r="R226" i="9"/>
  <c r="S226" i="9" s="1"/>
  <c r="EM146" i="9"/>
  <c r="EM140" i="9" s="1"/>
  <c r="CS256" i="9"/>
  <c r="CT256" i="9" s="1"/>
  <c r="CU256" i="9" s="1"/>
  <c r="CV256" i="9" s="1"/>
  <c r="CW256" i="9" s="1"/>
  <c r="Z219" i="9"/>
  <c r="AA219" i="9" s="1"/>
  <c r="AV23" i="24"/>
  <c r="BI23" i="24" s="1"/>
  <c r="J107" i="24" s="1"/>
  <c r="AT47" i="15"/>
  <c r="BG88" i="15"/>
  <c r="G176" i="15" s="1"/>
  <c r="CS257" i="9"/>
  <c r="CT257" i="9" s="1"/>
  <c r="CU257" i="9" s="1"/>
  <c r="CV257" i="9" s="1"/>
  <c r="CW257" i="9" s="1"/>
  <c r="N241" i="9"/>
  <c r="Z221" i="9"/>
  <c r="N242" i="9"/>
  <c r="Q240" i="9"/>
  <c r="R240" i="9" s="1"/>
  <c r="S240" i="9" s="1"/>
  <c r="T240" i="9" s="1"/>
  <c r="U240" i="9" s="1"/>
  <c r="Y220" i="9"/>
  <c r="CS255" i="9"/>
  <c r="CT255" i="9" s="1"/>
  <c r="CU255" i="9" s="1"/>
  <c r="CV255" i="9"/>
  <c r="BE90" i="20"/>
  <c r="CH211" i="9"/>
  <c r="ER146" i="9"/>
  <c r="ES146" i="9" s="1"/>
  <c r="FB148" i="9"/>
  <c r="FE149" i="9"/>
  <c r="FH148" i="9" s="1"/>
  <c r="FI148" i="9" s="1"/>
  <c r="FJ148" i="9" s="1"/>
  <c r="FK148" i="9" s="1"/>
  <c r="FL148" i="9" s="1"/>
  <c r="AH234" i="9"/>
  <c r="AK233" i="9" s="1"/>
  <c r="AL233" i="9" s="1"/>
  <c r="AM233" i="9" s="1"/>
  <c r="AN233" i="9" s="1"/>
  <c r="AO233" i="9" s="1"/>
  <c r="Z218" i="9"/>
  <c r="AA218" i="9" s="1"/>
  <c r="Z220" i="9"/>
  <c r="EB146" i="9"/>
  <c r="EC145" i="9" s="1"/>
  <c r="E216" i="11"/>
  <c r="C225" i="11"/>
  <c r="K215" i="11"/>
  <c r="K216" i="11"/>
  <c r="I216" i="11" s="1"/>
  <c r="AE232" i="9" s="1"/>
  <c r="EL146" i="9"/>
  <c r="K90" i="24"/>
  <c r="K95" i="24" s="1"/>
  <c r="H163" i="15"/>
  <c r="CV251" i="9"/>
  <c r="CM256" i="9"/>
  <c r="CM255" i="9"/>
  <c r="AF133" i="22" l="1"/>
  <c r="AM133" i="22" s="1"/>
  <c r="AF134" i="15"/>
  <c r="BM112" i="15"/>
  <c r="CF210" i="9"/>
  <c r="Q61" i="14" s="1"/>
  <c r="AB61" i="14" s="1"/>
  <c r="CV258" i="9"/>
  <c r="CW255" i="9"/>
  <c r="CW258" i="9" s="1"/>
  <c r="CW251" i="9" s="1"/>
  <c r="AK231" i="9"/>
  <c r="V240" i="9"/>
  <c r="FB149" i="9"/>
  <c r="FF149" i="9" s="1" a="1"/>
  <c r="FF149" i="9" s="1"/>
  <c r="I215" i="11"/>
  <c r="C223" i="11"/>
  <c r="C224" i="11"/>
  <c r="AF139" i="22"/>
  <c r="BI90" i="20"/>
  <c r="ES132" i="9"/>
  <c r="AA220" i="9"/>
  <c r="Q241" i="9"/>
  <c r="R241" i="9" s="1"/>
  <c r="S241" i="9" s="1"/>
  <c r="T241" i="9" s="1"/>
  <c r="U241" i="9" s="1"/>
  <c r="V241" i="9" s="1"/>
  <c r="Y221" i="9"/>
  <c r="AA221" i="9" s="1"/>
  <c r="G26" i="14"/>
  <c r="D61" i="14"/>
  <c r="BE124" i="20"/>
  <c r="BE45" i="20"/>
  <c r="AP232" i="9"/>
  <c r="AP233" i="9"/>
  <c r="FM148" i="9"/>
  <c r="FH147" i="9"/>
  <c r="FI147" i="9" s="1"/>
  <c r="FJ147" i="9" s="1"/>
  <c r="FK147" i="9" s="1"/>
  <c r="FL147" i="9" s="1"/>
  <c r="FM147" i="9" s="1"/>
  <c r="FH145" i="9"/>
  <c r="FH146" i="9"/>
  <c r="FI146" i="9" s="1"/>
  <c r="FJ146" i="9" s="1"/>
  <c r="FK146" i="9" s="1"/>
  <c r="FL146" i="9" s="1"/>
  <c r="FM146" i="9" s="1"/>
  <c r="AK232" i="9"/>
  <c r="AL232" i="9" s="1"/>
  <c r="AM232" i="9" s="1"/>
  <c r="AN232" i="9" s="1"/>
  <c r="AO232" i="9" s="1"/>
  <c r="C216" i="11"/>
  <c r="E217" i="11"/>
  <c r="CM258" i="9"/>
  <c r="EL140" i="9"/>
  <c r="EC144" i="9"/>
  <c r="BM117" i="22" l="1"/>
  <c r="BN117" i="22" s="1"/>
  <c r="AK137" i="22"/>
  <c r="U242" i="9"/>
  <c r="K240" i="9"/>
  <c r="BI45" i="20"/>
  <c r="BI124" i="20"/>
  <c r="FL141" i="9"/>
  <c r="FC145" i="9"/>
  <c r="FC147" i="9"/>
  <c r="FC146" i="9"/>
  <c r="E35" i="14"/>
  <c r="D65" i="14"/>
  <c r="AI137" i="20"/>
  <c r="BP116" i="20"/>
  <c r="BQ116" i="20" s="1"/>
  <c r="CH210" i="9"/>
  <c r="CD210" i="9"/>
  <c r="N17" i="13" s="1"/>
  <c r="CE210" i="9"/>
  <c r="BO47" i="24"/>
  <c r="BP47" i="24" s="1"/>
  <c r="BN112" i="15"/>
  <c r="BF86" i="15"/>
  <c r="FC148" i="9"/>
  <c r="K217" i="11"/>
  <c r="C217" i="11"/>
  <c r="C218" i="11" s="1"/>
  <c r="E218" i="11"/>
  <c r="V242" i="9"/>
  <c r="V236" i="9" s="1"/>
  <c r="AL231" i="9"/>
  <c r="AM231" i="9" s="1"/>
  <c r="AN231" i="9" s="1"/>
  <c r="AO231" i="9" s="1"/>
  <c r="AK234" i="9"/>
  <c r="FI145" i="9"/>
  <c r="FJ145" i="9" s="1"/>
  <c r="FK145" i="9" s="1"/>
  <c r="FL145" i="9" s="1"/>
  <c r="FH149" i="9"/>
  <c r="E225" i="11"/>
  <c r="C230" i="11"/>
  <c r="C229" i="11"/>
  <c r="G225" i="11"/>
  <c r="G224" i="11" s="1"/>
  <c r="G223" i="11" s="1"/>
  <c r="AE231" i="9"/>
  <c r="AI68" i="24"/>
  <c r="AF140" i="15"/>
  <c r="AM134" i="15"/>
  <c r="E223" i="15" s="1"/>
  <c r="I217" i="11" l="1"/>
  <c r="I218" i="11" s="1"/>
  <c r="K218" i="11"/>
  <c r="C231" i="11"/>
  <c r="M223" i="11" s="1"/>
  <c r="N223" i="11"/>
  <c r="FC149" i="9"/>
  <c r="BH21" i="24"/>
  <c r="BH55" i="24" s="1"/>
  <c r="BF45" i="15"/>
  <c r="BF120" i="15"/>
  <c r="E223" i="11"/>
  <c r="E224" i="11"/>
  <c r="AK138" i="15"/>
  <c r="BM117" i="15"/>
  <c r="EQ131" i="9"/>
  <c r="Q65" i="14" s="1"/>
  <c r="AB65" i="14" s="1"/>
  <c r="FL149" i="9"/>
  <c r="FM145" i="9"/>
  <c r="FM149" i="9" s="1"/>
  <c r="FM141" i="9" s="1"/>
  <c r="AO234" i="9"/>
  <c r="AP231" i="9"/>
  <c r="AP234" i="9" s="1"/>
  <c r="AP227" i="9" s="1"/>
  <c r="C61" i="14"/>
  <c r="G25" i="14"/>
  <c r="L240" i="9"/>
  <c r="L242" i="9" s="1"/>
  <c r="I159" i="20"/>
  <c r="I166" i="20" s="1"/>
  <c r="AW90" i="20"/>
  <c r="AI74" i="24"/>
  <c r="AP68" i="24"/>
  <c r="J155" i="24" s="1"/>
  <c r="AI143" i="20"/>
  <c r="AP137" i="20"/>
  <c r="H226" i="20" s="1"/>
  <c r="AK139" i="22"/>
  <c r="AM137" i="22"/>
  <c r="K241" i="9"/>
  <c r="L241" i="9" s="1"/>
  <c r="AE233" i="9"/>
  <c r="O223" i="11" l="1"/>
  <c r="P223" i="11" s="1"/>
  <c r="P226" i="9"/>
  <c r="T226" i="9" s="1"/>
  <c r="U226" i="9" s="1"/>
  <c r="P63" i="9"/>
  <c r="T63" i="9" s="1"/>
  <c r="U63" i="9" s="1"/>
  <c r="P144" i="9"/>
  <c r="T144" i="9" s="1"/>
  <c r="U144" i="9" s="1"/>
  <c r="T129" i="20"/>
  <c r="BP101" i="20"/>
  <c r="BQ101" i="20" s="1"/>
  <c r="X210" i="9"/>
  <c r="L17" i="13" s="1"/>
  <c r="AN141" i="20"/>
  <c r="BP121" i="20"/>
  <c r="BQ121" i="20" s="1"/>
  <c r="EO131" i="9"/>
  <c r="M22" i="13" s="1"/>
  <c r="EP131" i="9"/>
  <c r="ES131" i="9"/>
  <c r="BO52" i="24"/>
  <c r="BP52" i="24" s="1"/>
  <c r="BN117" i="15"/>
  <c r="AW45" i="20"/>
  <c r="BJ90" i="20"/>
  <c r="J177" i="20" s="1"/>
  <c r="AN72" i="24"/>
  <c r="AK140" i="15"/>
  <c r="AM138" i="15"/>
  <c r="E227" i="15" s="1"/>
  <c r="AI234" i="9" a="1"/>
  <c r="AE234" i="9"/>
  <c r="AF233" i="9" s="1"/>
  <c r="K242" i="9"/>
  <c r="U236" i="9" s="1"/>
  <c r="AI234" i="9" l="1"/>
  <c r="BM97" i="22" s="1"/>
  <c r="BN97" i="22" s="1"/>
  <c r="I170" i="22" s="1" a="1"/>
  <c r="AN74" i="24"/>
  <c r="AP72" i="24"/>
  <c r="J159" i="24" s="1"/>
  <c r="C65" i="14"/>
  <c r="E34" i="14"/>
  <c r="U64" i="9"/>
  <c r="V63" i="9"/>
  <c r="V64" i="9" s="1"/>
  <c r="V59" i="9" s="1"/>
  <c r="AN143" i="20"/>
  <c r="AP141" i="20"/>
  <c r="H230" i="20" s="1"/>
  <c r="L174" i="20" a="1"/>
  <c r="T143" i="20"/>
  <c r="AP129" i="20"/>
  <c r="H218" i="20" s="1"/>
  <c r="U145" i="9"/>
  <c r="V144" i="9"/>
  <c r="V145" i="9" s="1"/>
  <c r="V140" i="9" s="1"/>
  <c r="AT86" i="15"/>
  <c r="F156" i="15"/>
  <c r="AO227" i="9"/>
  <c r="AF232" i="9"/>
  <c r="AF231" i="9"/>
  <c r="AF234" i="9" s="1"/>
  <c r="U227" i="9"/>
  <c r="V226" i="9"/>
  <c r="V227" i="9" s="1"/>
  <c r="V222" i="9" s="1"/>
  <c r="H174" i="20" l="1" a="1"/>
  <c r="H175" i="20" s="1"/>
  <c r="Q125" i="22"/>
  <c r="AU92" i="20"/>
  <c r="K161" i="20"/>
  <c r="K166" i="20" s="1"/>
  <c r="F174" i="20" s="1" a="1"/>
  <c r="AA47" i="9"/>
  <c r="Q29" i="9"/>
  <c r="D9" i="14" s="1"/>
  <c r="Q28" i="9"/>
  <c r="D8" i="14" s="1"/>
  <c r="X46" i="9"/>
  <c r="AA46" i="9"/>
  <c r="Q139" i="22"/>
  <c r="E170" i="22" s="1" a="1"/>
  <c r="AM125" i="22"/>
  <c r="H199" i="20"/>
  <c r="H187" i="20"/>
  <c r="H176" i="20"/>
  <c r="H209" i="20"/>
  <c r="H195" i="20"/>
  <c r="H181" i="20"/>
  <c r="H208" i="20"/>
  <c r="H194" i="20"/>
  <c r="H180" i="20"/>
  <c r="H192" i="20"/>
  <c r="H207" i="20"/>
  <c r="H191" i="20"/>
  <c r="H190" i="20"/>
  <c r="H205" i="20"/>
  <c r="H189" i="20"/>
  <c r="H204" i="20"/>
  <c r="H182" i="20"/>
  <c r="H203" i="20"/>
  <c r="H179" i="20"/>
  <c r="H178" i="20"/>
  <c r="H177" i="20"/>
  <c r="H202" i="20"/>
  <c r="H183" i="20"/>
  <c r="H198" i="20"/>
  <c r="H186" i="20"/>
  <c r="H185" i="20"/>
  <c r="H197" i="20"/>
  <c r="H193" i="20"/>
  <c r="H196" i="20"/>
  <c r="Q126" i="15"/>
  <c r="BM97" i="15"/>
  <c r="I88" i="24"/>
  <c r="I95" i="24" s="1"/>
  <c r="F102" i="24" s="1" a="1"/>
  <c r="F163" i="15"/>
  <c r="C171" i="15" s="1" a="1"/>
  <c r="AV21" i="24"/>
  <c r="AT45" i="15"/>
  <c r="BG86" i="15"/>
  <c r="G174" i="15" s="1"/>
  <c r="AT120" i="15"/>
  <c r="C213" i="15" s="1" a="1"/>
  <c r="AV92" i="20"/>
  <c r="AA131" i="9"/>
  <c r="X130" i="9"/>
  <c r="AA130" i="9"/>
  <c r="F24" i="17"/>
  <c r="G24" i="17" s="1"/>
  <c r="AW92" i="20"/>
  <c r="Y210" i="9"/>
  <c r="AB211" i="9"/>
  <c r="AB210" i="9"/>
  <c r="L209" i="20"/>
  <c r="L197" i="20"/>
  <c r="L185" i="20"/>
  <c r="L174" i="20"/>
  <c r="L198" i="20"/>
  <c r="L186" i="20"/>
  <c r="L201" i="20"/>
  <c r="L187" i="20"/>
  <c r="L200" i="20"/>
  <c r="L184" i="20"/>
  <c r="L206" i="20"/>
  <c r="L190" i="20"/>
  <c r="L205" i="20"/>
  <c r="L189" i="20"/>
  <c r="L204" i="20"/>
  <c r="L188" i="20"/>
  <c r="L203" i="20"/>
  <c r="L183" i="20"/>
  <c r="L194" i="20"/>
  <c r="L193" i="20"/>
  <c r="L202" i="20"/>
  <c r="L176" i="20"/>
  <c r="L199" i="20"/>
  <c r="L175" i="20"/>
  <c r="L196" i="20"/>
  <c r="L195" i="20"/>
  <c r="L179" i="20"/>
  <c r="L177" i="20"/>
  <c r="L178" i="20"/>
  <c r="L207" i="20"/>
  <c r="L181" i="20"/>
  <c r="L192" i="20"/>
  <c r="L191" i="20"/>
  <c r="L182" i="20"/>
  <c r="L208" i="20"/>
  <c r="L180" i="20"/>
  <c r="I199" i="22"/>
  <c r="I187" i="22"/>
  <c r="I175" i="22"/>
  <c r="I205" i="22"/>
  <c r="I193" i="22"/>
  <c r="I181" i="22"/>
  <c r="I170" i="22"/>
  <c r="I203" i="22"/>
  <c r="I191" i="22"/>
  <c r="I179" i="22"/>
  <c r="I204" i="22"/>
  <c r="I188" i="22"/>
  <c r="I172" i="22"/>
  <c r="I190" i="22"/>
  <c r="I174" i="22"/>
  <c r="I189" i="22"/>
  <c r="I173" i="22"/>
  <c r="I198" i="22"/>
  <c r="I178" i="22"/>
  <c r="I197" i="22"/>
  <c r="I177" i="22"/>
  <c r="I192" i="22"/>
  <c r="I186" i="22"/>
  <c r="I185" i="22"/>
  <c r="I184" i="22"/>
  <c r="I183" i="22"/>
  <c r="I180" i="22"/>
  <c r="I176" i="22"/>
  <c r="I171" i="22"/>
  <c r="I200" i="22"/>
  <c r="I195" i="22"/>
  <c r="I196" i="22"/>
  <c r="I194" i="22"/>
  <c r="I202" i="22"/>
  <c r="I201" i="22"/>
  <c r="I182" i="22"/>
  <c r="H184" i="20" l="1"/>
  <c r="H206" i="20"/>
  <c r="H188" i="20"/>
  <c r="H201" i="20"/>
  <c r="H174" i="20"/>
  <c r="H200" i="20"/>
  <c r="T5" i="13"/>
  <c r="C224" i="15"/>
  <c r="G224" i="15" s="1"/>
  <c r="C213" i="15"/>
  <c r="G213" i="15" s="1"/>
  <c r="C226" i="15"/>
  <c r="G226" i="15" s="1"/>
  <c r="C214" i="15"/>
  <c r="G214" i="15" s="1"/>
  <c r="C225" i="15"/>
  <c r="G225" i="15" s="1"/>
  <c r="C221" i="15"/>
  <c r="G221" i="15" s="1"/>
  <c r="C220" i="15"/>
  <c r="G220" i="15" s="1"/>
  <c r="C223" i="15"/>
  <c r="G223" i="15" s="1"/>
  <c r="C222" i="15"/>
  <c r="G222" i="15" s="1"/>
  <c r="C219" i="15"/>
  <c r="G219" i="15" s="1"/>
  <c r="C218" i="15"/>
  <c r="G218" i="15" s="1"/>
  <c r="C227" i="15"/>
  <c r="G227" i="15" s="1"/>
  <c r="C217" i="15"/>
  <c r="G217" i="15" s="1"/>
  <c r="C215" i="15"/>
  <c r="C216" i="15"/>
  <c r="G216" i="15" s="1"/>
  <c r="E201" i="22"/>
  <c r="E189" i="22"/>
  <c r="K189" i="22" s="1"/>
  <c r="E177" i="22"/>
  <c r="K177" i="22" s="1"/>
  <c r="E195" i="22"/>
  <c r="K195" i="22" s="1"/>
  <c r="E183" i="22"/>
  <c r="K183" i="22" s="1"/>
  <c r="E171" i="22"/>
  <c r="K171" i="22" s="1"/>
  <c r="E205" i="22"/>
  <c r="K205" i="22" s="1"/>
  <c r="E193" i="22"/>
  <c r="K193" i="22" s="1"/>
  <c r="E194" i="22"/>
  <c r="K194" i="22" s="1"/>
  <c r="E179" i="22"/>
  <c r="K179" i="22" s="1"/>
  <c r="E197" i="22"/>
  <c r="K197" i="22" s="1"/>
  <c r="E181" i="22"/>
  <c r="K181" i="22" s="1"/>
  <c r="E196" i="22"/>
  <c r="K196" i="22" s="1"/>
  <c r="E180" i="22"/>
  <c r="K180" i="22" s="1"/>
  <c r="E192" i="22"/>
  <c r="K192" i="22" s="1"/>
  <c r="E174" i="22"/>
  <c r="E191" i="22"/>
  <c r="K191" i="22" s="1"/>
  <c r="E173" i="22"/>
  <c r="K173" i="22" s="1"/>
  <c r="E203" i="22"/>
  <c r="K203" i="22" s="1"/>
  <c r="E178" i="22"/>
  <c r="K178" i="22" s="1"/>
  <c r="E202" i="22"/>
  <c r="K202" i="22" s="1"/>
  <c r="E176" i="22"/>
  <c r="K176" i="22" s="1"/>
  <c r="E200" i="22"/>
  <c r="K200" i="22" s="1"/>
  <c r="E175" i="22"/>
  <c r="E199" i="22"/>
  <c r="K199" i="22" s="1"/>
  <c r="E172" i="22"/>
  <c r="K172" i="22" s="1"/>
  <c r="E198" i="22"/>
  <c r="K198" i="22" s="1"/>
  <c r="E204" i="22"/>
  <c r="K204" i="22" s="1"/>
  <c r="E170" i="22"/>
  <c r="K170" i="22" s="1"/>
  <c r="E190" i="22"/>
  <c r="K190" i="22" s="1"/>
  <c r="E185" i="22"/>
  <c r="K185" i="22" s="1"/>
  <c r="E188" i="22"/>
  <c r="K188" i="22" s="1"/>
  <c r="E187" i="22"/>
  <c r="K187" i="22" s="1"/>
  <c r="E186" i="22"/>
  <c r="K186" i="22" s="1"/>
  <c r="E182" i="22"/>
  <c r="K182" i="22" s="1"/>
  <c r="E184" i="22"/>
  <c r="K184" i="22" s="1"/>
  <c r="C53" i="14"/>
  <c r="E25" i="14"/>
  <c r="E9" i="14"/>
  <c r="D51" i="14"/>
  <c r="AW47" i="20"/>
  <c r="AW124" i="20"/>
  <c r="E17" i="14"/>
  <c r="C52" i="14"/>
  <c r="D52" i="14"/>
  <c r="E18" i="14"/>
  <c r="C51" i="14"/>
  <c r="E8" i="14"/>
  <c r="AV47" i="20"/>
  <c r="AV124" i="20"/>
  <c r="E26" i="14"/>
  <c r="D53" i="14"/>
  <c r="BI21" i="24"/>
  <c r="J105" i="24" s="1"/>
  <c r="AV55" i="24"/>
  <c r="F145" i="24" s="1" a="1"/>
  <c r="F200" i="20"/>
  <c r="F188" i="20"/>
  <c r="N188" i="20" s="1"/>
  <c r="F176" i="20"/>
  <c r="N176" i="20" s="1"/>
  <c r="F201" i="20"/>
  <c r="N201" i="20" s="1"/>
  <c r="F189" i="20"/>
  <c r="N189" i="20" s="1"/>
  <c r="F177" i="20"/>
  <c r="N177" i="20" s="1"/>
  <c r="F204" i="20"/>
  <c r="N204" i="20" s="1"/>
  <c r="F190" i="20"/>
  <c r="N190" i="20" s="1"/>
  <c r="F203" i="20"/>
  <c r="N203" i="20" s="1"/>
  <c r="F187" i="20"/>
  <c r="N187" i="20" s="1"/>
  <c r="F174" i="20"/>
  <c r="F195" i="20"/>
  <c r="N195" i="20" s="1"/>
  <c r="F179" i="20"/>
  <c r="F194" i="20"/>
  <c r="N194" i="20" s="1"/>
  <c r="F178" i="20"/>
  <c r="N178" i="20" s="1"/>
  <c r="F209" i="20"/>
  <c r="N209" i="20" s="1"/>
  <c r="F193" i="20"/>
  <c r="N193" i="20" s="1"/>
  <c r="F175" i="20"/>
  <c r="N175" i="20" s="1"/>
  <c r="F208" i="20"/>
  <c r="N208" i="20" s="1"/>
  <c r="F192" i="20"/>
  <c r="N192" i="20" s="1"/>
  <c r="F191" i="20"/>
  <c r="N191" i="20" s="1"/>
  <c r="F186" i="20"/>
  <c r="N186" i="20" s="1"/>
  <c r="F183" i="20"/>
  <c r="N183" i="20" s="1"/>
  <c r="F182" i="20"/>
  <c r="N182" i="20" s="1"/>
  <c r="F207" i="20"/>
  <c r="N207" i="20" s="1"/>
  <c r="F181" i="20"/>
  <c r="N181" i="20" s="1"/>
  <c r="F206" i="20"/>
  <c r="N206" i="20" s="1"/>
  <c r="F180" i="20"/>
  <c r="N180" i="20" s="1"/>
  <c r="F202" i="20"/>
  <c r="N202" i="20" s="1"/>
  <c r="F198" i="20"/>
  <c r="N198" i="20" s="1"/>
  <c r="F199" i="20"/>
  <c r="N199" i="20" s="1"/>
  <c r="F205" i="20"/>
  <c r="N205" i="20" s="1"/>
  <c r="F197" i="20"/>
  <c r="N197" i="20" s="1"/>
  <c r="F196" i="20"/>
  <c r="N196" i="20" s="1"/>
  <c r="F184" i="20"/>
  <c r="F185" i="20"/>
  <c r="N185" i="20" s="1"/>
  <c r="F127" i="24"/>
  <c r="F115" i="24"/>
  <c r="F103" i="24"/>
  <c r="F126" i="24"/>
  <c r="F114" i="24"/>
  <c r="F137" i="24"/>
  <c r="F125" i="24"/>
  <c r="F113" i="24"/>
  <c r="F102" i="24"/>
  <c r="F136" i="24"/>
  <c r="F124" i="24"/>
  <c r="F112" i="24"/>
  <c r="F135" i="24"/>
  <c r="F123" i="24"/>
  <c r="F111" i="24"/>
  <c r="F134" i="24"/>
  <c r="F122" i="24"/>
  <c r="F110" i="24"/>
  <c r="F133" i="24"/>
  <c r="F121" i="24"/>
  <c r="F109" i="24"/>
  <c r="F132" i="24"/>
  <c r="F120" i="24"/>
  <c r="F108" i="24"/>
  <c r="F131" i="24"/>
  <c r="F119" i="24"/>
  <c r="F107" i="24"/>
  <c r="F130" i="24"/>
  <c r="F118" i="24"/>
  <c r="F106" i="24"/>
  <c r="F129" i="24"/>
  <c r="F117" i="24"/>
  <c r="F105" i="24"/>
  <c r="F128" i="24"/>
  <c r="F116" i="24"/>
  <c r="F104" i="24"/>
  <c r="BN97" i="15"/>
  <c r="I171" i="15" s="1" a="1"/>
  <c r="BO32" i="24"/>
  <c r="BP32" i="24" s="1"/>
  <c r="L102" i="24" s="1" a="1"/>
  <c r="T60" i="24"/>
  <c r="Q140" i="15"/>
  <c r="E171" i="15" s="1" a="1"/>
  <c r="AM126" i="15"/>
  <c r="E215" i="15" s="1"/>
  <c r="C198" i="15"/>
  <c r="C186" i="15"/>
  <c r="C174" i="15"/>
  <c r="C200" i="15"/>
  <c r="C188" i="15"/>
  <c r="C176" i="15"/>
  <c r="C199" i="15"/>
  <c r="C187" i="15"/>
  <c r="C175" i="15"/>
  <c r="C204" i="15"/>
  <c r="C189" i="15"/>
  <c r="C203" i="15"/>
  <c r="C185" i="15"/>
  <c r="C171" i="15"/>
  <c r="C193" i="15"/>
  <c r="C173" i="15"/>
  <c r="C192" i="15"/>
  <c r="C172" i="15"/>
  <c r="C191" i="15"/>
  <c r="C190" i="15"/>
  <c r="C196" i="15"/>
  <c r="C195" i="15"/>
  <c r="C202" i="15"/>
  <c r="C201" i="15"/>
  <c r="C197" i="15"/>
  <c r="C194" i="15"/>
  <c r="C206" i="15"/>
  <c r="C184" i="15"/>
  <c r="C205" i="15"/>
  <c r="C183" i="15"/>
  <c r="C182" i="15"/>
  <c r="C181" i="15"/>
  <c r="C180" i="15"/>
  <c r="C179" i="15"/>
  <c r="C177" i="15"/>
  <c r="C178" i="15"/>
  <c r="BJ92" i="20"/>
  <c r="J179" i="20" s="1"/>
  <c r="AU47" i="20"/>
  <c r="AU124" i="20"/>
  <c r="N184" i="20" l="1"/>
  <c r="N179" i="20"/>
  <c r="N200" i="20"/>
  <c r="N174" i="20"/>
  <c r="I195" i="15"/>
  <c r="I183" i="15"/>
  <c r="I197" i="15"/>
  <c r="I185" i="15"/>
  <c r="I173" i="15"/>
  <c r="I196" i="15"/>
  <c r="I184" i="15"/>
  <c r="I172" i="15"/>
  <c r="I192" i="15"/>
  <c r="I177" i="15"/>
  <c r="I206" i="15"/>
  <c r="I191" i="15"/>
  <c r="I176" i="15"/>
  <c r="I194" i="15"/>
  <c r="I175" i="15"/>
  <c r="I193" i="15"/>
  <c r="I174" i="15"/>
  <c r="I190" i="15"/>
  <c r="I171" i="15"/>
  <c r="I189" i="15"/>
  <c r="I204" i="15"/>
  <c r="I180" i="15"/>
  <c r="I203" i="15"/>
  <c r="I179" i="15"/>
  <c r="I199" i="15"/>
  <c r="I198" i="15"/>
  <c r="I188" i="15"/>
  <c r="I187" i="15"/>
  <c r="I181" i="15"/>
  <c r="I178" i="15"/>
  <c r="I202" i="15"/>
  <c r="I186" i="15"/>
  <c r="I182" i="15"/>
  <c r="I201" i="15"/>
  <c r="I200" i="15"/>
  <c r="I205" i="15"/>
  <c r="F216" i="20" a="1"/>
  <c r="T74" i="24"/>
  <c r="H102" i="24" s="1" a="1"/>
  <c r="AP60" i="24"/>
  <c r="J147" i="24" s="1"/>
  <c r="L136" i="24"/>
  <c r="L124" i="24"/>
  <c r="L112" i="24"/>
  <c r="L135" i="24"/>
  <c r="L123" i="24"/>
  <c r="L111" i="24"/>
  <c r="L134" i="24"/>
  <c r="L122" i="24"/>
  <c r="L110" i="24"/>
  <c r="L133" i="24"/>
  <c r="L121" i="24"/>
  <c r="L109" i="24"/>
  <c r="L132" i="24"/>
  <c r="L120" i="24"/>
  <c r="L108" i="24"/>
  <c r="L131" i="24"/>
  <c r="L119" i="24"/>
  <c r="L107" i="24"/>
  <c r="L130" i="24"/>
  <c r="L118" i="24"/>
  <c r="L106" i="24"/>
  <c r="L129" i="24"/>
  <c r="L117" i="24"/>
  <c r="L105" i="24"/>
  <c r="L128" i="24"/>
  <c r="L116" i="24"/>
  <c r="L104" i="24"/>
  <c r="L127" i="24"/>
  <c r="L115" i="24"/>
  <c r="L103" i="24"/>
  <c r="L126" i="24"/>
  <c r="L114" i="24"/>
  <c r="L137" i="24"/>
  <c r="L125" i="24"/>
  <c r="L113" i="24"/>
  <c r="L102" i="24"/>
  <c r="K206" i="22"/>
  <c r="G215" i="15"/>
  <c r="F154" i="24"/>
  <c r="L154" i="24" s="1"/>
  <c r="F153" i="24"/>
  <c r="L153" i="24" s="1"/>
  <c r="P59" i="14" s="1"/>
  <c r="Y59" i="14" s="1"/>
  <c r="F152" i="24"/>
  <c r="L152" i="24" s="1"/>
  <c r="P58" i="14" s="1"/>
  <c r="Y58" i="14" s="1"/>
  <c r="F151" i="24"/>
  <c r="L151" i="24" s="1"/>
  <c r="F150" i="24"/>
  <c r="L150" i="24" s="1"/>
  <c r="P56" i="14" s="1"/>
  <c r="Y56" i="14" s="1"/>
  <c r="F149" i="24"/>
  <c r="L149" i="24" s="1"/>
  <c r="P55" i="14" s="1"/>
  <c r="Y55" i="14" s="1"/>
  <c r="F148" i="24"/>
  <c r="L148" i="24" s="1"/>
  <c r="P54" i="14" s="1"/>
  <c r="Y54" i="14" s="1"/>
  <c r="F159" i="24"/>
  <c r="L159" i="24" s="1"/>
  <c r="F147" i="24"/>
  <c r="F158" i="24"/>
  <c r="L158" i="24" s="1"/>
  <c r="P64" i="14" s="1"/>
  <c r="Y64" i="14" s="1"/>
  <c r="F146" i="24"/>
  <c r="L146" i="24" s="1"/>
  <c r="F157" i="24"/>
  <c r="L157" i="24" s="1"/>
  <c r="P63" i="14" s="1"/>
  <c r="Y63" i="14" s="1"/>
  <c r="F156" i="24"/>
  <c r="L156" i="24" s="1"/>
  <c r="P62" i="14" s="1"/>
  <c r="Y62" i="14" s="1"/>
  <c r="F145" i="24"/>
  <c r="L145" i="24" s="1"/>
  <c r="F155" i="24"/>
  <c r="L155" i="24" s="1"/>
  <c r="E197" i="15"/>
  <c r="E185" i="15"/>
  <c r="E173" i="15"/>
  <c r="E199" i="15"/>
  <c r="K199" i="15" s="1"/>
  <c r="E187" i="15"/>
  <c r="E175" i="15"/>
  <c r="K175" i="15" s="1"/>
  <c r="E198" i="15"/>
  <c r="K198" i="15" s="1"/>
  <c r="E186" i="15"/>
  <c r="E174" i="15"/>
  <c r="E200" i="15"/>
  <c r="E182" i="15"/>
  <c r="E196" i="15"/>
  <c r="E181" i="15"/>
  <c r="E193" i="15"/>
  <c r="E176" i="15"/>
  <c r="E192" i="15"/>
  <c r="E172" i="15"/>
  <c r="E191" i="15"/>
  <c r="E190" i="15"/>
  <c r="E171" i="15"/>
  <c r="E188" i="15"/>
  <c r="K188" i="15" s="1"/>
  <c r="E184" i="15"/>
  <c r="K184" i="15" s="1"/>
  <c r="E202" i="15"/>
  <c r="E201" i="15"/>
  <c r="E195" i="15"/>
  <c r="E194" i="15"/>
  <c r="E206" i="15"/>
  <c r="E205" i="15"/>
  <c r="E177" i="15"/>
  <c r="E204" i="15"/>
  <c r="E183" i="15"/>
  <c r="K183" i="15" s="1"/>
  <c r="E180" i="15"/>
  <c r="E203" i="15"/>
  <c r="E179" i="15"/>
  <c r="E189" i="15"/>
  <c r="E178" i="15"/>
  <c r="K200" i="15" l="1"/>
  <c r="K195" i="15"/>
  <c r="K194" i="15"/>
  <c r="K178" i="15"/>
  <c r="K196" i="15"/>
  <c r="P51" i="14"/>
  <c r="Y51" i="14" s="1"/>
  <c r="AC78" i="9"/>
  <c r="AF78" i="9" s="1"/>
  <c r="P52" i="14"/>
  <c r="Y52" i="14" s="1"/>
  <c r="AC159" i="9"/>
  <c r="AF159" i="9" s="1"/>
  <c r="K201" i="15"/>
  <c r="K206" i="15"/>
  <c r="P57" i="14"/>
  <c r="Y57" i="14" s="1"/>
  <c r="BP74" i="9"/>
  <c r="BS74" i="9" s="1"/>
  <c r="P61" i="14"/>
  <c r="Y61" i="14" s="1"/>
  <c r="CL293" i="9"/>
  <c r="CO293" i="9" s="1"/>
  <c r="K203" i="15"/>
  <c r="P60" i="14"/>
  <c r="Y60" i="14" s="1"/>
  <c r="CJ155" i="9"/>
  <c r="CM155" i="9" s="1"/>
  <c r="K190" i="15"/>
  <c r="K187" i="15"/>
  <c r="K179" i="15"/>
  <c r="K186" i="15"/>
  <c r="K189" i="15"/>
  <c r="K204" i="15"/>
  <c r="K205" i="15"/>
  <c r="K191" i="15"/>
  <c r="K172" i="15"/>
  <c r="K173" i="15"/>
  <c r="K193" i="15"/>
  <c r="K185" i="15"/>
  <c r="K181" i="15"/>
  <c r="K197" i="15"/>
  <c r="K177" i="15"/>
  <c r="K192" i="15"/>
  <c r="P65" i="14"/>
  <c r="Y65" i="14" s="1"/>
  <c r="FA161" i="9"/>
  <c r="FD161" i="9" s="1"/>
  <c r="K202" i="15"/>
  <c r="K182" i="15"/>
  <c r="K174" i="15"/>
  <c r="K176" i="15"/>
  <c r="K180" i="15"/>
  <c r="K171" i="15"/>
  <c r="H126" i="24"/>
  <c r="N126" i="24" s="1"/>
  <c r="H114" i="24"/>
  <c r="N114" i="24" s="1"/>
  <c r="H137" i="24"/>
  <c r="N137" i="24" s="1"/>
  <c r="H125" i="24"/>
  <c r="N125" i="24" s="1"/>
  <c r="H113" i="24"/>
  <c r="N113" i="24" s="1"/>
  <c r="H102" i="24"/>
  <c r="N102" i="24" s="1"/>
  <c r="H136" i="24"/>
  <c r="N136" i="24" s="1"/>
  <c r="H124" i="24"/>
  <c r="N124" i="24" s="1"/>
  <c r="H112" i="24"/>
  <c r="N112" i="24" s="1"/>
  <c r="H135" i="24"/>
  <c r="N135" i="24" s="1"/>
  <c r="H123" i="24"/>
  <c r="N123" i="24" s="1"/>
  <c r="H111" i="24"/>
  <c r="N111" i="24" s="1"/>
  <c r="H134" i="24"/>
  <c r="N134" i="24" s="1"/>
  <c r="H122" i="24"/>
  <c r="N122" i="24" s="1"/>
  <c r="H110" i="24"/>
  <c r="N110" i="24" s="1"/>
  <c r="H133" i="24"/>
  <c r="N133" i="24" s="1"/>
  <c r="H121" i="24"/>
  <c r="N121" i="24" s="1"/>
  <c r="H109" i="24"/>
  <c r="N109" i="24" s="1"/>
  <c r="H132" i="24"/>
  <c r="N132" i="24" s="1"/>
  <c r="H120" i="24"/>
  <c r="N120" i="24" s="1"/>
  <c r="H108" i="24"/>
  <c r="N108" i="24" s="1"/>
  <c r="H131" i="24"/>
  <c r="N131" i="24" s="1"/>
  <c r="H119" i="24"/>
  <c r="N119" i="24" s="1"/>
  <c r="H107" i="24"/>
  <c r="N107" i="24" s="1"/>
  <c r="H130" i="24"/>
  <c r="N130" i="24" s="1"/>
  <c r="H118" i="24"/>
  <c r="N118" i="24" s="1"/>
  <c r="H106" i="24"/>
  <c r="N106" i="24" s="1"/>
  <c r="H129" i="24"/>
  <c r="N129" i="24" s="1"/>
  <c r="H117" i="24"/>
  <c r="N117" i="24" s="1"/>
  <c r="H105" i="24"/>
  <c r="N105" i="24" s="1"/>
  <c r="H128" i="24"/>
  <c r="N128" i="24" s="1"/>
  <c r="H116" i="24"/>
  <c r="N116" i="24" s="1"/>
  <c r="H104" i="24"/>
  <c r="N104" i="24" s="1"/>
  <c r="H127" i="24"/>
  <c r="N127" i="24" s="1"/>
  <c r="H115" i="24"/>
  <c r="N115" i="24" s="1"/>
  <c r="H103" i="24"/>
  <c r="N103" i="24" s="1"/>
  <c r="F227" i="20"/>
  <c r="J227" i="20" s="1"/>
  <c r="F216" i="20"/>
  <c r="J216" i="20" s="1"/>
  <c r="F228" i="20"/>
  <c r="J228" i="20" s="1"/>
  <c r="F221" i="20"/>
  <c r="J221" i="20" s="1"/>
  <c r="F220" i="20"/>
  <c r="J220" i="20" s="1"/>
  <c r="F226" i="20"/>
  <c r="J226" i="20" s="1"/>
  <c r="F225" i="20"/>
  <c r="J225" i="20" s="1"/>
  <c r="F224" i="20"/>
  <c r="J224" i="20" s="1"/>
  <c r="F223" i="20"/>
  <c r="J223" i="20" s="1"/>
  <c r="F230" i="20"/>
  <c r="J230" i="20" s="1"/>
  <c r="F229" i="20"/>
  <c r="J229" i="20" s="1"/>
  <c r="F219" i="20"/>
  <c r="J219" i="20" s="1"/>
  <c r="F218" i="20"/>
  <c r="J218" i="20" s="1"/>
  <c r="F217" i="20"/>
  <c r="J217" i="20" s="1"/>
  <c r="F222" i="20"/>
  <c r="J222" i="20" s="1"/>
  <c r="L147" i="24"/>
  <c r="P53" i="14" l="1"/>
  <c r="Y53" i="14" s="1"/>
  <c r="AD242" i="9"/>
  <c r="AG242" i="9" s="1"/>
  <c r="K207" i="15"/>
  <c r="O64" i="14"/>
  <c r="V64" i="14" s="1"/>
  <c r="M64" i="14"/>
  <c r="T64" i="14" s="1"/>
  <c r="O58" i="14"/>
  <c r="V58" i="14" s="1"/>
  <c r="M58" i="14"/>
  <c r="T58" i="14" s="1"/>
  <c r="O59" i="14"/>
  <c r="V59" i="14" s="1"/>
  <c r="M59" i="14"/>
  <c r="T59" i="14" s="1"/>
  <c r="O55" i="14"/>
  <c r="V55" i="14" s="1"/>
  <c r="M55" i="14"/>
  <c r="T55" i="14" s="1"/>
  <c r="O63" i="14"/>
  <c r="V63" i="14" s="1"/>
  <c r="M63" i="14"/>
  <c r="T63" i="14" s="1"/>
  <c r="O52" i="14"/>
  <c r="V52" i="14" s="1"/>
  <c r="M52" i="14"/>
  <c r="T52" i="14" s="1"/>
  <c r="O65" i="14"/>
  <c r="V65" i="14" s="1"/>
  <c r="M65" i="14"/>
  <c r="T65" i="14" s="1"/>
  <c r="O60" i="14"/>
  <c r="V60" i="14" s="1"/>
  <c r="M60" i="14"/>
  <c r="T60" i="14" s="1"/>
  <c r="O61" i="14"/>
  <c r="V61" i="14" s="1"/>
  <c r="M61" i="14"/>
  <c r="T61" i="14" s="1"/>
  <c r="N138" i="24"/>
  <c r="O56" i="14"/>
  <c r="V56" i="14" s="1"/>
  <c r="M56" i="14"/>
  <c r="T56" i="14" s="1"/>
  <c r="O57" i="14"/>
  <c r="V57" i="14" s="1"/>
  <c r="M57" i="14"/>
  <c r="T57" i="14" s="1"/>
  <c r="O51" i="14"/>
  <c r="V51" i="14" s="1"/>
  <c r="M51" i="14"/>
  <c r="T51" i="14" s="1"/>
  <c r="O53" i="14"/>
  <c r="V53" i="14" s="1"/>
  <c r="M53" i="14"/>
  <c r="T53" i="14" s="1"/>
  <c r="O62" i="14"/>
  <c r="V62" i="14" s="1"/>
  <c r="M62" i="14"/>
  <c r="T62" i="14" s="1"/>
  <c r="O54" i="14"/>
  <c r="V54" i="14" s="1"/>
  <c r="M54" i="14"/>
  <c r="T54" i="14" s="1"/>
</calcChain>
</file>

<file path=xl/sharedStrings.xml><?xml version="1.0" encoding="utf-8"?>
<sst xmlns="http://schemas.openxmlformats.org/spreadsheetml/2006/main" count="7648" uniqueCount="799">
  <si>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</si>
  <si>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</si>
  <si>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</si>
  <si>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</si>
  <si>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</si>
  <si>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</si>
  <si>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</si>
  <si>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</si>
  <si>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</si>
  <si>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</si>
  <si>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</si>
  <si>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</si>
  <si>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</si>
  <si>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</si>
  <si>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</si>
  <si>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</si>
  <si>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</si>
  <si>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</si>
  <si>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</si>
  <si>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</si>
  <si>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</si>
  <si>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</si>
  <si>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</si>
  <si>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</si>
  <si>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</si>
  <si>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</si>
  <si>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</si>
  <si>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</si>
  <si>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</si>
  <si>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</si>
  <si>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</si>
  <si>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</si>
  <si>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</si>
  <si>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</si>
  <si>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</si>
  <si>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</si>
  <si>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</si>
  <si>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</si>
  <si>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</si>
  <si>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</si>
  <si>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</si>
  <si>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</si>
  <si>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</si>
  <si>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</si>
  <si>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</si>
  <si>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</si>
  <si>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</si>
  <si>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</si>
  <si>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</si>
  <si>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</si>
  <si>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</si>
  <si>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</si>
  <si>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</si>
  <si>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</si>
  <si>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</si>
  <si>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</si>
  <si>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</si>
  <si>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</si>
  <si>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</si>
  <si>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</si>
  <si>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</si>
  <si>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</si>
  <si>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</si>
  <si>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</si>
  <si>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</si>
  <si>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</si>
  <si>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</si>
  <si>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</si>
  <si>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</si>
  <si>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</si>
  <si>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</si>
  <si>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</si>
  <si>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</si>
  <si>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</si>
  <si>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</si>
  <si>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</si>
  <si>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Mixer</t>
  </si>
  <si>
    <t>[kJ/kJ]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</si>
  <si>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</si>
  <si>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</si>
  <si>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</si>
  <si>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</si>
  <si>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</si>
  <si>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</si>
  <si>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</si>
  <si>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</si>
  <si>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</si>
  <si>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</si>
  <si>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</si>
  <si>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</si>
  <si>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</si>
  <si>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</si>
  <si>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</si>
  <si>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</si>
  <si>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</si>
  <si>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</si>
  <si>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</si>
  <si>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</si>
  <si>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</si>
  <si>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</si>
  <si>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</si>
  <si>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</si>
  <si>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</si>
  <si>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</si>
  <si>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</si>
  <si>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</si>
  <si>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</si>
  <si>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</si>
  <si>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</si>
  <si>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</si>
  <si>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</si>
  <si>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</si>
  <si>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</si>
  <si>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</si>
  <si>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</si>
  <si>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</si>
  <si>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</si>
  <si>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</si>
  <si>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</si>
  <si>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</si>
  <si>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</si>
  <si>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</si>
  <si>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</si>
  <si>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</si>
  <si>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</si>
  <si>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</si>
  <si>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</si>
  <si>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</si>
  <si>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</si>
  <si>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</si>
  <si>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</si>
  <si>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</si>
  <si>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</si>
  <si>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</si>
  <si>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</si>
  <si>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</si>
  <si>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</si>
  <si>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</si>
  <si>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</si>
  <si>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</si>
  <si>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</si>
  <si>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</si>
  <si>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</si>
  <si>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</si>
  <si>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</si>
  <si>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</si>
  <si>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</si>
  <si>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</si>
  <si>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</si>
  <si>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</si>
  <si>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</si>
  <si>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</si>
  <si>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</si>
  <si>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</si>
  <si>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</si>
  <si>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</si>
  <si>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</si>
  <si>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</si>
  <si>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</si>
  <si>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</si>
  <si>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</si>
  <si>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</si>
  <si>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</si>
  <si>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</si>
  <si>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</si>
  <si>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</si>
  <si>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</si>
  <si>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</si>
  <si>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</si>
  <si>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</si>
  <si>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</si>
  <si>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</si>
  <si>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</si>
  <si>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</si>
  <si>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</si>
  <si>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</si>
  <si>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</si>
  <si>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</si>
  <si>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</si>
  <si>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</si>
  <si>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</si>
  <si>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</si>
  <si>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</si>
  <si>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</si>
  <si>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</si>
  <si>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</si>
  <si>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</si>
  <si>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</si>
  <si>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</si>
  <si>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</si>
  <si>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</si>
  <si>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</si>
  <si>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</si>
  <si>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</si>
  <si>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</si>
  <si>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</si>
  <si>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</si>
  <si>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</si>
  <si>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</si>
  <si>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</si>
  <si>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</si>
  <si>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</si>
  <si>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</si>
  <si>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</si>
  <si>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</si>
  <si>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</si>
  <si>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</si>
  <si>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</si>
  <si>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</si>
  <si>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</si>
  <si>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</si>
  <si>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</si>
  <si>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</si>
  <si>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</si>
  <si>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</si>
  <si>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</si>
  <si>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</si>
  <si>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</si>
  <si>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</si>
  <si>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</si>
  <si>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</si>
  <si>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</si>
  <si>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</si>
  <si>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</si>
  <si>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</si>
  <si>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</si>
  <si>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</si>
  <si>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</si>
  <si>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</si>
  <si>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</si>
  <si>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</si>
  <si>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</si>
  <si>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</si>
  <si>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</si>
  <si>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</si>
  <si>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</si>
  <si>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</si>
  <si>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</si>
  <si>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</si>
  <si>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</si>
  <si>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</si>
  <si>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</si>
  <si>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</si>
  <si>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</si>
  <si>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</si>
  <si>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</si>
  <si>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</si>
  <si>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</si>
  <si>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</si>
  <si>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</si>
  <si>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</si>
  <si>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</si>
  <si>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</si>
  <si>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</si>
  <si>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</si>
  <si>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</si>
  <si>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</si>
  <si>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</si>
  <si>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</si>
  <si>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</si>
  <si>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</si>
  <si>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</si>
  <si>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</si>
  <si>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</si>
  <si>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</si>
  <si>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</si>
  <si>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</si>
  <si>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</si>
  <si>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</si>
  <si>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</si>
  <si>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</si>
  <si>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</si>
  <si>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</si>
  <si>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</si>
  <si>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</si>
  <si>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</si>
  <si>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</si>
  <si>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</si>
  <si>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</si>
  <si>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</si>
  <si>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</si>
  <si>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</si>
  <si>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</si>
  <si>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</si>
  <si>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</si>
  <si>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</si>
  <si>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</si>
  <si>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</si>
  <si>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</si>
  <si>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</si>
  <si>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</si>
  <si>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</si>
  <si>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</si>
  <si>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</si>
  <si>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</si>
  <si>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</si>
  <si>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Coke Oven</t>
  </si>
  <si>
    <t>Ash</t>
  </si>
  <si>
    <t>Ratio</t>
  </si>
  <si>
    <t>[mol H]</t>
  </si>
  <si>
    <t>[mol O]</t>
  </si>
  <si>
    <t>[mol N]</t>
  </si>
  <si>
    <t>[mol Coal]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</si>
  <si>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</si>
  <si>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</si>
  <si>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</si>
  <si>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</si>
  <si>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</si>
  <si>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</si>
  <si>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</si>
  <si>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</si>
  <si>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</si>
  <si>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</si>
  <si>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</si>
  <si>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</si>
  <si>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</si>
  <si>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</si>
  <si>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</si>
  <si>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Resource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</si>
  <si>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</si>
  <si>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</si>
  <si>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</si>
  <si>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</si>
  <si>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</si>
  <si>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</si>
  <si>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</si>
  <si>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</si>
  <si>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</si>
  <si>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</si>
  <si>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</si>
  <si>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</si>
  <si>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</si>
  <si>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</si>
  <si>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</si>
  <si>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</si>
  <si>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</si>
  <si>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</si>
  <si>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</si>
  <si>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</si>
  <si>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</si>
  <si>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</si>
  <si>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</si>
  <si>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</si>
  <si>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</si>
  <si>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</si>
  <si>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</si>
  <si>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</si>
  <si>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</si>
  <si>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</si>
  <si>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</si>
  <si>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</si>
  <si>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</si>
  <si>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</si>
  <si>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</si>
  <si>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</si>
  <si>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</si>
  <si>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</si>
  <si>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</si>
  <si>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>To BF</t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</si>
  <si>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</si>
  <si>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</si>
  <si>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</si>
  <si>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</si>
  <si>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</si>
  <si>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</si>
  <si>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</si>
  <si>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</si>
  <si>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</si>
  <si>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</si>
  <si>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</si>
  <si>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</si>
  <si>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</si>
  <si>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</si>
  <si>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</si>
  <si>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</si>
  <si>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</si>
  <si>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</si>
  <si>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</si>
  <si>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</si>
  <si>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</si>
  <si>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</si>
  <si>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</si>
  <si>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</si>
  <si>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</si>
  <si>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</si>
  <si>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</si>
  <si>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</si>
  <si>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</si>
  <si>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</si>
  <si>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</si>
  <si>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</si>
  <si>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</si>
  <si>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</si>
  <si>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</si>
  <si>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</si>
  <si>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</si>
  <si>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</si>
  <si>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</si>
  <si>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</si>
  <si>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</si>
  <si>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</si>
  <si>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</si>
  <si>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</si>
  <si>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</si>
  <si>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</si>
  <si>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</si>
  <si>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</si>
  <si>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</si>
  <si>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</si>
  <si>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</si>
  <si>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</si>
  <si>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</si>
  <si>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</si>
  <si>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</si>
  <si>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</si>
  <si>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</si>
  <si>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</si>
  <si>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</si>
  <si>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</si>
  <si>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</si>
  <si>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</si>
  <si>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</si>
  <si>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</si>
  <si>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</si>
  <si>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</si>
  <si>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</si>
  <si>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</si>
  <si>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</si>
  <si>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</si>
  <si>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</si>
  <si>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</si>
  <si>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</si>
  <si>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</si>
  <si>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</si>
  <si>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</si>
  <si>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</si>
  <si>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</si>
  <si>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</si>
  <si>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</si>
  <si>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</si>
  <si>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</si>
  <si>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</si>
  <si>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</si>
  <si>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</si>
  <si>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</si>
  <si>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</si>
  <si>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</si>
  <si>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</si>
  <si>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</si>
  <si>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</si>
  <si>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</si>
  <si>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</si>
  <si>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</si>
  <si>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</si>
  <si>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</si>
  <si>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</si>
  <si>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</si>
  <si>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</si>
  <si>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</si>
  <si>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</si>
  <si>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</si>
  <si>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</si>
  <si>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</si>
  <si>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</si>
  <si>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</si>
  <si>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</si>
  <si>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</si>
  <si>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</si>
  <si>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</si>
  <si>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</si>
  <si>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</si>
  <si>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</si>
  <si>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</si>
  <si>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</si>
  <si>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</si>
  <si>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</si>
  <si>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</si>
  <si>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</si>
  <si>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</si>
  <si>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</si>
  <si>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</si>
  <si>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</si>
  <si>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</si>
  <si>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[kJ/mol-K]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</si>
  <si>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</si>
  <si>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</si>
  <si>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</si>
  <si>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</si>
  <si>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</si>
  <si>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</si>
  <si>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</si>
  <si>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</si>
  <si>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</si>
  <si>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φ base</t>
  </si>
  <si>
    <t xml:space="preserve">φ </t>
  </si>
  <si>
    <t>b_ch_diesel</t>
  </si>
  <si>
    <t>constant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</si>
  <si>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</si>
  <si>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</si>
  <si>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</si>
  <si>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</si>
  <si>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</si>
  <si>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</si>
  <si>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</si>
  <si>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</si>
  <si>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</si>
  <si>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Treated COG to Blast furnace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</si>
  <si>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</si>
  <si>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</si>
  <si>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</si>
  <si>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</si>
  <si>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</si>
  <si>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</si>
  <si>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</si>
  <si>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</si>
  <si>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</si>
  <si>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COG distribution</t>
  </si>
  <si>
    <t>Treated coke oven gas [from COG distribution]</t>
  </si>
  <si>
    <t>h not expdcted to balance bc dist. Node</t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</si>
  <si>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</si>
  <si>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</si>
  <si>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</si>
  <si>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</si>
  <si>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</si>
  <si>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</si>
  <si>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</si>
  <si>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</si>
  <si>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</si>
  <si>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</si>
  <si>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</si>
  <si>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</si>
  <si>
    <t>Tar Out</t>
  </si>
  <si>
    <t>Ash Out</t>
  </si>
  <si>
    <t>Coke Out</t>
  </si>
  <si>
    <t>COG Out</t>
  </si>
  <si>
    <t>Naphthalene</t>
  </si>
  <si>
    <r>
      <t>C</t>
    </r>
    <r>
      <rPr>
        <vertAlign val="subscript"/>
        <sz val="11"/>
        <color theme="1"/>
        <rFont val="Aptos Narrow (Body)"/>
      </rPr>
      <t>24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26</t>
    </r>
  </si>
  <si>
    <t>Pyrene</t>
  </si>
  <si>
    <t>Phenanthrene</t>
  </si>
  <si>
    <t>Fluoranthene</t>
  </si>
  <si>
    <t>Acenaphthylene</t>
  </si>
  <si>
    <t>Fluorene</t>
  </si>
  <si>
    <t>Chrysene</t>
  </si>
  <si>
    <r>
      <t>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</si>
  <si>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https://www.chemeo.com/cid/46-032-5/Fluorene</t>
  </si>
  <si>
    <r>
      <t>C</t>
    </r>
    <r>
      <rPr>
        <vertAlign val="subscript"/>
        <sz val="11"/>
        <color theme="1"/>
        <rFont val="Aptos Narrow (Body)"/>
      </rPr>
      <t>13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</si>
  <si>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rgb="FF000000"/>
        <rFont val="Calibri"/>
        <family val="2"/>
      </rPr>
      <t>18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12</t>
    </r>
  </si>
  <si>
    <t>Pitch</t>
  </si>
  <si>
    <t>Low-volatile bituminous</t>
  </si>
  <si>
    <t>NG</t>
  </si>
  <si>
    <t>[mol S]</t>
  </si>
  <si>
    <t>[mol Coke]</t>
  </si>
  <si>
    <t>Tar [from Coke oven]</t>
  </si>
  <si>
    <t>Table for ratio of COG, table for composition</t>
  </si>
  <si>
    <t>Table for ratio of Coke, table for coke comp.</t>
  </si>
  <si>
    <t>Divide mol coal by for mol j amount</t>
  </si>
  <si>
    <t>Divide mol coke by for mol j amount</t>
  </si>
  <si>
    <r>
      <t xml:space="preserve">Kolling,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</si>
  <si>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r>
      <t xml:space="preserve">Apicella, Barbara; Tregrossi, Antonio; Stanzione, Fernando; Ciajolo, Anna; Russo, Carmela, </t>
    </r>
    <r>
      <rPr>
        <i/>
        <sz val="11"/>
        <color theme="1"/>
        <rFont val="Aptos Narrow"/>
        <scheme val="minor"/>
      </rPr>
      <t>Analysis of Petroleum and Coal Tar Pitches as Large PAH</t>
    </r>
    <r>
      <rPr>
        <sz val="11"/>
        <color theme="1"/>
        <rFont val="Aptos Narrow"/>
        <scheme val="minor"/>
      </rPr>
      <t>, Aidic, Napoli, Italy, 2017, Vol.57, Table 1</t>
    </r>
  </si>
  <si>
    <t>To Iron and Steel</t>
  </si>
  <si>
    <t>MW Coke</t>
  </si>
  <si>
    <r>
      <t>SO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</si>
  <si>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SO</t>
    </r>
    <r>
      <rPr>
        <vertAlign val="subscript"/>
        <sz val="12"/>
        <color rgb="FF000000"/>
        <rFont val="Aptos Narrow"/>
        <family val="2"/>
        <scheme val="minor"/>
      </rPr>
      <t>2</t>
    </r>
  </si>
  <si>
    <t>Coke combustion in Blast furnace</t>
  </si>
  <si>
    <r>
      <t>CO</t>
    </r>
    <r>
      <rPr>
        <vertAlign val="subscript"/>
        <sz val="12"/>
        <color rgb="FFFF0000"/>
        <rFont val="Aptos Narrow"/>
        <family val="2"/>
        <scheme val="minor"/>
      </rPr>
      <t>2</t>
    </r>
  </si>
  <si>
    <t>Already accounted for</t>
  </si>
  <si>
    <t>kJ/mol</t>
  </si>
  <si>
    <r>
      <t xml:space="preserve">Kölling,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</si>
  <si>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t xml:space="preserve">https://pubs.geoscienceworld.org/msa/ammin/article-abstract/79/1-2/134/42837/Enthalpy-of-formation-of-wollastonite-CaSiO3-and </t>
  </si>
  <si>
    <t>h_fg</t>
  </si>
  <si>
    <t>Kiln Energy Ratio</t>
  </si>
  <si>
    <t>Ibrahim Qasim, Adrian Gunnarsson, Fredrik Normann, Bodil Wilhelmsson, Alexander Zether, and Klas Andersson, Industrial &amp; Engineering Chemistry Research 2025 64 (23), 11531-11543, DOI: 10.1021/acs.iecr.5c00704</t>
  </si>
  <si>
    <r>
      <t>C</t>
    </r>
    <r>
      <rPr>
        <vertAlign val="sub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</si>
  <si>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t>Kiln Energy</t>
  </si>
  <si>
    <t>[kg CH4/ kg lime]</t>
  </si>
  <si>
    <t>Kiln Ratio from constants</t>
  </si>
  <si>
    <t>Energy balance across industries</t>
  </si>
  <si>
    <r>
      <t>(</t>
    </r>
    <r>
      <rPr>
        <b/>
        <sz val="11"/>
        <color rgb="FF000000"/>
        <rFont val="Aptos Narrow"/>
      </rPr>
      <t>iU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rgb="FF000000"/>
        <rFont val="Aptos Narrow (Body)"/>
      </rPr>
      <t>T</t>
    </r>
  </si>
  <si>
    <t>Q_loss</t>
  </si>
  <si>
    <r>
      <t>MW</t>
    </r>
    <r>
      <rPr>
        <vertAlign val="subscript"/>
        <sz val="12"/>
        <color rgb="FF000000"/>
        <rFont val="Aptos Narrow (Body)"/>
      </rPr>
      <t>i</t>
    </r>
  </si>
  <si>
    <r>
      <t>c</t>
    </r>
    <r>
      <rPr>
        <vertAlign val="subscript"/>
        <sz val="12"/>
        <color rgb="FF000000"/>
        <rFont val="Aptos Narrow (Body)"/>
      </rPr>
      <t>p,i</t>
    </r>
  </si>
  <si>
    <t>Δh</t>
  </si>
  <si>
    <t>Δs</t>
  </si>
  <si>
    <r>
      <t>T</t>
    </r>
    <r>
      <rPr>
        <vertAlign val="subscript"/>
        <sz val="11"/>
        <color theme="1"/>
        <rFont val="Aptos Narrow (Body)"/>
      </rPr>
      <t>0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</si>
  <si>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</si>
  <si>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F</t>
    </r>
    <r>
      <rPr>
        <vertAlign val="subscript"/>
        <sz val="11"/>
        <color theme="1"/>
        <rFont val="Aptos Narrow (Body)"/>
      </rPr>
      <t>r</t>
    </r>
  </si>
  <si>
    <r>
      <t>[J / m</t>
    </r>
    <r>
      <rPr>
        <vertAlign val="super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</si>
  <si>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t>dM</t>
  </si>
  <si>
    <t>Constant</t>
  </si>
  <si>
    <r>
      <t>[m</t>
    </r>
    <r>
      <rPr>
        <vertAlign val="super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/kg]</t>
    </r>
  </si>
  <si>
    <r>
      <t>b</t>
    </r>
    <r>
      <rPr>
        <vertAlign val="subscript"/>
        <sz val="11"/>
        <color theme="1"/>
        <rFont val="Aptos Narrow (Body)"/>
      </rPr>
      <t>com</t>
    </r>
  </si>
  <si>
    <t>Conversion</t>
  </si>
  <si>
    <t>[kJ / J]</t>
  </si>
  <si>
    <t>[m]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</si>
  <si>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ph,m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</si>
  <si>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</si>
  <si>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</si>
  <si>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com,i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</si>
  <si>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tot,m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</si>
  <si>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</si>
  <si>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Process</t>
  </si>
  <si>
    <t>Efficiencies Calc Example</t>
  </si>
  <si>
    <t>NA</t>
  </si>
  <si>
    <t>The exergy method of thermal plant analysis,T. J. Kotas,, chapterAppendix C.3. Krieger Publishing Company, Malabar, Florida, 1995</t>
  </si>
  <si>
    <t>Treated COG</t>
  </si>
  <si>
    <t>https://www.ispatguru.com/coke-oven-gas-generation-and-usage/</t>
  </si>
  <si>
    <t>Tab.2</t>
  </si>
  <si>
    <t>Total</t>
  </si>
  <si>
    <t>Used to calculate b</t>
  </si>
  <si>
    <t>Used to calculate phi</t>
  </si>
  <si>
    <r>
      <t>b</t>
    </r>
    <r>
      <rPr>
        <b/>
        <vertAlign val="subscript"/>
        <sz val="14"/>
        <color rgb="FF000000"/>
        <rFont val="Aptos Narrow"/>
        <scheme val="minor"/>
      </rPr>
      <t>ch,i</t>
    </r>
  </si>
  <si>
    <r>
      <t>b</t>
    </r>
    <r>
      <rPr>
        <b/>
        <vertAlign val="subscript"/>
        <sz val="14"/>
        <color theme="1"/>
        <rFont val="Aptos Narrow (Body)"/>
      </rPr>
      <t>ph,i</t>
    </r>
  </si>
  <si>
    <t>Limestone statepoint [from Ore to PI MCC]</t>
  </si>
  <si>
    <r>
      <t>b</t>
    </r>
    <r>
      <rPr>
        <b/>
        <vertAlign val="subscript"/>
        <sz val="14"/>
        <color theme="1"/>
        <rFont val="Aptos Narrow (Body)"/>
      </rPr>
      <t>c,i</t>
    </r>
  </si>
  <si>
    <r>
      <t>b</t>
    </r>
    <r>
      <rPr>
        <b/>
        <vertAlign val="subscript"/>
        <sz val="14"/>
        <color theme="1"/>
        <rFont val="Aptos Narrow (Body)"/>
      </rPr>
      <t>com,i</t>
    </r>
  </si>
  <si>
    <r>
      <t>b</t>
    </r>
    <r>
      <rPr>
        <b/>
        <vertAlign val="subscript"/>
        <sz val="14"/>
        <color theme="1"/>
        <rFont val="Aptos Narrow (Body)"/>
      </rPr>
      <t>tot,m</t>
    </r>
  </si>
  <si>
    <t>W</t>
  </si>
  <si>
    <t>y ln(y)</t>
  </si>
  <si>
    <r>
      <t>n R T</t>
    </r>
    <r>
      <rPr>
        <vertAlign val="subscript"/>
        <sz val="11"/>
        <color theme="1"/>
        <rFont val="Aptos Narrow (Body)"/>
      </rPr>
      <t>0</t>
    </r>
    <r>
      <rPr>
        <sz val="11"/>
        <color theme="1"/>
        <rFont val="Aptos Narrow"/>
        <family val="2"/>
        <scheme val="minor"/>
      </rPr>
      <t xml:space="preserve"> y ln(y)</t>
    </r>
  </si>
  <si>
    <t>MW not expdcted to balance bc dist. Node</t>
  </si>
  <si>
    <r>
      <t>ratio of 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</si>
  <si>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@book{Dincer_2007,</t>
  </si>
  <si>
    <t>author = {Dincer, Ibrahim and Rosen, Marc A.},</t>
  </si>
  <si>
    <t>date-added = {2025-07-08 11:35:24 -0400},</t>
  </si>
  <si>
    <t>date-modified = {2025-07-08 11:39:19 -0400},</t>
  </si>
  <si>
    <t>keywords = {efficiency methods},</t>
  </si>
  <si>
    <t>publisher = {Elsevier},</t>
  </si>
  <si>
    <t>title = {Exergy, Energy, Environment, and Sustainable Developement},</t>
  </si>
  <si>
    <t>year = {2007}}</t>
  </si>
  <si>
    <t>$Q_{loss}$ [kJ]</t>
  </si>
  <si>
    <t>$m_{loss}$ [kg]</t>
  </si>
  <si>
    <t>$\eta_{rational}$ [\%]</t>
  </si>
  <si>
    <t>$\eta_{resource}$ [\%]</t>
  </si>
  <si>
    <t>$I_{BCC}$ [kJ]</t>
  </si>
  <si>
    <t>$I_{XCC}$ [kJ]</t>
  </si>
  <si>
    <t>$I_{BXCC}$ [kJ]</t>
  </si>
  <si>
    <r>
      <t>[kJ</t>
    </r>
    <r>
      <rPr>
        <vertAlign val="subscript"/>
        <sz val="11"/>
        <color rgb="FF000000"/>
        <rFont val="Calibri"/>
        <family val="2"/>
      </rPr>
      <t>ch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</si>
  <si>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theme="1"/>
        <rFont val="Aptos Narrow"/>
      </rPr>
      <t>c</t>
    </r>
    <r>
      <rPr>
        <sz val="11"/>
        <color theme="1"/>
        <rFont val="Aptos Narrow"/>
      </rPr>
      <t>/mol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]</t>
    </r>
  </si>
  <si>
    <r>
      <t>[kJ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/mol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]</t>
    </r>
  </si>
  <si>
    <t>Mixture</t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</si>
  <si>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</si>
  <si>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/>
  </si>
  <si>
    <t>Anthracite [from Coke oven]</t>
  </si>
  <si>
    <t>Ash [from Coke oven]</t>
  </si>
  <si>
    <t>Blast furnace gas [from Blast furnace]</t>
  </si>
  <si>
    <t>Blast furnace mixture [from Mixer]</t>
  </si>
  <si>
    <t>Coal [from Coal beneficiation]</t>
  </si>
  <si>
    <t>Coal [from Coal extraction]</t>
  </si>
  <si>
    <t>Coal [from Coal hauling]</t>
  </si>
  <si>
    <t>Coal [from Resources]</t>
  </si>
  <si>
    <t>Coke oven gas [from Coke oven]</t>
  </si>
  <si>
    <t>Combustion Air [from Resources]</t>
  </si>
  <si>
    <t>Combustion emissions [from Coal extraction]</t>
  </si>
  <si>
    <t>Combustion emissions [from Coke oven]</t>
  </si>
  <si>
    <t>Combustion emissions [from Iron ore extraction]</t>
  </si>
  <si>
    <t>Combustion emissions [from Limestone extraction]</t>
  </si>
  <si>
    <t>Electricity</t>
  </si>
  <si>
    <t>Fuel oil</t>
  </si>
  <si>
    <t>Gas/diesel oil excl. biofuels</t>
  </si>
  <si>
    <t>Iron ore [from Iron ore beneficiation]</t>
  </si>
  <si>
    <t>Iron ore [from Iron ore extraction]</t>
  </si>
  <si>
    <t>Iron ore [from Iron ore hauling]</t>
  </si>
  <si>
    <t>Iron ore [from Resources]</t>
  </si>
  <si>
    <t>Iron ore impurities [from Iron ore beneficiation]</t>
  </si>
  <si>
    <t>Kiln emissions [from Rotary kiln]</t>
  </si>
  <si>
    <t>Limestone [from Limestone beneficiation]</t>
  </si>
  <si>
    <t>Limestone [from Limestone extraction]</t>
  </si>
  <si>
    <t>Limestone [from Limestone hauling]</t>
  </si>
  <si>
    <t>Limestone [from Resources]</t>
  </si>
  <si>
    <t>Magnesium oxide [from Rotary kiln]</t>
  </si>
  <si>
    <t>Motor gasoline excl. biofuels</t>
  </si>
  <si>
    <t>Natural gas</t>
  </si>
  <si>
    <t>Pig iron [from Blast furnace]</t>
  </si>
  <si>
    <t>Pig iron slag [from Blast furnace]</t>
  </si>
  <si>
    <t>Quicklime [from Rotary kiln]</t>
  </si>
  <si>
    <t>Tar [from Coke oven]</t>
  </si>
  <si>
    <t>Treated coke oven gas [from COG distribution]</t>
  </si>
  <si>
    <t>Treated coke oven gas [from COG treatment]</t>
  </si>
  <si>
    <t>Resources [of Iron ore]</t>
  </si>
  <si>
    <t>Resources [of Limestone]</t>
  </si>
  <si>
    <t>Resources [of Coal]</t>
  </si>
  <si>
    <t>Resources [of Combustion air]</t>
  </si>
  <si>
    <t>R</t>
  </si>
  <si>
    <t>Blast furnace</t>
  </si>
  <si>
    <t>Coal beneficiation</t>
  </si>
  <si>
    <t>Coal extraction</t>
  </si>
  <si>
    <t>Coal hauling</t>
  </si>
  <si>
    <t>COG distribution</t>
  </si>
  <si>
    <t>COG treatment</t>
  </si>
  <si>
    <t>Coke oven</t>
  </si>
  <si>
    <t>Iron ore beneficiation</t>
  </si>
  <si>
    <t>Iron ore extraction</t>
  </si>
  <si>
    <t>Iron ore hauling</t>
  </si>
  <si>
    <t>Limestone beneficiation</t>
  </si>
  <si>
    <t>Limestone extraction</t>
  </si>
  <si>
    <t>Limestone hauling</t>
  </si>
  <si>
    <t>Mixer</t>
  </si>
  <si>
    <t>Rotary kiln</t>
  </si>
  <si>
    <t>U</t>
  </si>
  <si>
    <t>V</t>
  </si>
  <si>
    <t>Iron and steel</t>
  </si>
  <si>
    <t>Waste</t>
  </si>
  <si>
    <t>Y</t>
  </si>
  <si>
    <t>r_EIOU</t>
  </si>
  <si>
    <t>U_EIOU</t>
  </si>
  <si>
    <t>U_feed</t>
  </si>
  <si>
    <t>kJ</t>
  </si>
  <si>
    <t>S_units</t>
  </si>
  <si>
    <t>Anthracite [from Resources]</t>
  </si>
  <si>
    <t>Coking coal [from Resources]</t>
  </si>
  <si>
    <t>Crude oil</t>
  </si>
  <si>
    <t>Crude oil [from Resources]</t>
  </si>
  <si>
    <t>Hydro</t>
  </si>
  <si>
    <t>Hydro [from Resources]</t>
  </si>
  <si>
    <t>Natural gas [from Resources]</t>
  </si>
  <si>
    <t>Natural gas liquids</t>
  </si>
  <si>
    <t>Natural gas liquids [from Resources]</t>
  </si>
  <si>
    <t>Nuclear</t>
  </si>
  <si>
    <t>Nuclear [from Resources]</t>
  </si>
  <si>
    <t>Other bituminous coal</t>
  </si>
  <si>
    <t>Other bituminous coal [from Resources]</t>
  </si>
  <si>
    <t>Other hydrocarbons</t>
  </si>
  <si>
    <t>Primary solid biofuels</t>
  </si>
  <si>
    <t>Primary solid biofuels [from Resources]</t>
  </si>
  <si>
    <t>Refinery gas</t>
  </si>
  <si>
    <t>Solar photovoltaics</t>
  </si>
  <si>
    <t>Solar photovoltaics [from Resources]</t>
  </si>
  <si>
    <t>Wind</t>
  </si>
  <si>
    <t>Wind [from Resources]</t>
  </si>
  <si>
    <t>Imports [of Crude oil]</t>
  </si>
  <si>
    <t>Imports [of Electricity]</t>
  </si>
  <si>
    <t>Imports [of Fuel oil]</t>
  </si>
  <si>
    <t>Imports [of Gas/diesel oil excl. biofuels]</t>
  </si>
  <si>
    <t>Imports [of Motor gasoline excl. biofuels]</t>
  </si>
  <si>
    <t>Imports [of Natural gas]</t>
  </si>
  <si>
    <t>Imports [of Primary solid biofuels]</t>
  </si>
  <si>
    <t>Resources [of Anthracite]</t>
  </si>
  <si>
    <t>Resources [of Coking coal]</t>
  </si>
  <si>
    <t>Resources [of Crude oil]</t>
  </si>
  <si>
    <t>Resources [of Hydro]</t>
  </si>
  <si>
    <t>Resources [of Natural gas liquids]</t>
  </si>
  <si>
    <t>Resources [of Natural gas]</t>
  </si>
  <si>
    <t>Resources [of Nuclear]</t>
  </si>
  <si>
    <t>Resources [of Other bituminous coal]</t>
  </si>
  <si>
    <t>Resources [of Primary solid biofuels]</t>
  </si>
  <si>
    <t>Resources [of Solar photovoltaics]</t>
  </si>
  <si>
    <t>Resources [of Wind]</t>
  </si>
  <si>
    <t>Statistical differences</t>
  </si>
  <si>
    <t>Stock changes [of Crude oil]</t>
  </si>
  <si>
    <t>Coal liquefaction plants</t>
  </si>
  <si>
    <t>Coal mines</t>
  </si>
  <si>
    <t>Gas-to-liquids (GTL) plants</t>
  </si>
  <si>
    <t>Main activity producer electricity plants</t>
  </si>
  <si>
    <t>Manufacture [of Hydro]</t>
  </si>
  <si>
    <t>Manufacture [of Nuclear]</t>
  </si>
  <si>
    <t>Manufacture [of Primary solid biofuels]</t>
  </si>
  <si>
    <t>Manufacture [of Solar photovoltaics]</t>
  </si>
  <si>
    <t>Manufacture [of Wind]</t>
  </si>
  <si>
    <t>Natural gas extraction</t>
  </si>
  <si>
    <t>Nuclear industry</t>
  </si>
  <si>
    <t>Oil extraction</t>
  </si>
  <si>
    <t>Oil refineries</t>
  </si>
  <si>
    <t>Transfers</t>
  </si>
  <si>
    <t>Anthracite</t>
  </si>
  <si>
    <t>Aviation gasoline</t>
  </si>
  <si>
    <t>Bitumen</t>
  </si>
  <si>
    <t>Blast furnace gas</t>
  </si>
  <si>
    <t>Charcoal</t>
  </si>
  <si>
    <t>Coke oven coke</t>
  </si>
  <si>
    <t>Coke oven gas</t>
  </si>
  <si>
    <t>Coking coal</t>
  </si>
  <si>
    <t>Gas works gas</t>
  </si>
  <si>
    <t>Kerosene type jet fuel excl. biofuels</t>
  </si>
  <si>
    <t>Liquefied petroleum gases (LPG)</t>
  </si>
  <si>
    <t>Lubricants</t>
  </si>
  <si>
    <t>Other kerosene</t>
  </si>
  <si>
    <t>Other oil products</t>
  </si>
  <si>
    <t>Paraffin waxes</t>
  </si>
  <si>
    <t>Solar thermal</t>
  </si>
  <si>
    <t>Solar thermal [from Resources]</t>
  </si>
  <si>
    <t>White spirit &amp; SBP</t>
  </si>
  <si>
    <t>Q loss [from Blast furnace]</t>
  </si>
  <si>
    <t>Q</t>
  </si>
  <si>
    <t>Q_actual</t>
  </si>
  <si>
    <t>Q loss from [from Rotary kiln]</t>
  </si>
  <si>
    <t>Q loss from [from Coke oven]</t>
  </si>
  <si>
    <t xml:space="preserve">https://www.advancedenergy.com/getmedia/fffbe6eb-14ab-46b2-8b14-eb04ea9883ff/en-im-steel-coke-oven-application-note.pdf </t>
  </si>
  <si>
    <t>Q loss from [from Iron ore beneficiation]</t>
  </si>
  <si>
    <t xml:space="preserve">Zhou, Xianlin &amp; Zhu, De-qing &amp; Pan, Jian &amp; Wu, Tengjiao. (2015). Utilization of Waste Copper Slag to Produce Directly Reduced Iron for Weathering Resistant Steel. 10.13140/RG.2.1.4436.3368. </t>
  </si>
  <si>
    <t>Q loss from [from Coal extraction]</t>
  </si>
  <si>
    <t>Q loss from [from COG treatment]</t>
  </si>
  <si>
    <t>https://ifrf.net/research/handbook/what-are-the-combustion-and-flue-gas-properties-of-coke-oven-gas/#:~:text=The%20high%20hydrogen%20concentration%20in,gas%20flame%20at%20stoichiometric%20conditions.</t>
  </si>
  <si>
    <t>Q loss from [from Coal hauling]</t>
  </si>
  <si>
    <t>Q loss from [from Coal beneficiation]</t>
  </si>
  <si>
    <t>Q loss from [from Limestone extraction]</t>
  </si>
  <si>
    <t>Q loss from [from Iron ore extraction]</t>
  </si>
  <si>
    <t>Q loss from [from Limestone hauling]</t>
  </si>
  <si>
    <t>Q loss from [from Iron ore hauling]</t>
  </si>
  <si>
    <t>Q_loss_actual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</si>
</sst>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"/>
    <numFmt numFmtId="165" formatCode="0.000000000"/>
    <numFmt numFmtId="166" formatCode="0.00000000"/>
    <numFmt numFmtId="167" formatCode="0.000000"/>
    <numFmt numFmtId="168" formatCode="0.0000000"/>
    <numFmt numFmtId="169" formatCode="0.0000"/>
    <numFmt numFmtId="170" formatCode="0.0"/>
    <numFmt numFmtId="171" formatCode="0.E+00"/>
    <numFmt numFmtId="172" formatCode="0.00000"/>
  </numFmts>
  <fonts count="76">
    <font>
      <sz val="11"/>
      <color theme="1"/>
      <name val="Aptos Narrow"/>
      <family val="2"/>
      <scheme val="minor"/>
    </font>
    <font>
      <sz val="12"/>
      <color rgb="FF000000"/>
      <name val="Aptos Narrow"/>
    </font>
    <font>
      <sz val="12"/>
      <color rgb="FF000000"/>
      <name val="Calibri"/>
      <family val="2"/>
    </font>
    <font>
      <u/>
      <sz val="11"/>
      <color theme="10"/>
      <name val="Aptos Narrow"/>
    </font>
    <font>
      <sz val="11"/>
      <color rgb="FF000000"/>
      <name val="Aptos Narrow"/>
    </font>
    <font>
      <sz val="12"/>
      <color theme="1"/>
      <name val="Aptos Narrow"/>
    </font>
    <font>
      <sz val="11"/>
      <color theme="1"/>
      <name val="Aptos Narrow"/>
    </font>
    <font>
      <sz val="16"/>
      <color rgb="FF000000"/>
      <name val="Arial"/>
      <family val="2"/>
    </font>
    <font>
      <i/>
      <sz val="16"/>
      <color rgb="FF000000"/>
      <name val="Arial"/>
      <family val="2"/>
    </font>
    <font>
      <sz val="11"/>
      <color rgb="FF000000"/>
      <name val="Arial"/>
      <family val="2"/>
    </font>
    <font>
      <sz val="11"/>
      <color rgb="FF444444"/>
      <name val="Aptos Narrow"/>
    </font>
    <font>
      <sz val="11"/>
      <color rgb="FF000000"/>
      <name val="Calibri"/>
      <family val="2"/>
    </font>
    <font>
      <b/>
      <sz val="15"/>
      <color theme="1"/>
      <name val="Aptos Narrow"/>
    </font>
    <font>
      <b/>
      <sz val="20"/>
      <color theme="1"/>
      <name val="Aptos Narrow"/>
    </font>
    <font>
      <u/>
      <sz val="12"/>
      <color theme="10"/>
      <name val="Calibri"/>
      <family val="2"/>
    </font>
    <font>
      <b/>
      <sz val="11"/>
      <color theme="1"/>
      <name val="Aptos Narrow"/>
    </font>
    <font>
      <sz val="11"/>
      <color rgb="FFFF0000"/>
      <name val="Aptos Narrow"/>
    </font>
    <font>
      <sz val="12"/>
      <color rgb="FFFF0000"/>
      <name val="Aptos Narrow"/>
    </font>
    <font>
      <sz val="12"/>
      <color rgb="FF000000"/>
      <name val="Helvetica"/>
      <family val="2"/>
    </font>
    <font>
      <sz val="12"/>
      <color theme="1"/>
      <name val="Calibri"/>
      <family val="2"/>
    </font>
    <font>
      <b/>
      <sz val="30"/>
      <color rgb="FF000000"/>
      <name val="Calibri"/>
      <family val="2"/>
    </font>
    <font>
      <b/>
      <sz val="12"/>
      <color theme="1"/>
      <name val="Calibri"/>
      <family val="2"/>
    </font>
    <font>
      <b/>
      <sz val="12"/>
      <color rgb="FF000000"/>
      <name val="Aptos Narrow"/>
    </font>
    <font>
      <i/>
      <sz val="11"/>
      <color theme="1"/>
      <name val="Aptos Narrow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000000"/>
      <name val="Aptos Narrow"/>
    </font>
    <font>
      <b/>
      <sz val="11"/>
      <color rgb="FF000000"/>
      <name val="Calibri"/>
      <family val="2"/>
    </font>
    <font>
      <sz val="12"/>
      <color rgb="FF333333"/>
      <name val="Calibri"/>
      <family val="2"/>
    </font>
    <font>
      <b/>
      <sz val="22"/>
      <color rgb="FF000000"/>
      <name val="Aptos Narrow"/>
    </font>
    <font>
      <b/>
      <sz val="22"/>
      <color theme="1"/>
      <name val="Aptos Narrow (Body)"/>
    </font>
    <font>
      <sz val="22"/>
      <color theme="1"/>
      <name val="Aptos Narrow"/>
    </font>
    <font>
      <b/>
      <sz val="14"/>
      <color theme="1"/>
      <name val="Aptos Narrow"/>
    </font>
    <font>
      <b/>
      <sz val="12"/>
      <color rgb="FF000000"/>
      <name val="Calibri"/>
      <family val="2"/>
    </font>
    <font>
      <sz val="14"/>
      <color theme="1"/>
      <name val="Aptos Narrow"/>
    </font>
    <font>
      <i/>
      <sz val="14"/>
      <color theme="1"/>
      <name val="Aptos Narrow"/>
    </font>
    <font>
      <i/>
      <sz val="11"/>
      <color rgb="FF000000"/>
      <name val="Aptos Narrow"/>
    </font>
    <font>
      <sz val="11"/>
      <color theme="1"/>
      <name val="Cambria Math"/>
      <family val="1"/>
    </font>
    <font>
      <b/>
      <sz val="18"/>
      <color theme="1"/>
      <name val="Aptos Narrow"/>
    </font>
    <font>
      <sz val="18"/>
      <color theme="1"/>
      <name val="Aptos Narrow"/>
    </font>
    <font>
      <b/>
      <sz val="14"/>
      <color rgb="FF000000"/>
      <name val="Aptos Narrow"/>
    </font>
    <font>
      <vertAlign val="subscript"/>
      <sz val="12"/>
      <color rgb="FF000000"/>
      <name val="Aptos Narrow"/>
      <family val="2"/>
      <scheme val="minor"/>
    </font>
    <font>
      <sz val="12"/>
      <color rgb="FF000000"/>
      <name val="Aptos Narrow"/>
      <family val="2"/>
      <scheme val="minor"/>
    </font>
    <font>
      <vertAlign val="subscript"/>
      <sz val="11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2"/>
      <color theme="1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1"/>
      <name val="Aptos Narrow"/>
      <family val="2"/>
      <scheme val="minor"/>
    </font>
    <font>
      <sz val="12"/>
      <name val="Aptos Narrow"/>
      <family val="2"/>
      <scheme val="minor"/>
    </font>
    <font>
      <vertAlign val="subscript"/>
      <sz val="12"/>
      <color rgb="FF000000"/>
      <name val="Calibri"/>
      <family val="2"/>
    </font>
    <font>
      <vertAlign val="subscript"/>
      <sz val="12"/>
      <color theme="1"/>
      <name val="Calibri"/>
      <family val="2"/>
    </font>
    <font>
      <sz val="11"/>
      <color theme="1"/>
      <name val="Aptos Narrow"/>
      <family val="2"/>
    </font>
    <font>
      <sz val="7.05"/>
      <color theme="1"/>
      <name val="Aptos Narrow"/>
      <family val="2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sz val="11"/>
      <color theme="1"/>
      <name val="Aptos Narrow (Body)"/>
    </font>
    <font>
      <sz val="12"/>
      <color rgb="FF000000"/>
      <name val="Aptos Narrow (Body)"/>
    </font>
    <font>
      <b/>
      <vertAlign val="subscript"/>
      <sz val="12"/>
      <color rgb="FF000000"/>
      <name val="Aptos Narrow (Body)"/>
    </font>
    <font>
      <b/>
      <vertAlign val="subscript"/>
      <sz val="11"/>
      <color theme="1"/>
      <name val="Aptos Narrow (Body)"/>
    </font>
    <font>
      <b/>
      <sz val="11"/>
      <color theme="1"/>
      <name val="Aptos Narrow"/>
      <scheme val="minor"/>
    </font>
    <font>
      <vertAlign val="superscript"/>
      <sz val="11"/>
      <color theme="1"/>
      <name val="Aptos Narrow (Body)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u/>
      <sz val="11"/>
      <color theme="10"/>
      <name val="Aptos Narrow"/>
      <family val="2"/>
      <scheme val="minor"/>
    </font>
    <font>
      <vertAlign val="subscript"/>
      <sz val="12"/>
      <color rgb="FFFF0000"/>
      <name val="Aptos Narrow"/>
      <family val="2"/>
      <scheme val="minor"/>
    </font>
    <font>
      <vertAlign val="superscript"/>
      <sz val="11"/>
      <color rgb="FF000000"/>
      <name val="Aptos Narrow (Body)"/>
    </font>
    <font>
      <b/>
      <vertAlign val="subscript"/>
      <sz val="14"/>
      <color rgb="FF000000"/>
      <name val="Aptos Narrow"/>
      <scheme val="minor"/>
    </font>
    <font>
      <b/>
      <vertAlign val="subscript"/>
      <sz val="14"/>
      <color theme="1"/>
      <name val="Aptos Narrow (Body)"/>
    </font>
    <font>
      <vertAlign val="subscript"/>
      <sz val="11"/>
      <color theme="1"/>
      <name val="Aptos Narrow"/>
    </font>
    <font>
      <b/>
      <sz val="11"/>
      <color rgb="FF000000"/>
      <name val="Aptos Narrow"/>
      <family val="2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theme="5" tint="0.39997558519241921"/>
        <bgColor rgb="FF000000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EDE995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6CE"/>
        <bgColor rgb="FF000000"/>
      </patternFill>
    </fill>
    <fill>
      <patternFill patternType="solid">
        <fgColor rgb="FFFFF7CE"/>
        <bgColor rgb="FF000000"/>
      </patternFill>
    </fill>
    <fill>
      <patternFill patternType="solid">
        <fgColor theme="5" tint="-0.249977111117893"/>
        <bgColor rgb="FF000000"/>
      </patternFill>
    </fill>
    <fill>
      <patternFill patternType="solid">
        <fgColor rgb="FFFFF7CE"/>
        <bgColor indexed="64"/>
      </patternFill>
    </fill>
    <fill>
      <patternFill patternType="solid">
        <fgColor rgb="FFFBE2D5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D3712D"/>
      </patternFill>
    </fill>
    <fill>
      <patternFill patternType="solid">
        <fgColor rgb="FFFDF2D0"/>
      </patternFill>
    </fill>
    <fill>
      <patternFill patternType="solid">
        <fgColor rgb="FFD9D9D9"/>
      </patternFill>
    </fill>
  </fills>
  <borders count="5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9" fillId="0" borderId="0" applyNumberFormat="0" applyFill="0" applyBorder="0" applyAlignment="0" applyProtection="0"/>
  </cellStyleXfs>
  <cellXfs count="408">
    <xf numFmtId="0" fontId="0" fillId="0" borderId="0" xfId="0"/>
    <xf numFmtId="0" fontId="1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7" fillId="0" borderId="0" xfId="0" applyFont="1"/>
    <xf numFmtId="0" fontId="8" fillId="0" borderId="0" xfId="0" applyFont="1"/>
    <xf numFmtId="0" fontId="9" fillId="0" borderId="0" xfId="0" applyFont="1"/>
    <xf numFmtId="0" fontId="5" fillId="0" borderId="2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10" fillId="0" borderId="1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5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1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6" fillId="4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0" fontId="6" fillId="0" borderId="5" xfId="0" applyFont="1" applyBorder="1" applyAlignment="1">
      <alignment vertical="center"/>
    </xf>
    <xf numFmtId="0" fontId="1" fillId="0" borderId="4" xfId="0" applyFont="1" applyBorder="1" applyAlignment="1">
      <alignment horizontal="center"/>
    </xf>
    <xf numFmtId="0" fontId="6" fillId="0" borderId="5" xfId="0" applyFont="1" applyBorder="1" applyAlignment="1">
      <alignment horizontal="center" vertical="center"/>
    </xf>
    <xf numFmtId="0" fontId="6" fillId="3" borderId="0" xfId="0" applyFont="1" applyFill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6" fillId="3" borderId="4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6" fillId="5" borderId="4" xfId="0" applyFont="1" applyFill="1" applyBorder="1" applyAlignment="1">
      <alignment horizontal="center"/>
    </xf>
    <xf numFmtId="0" fontId="1" fillId="5" borderId="4" xfId="0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3" borderId="4" xfId="0" applyFont="1" applyFill="1" applyBorder="1" applyAlignment="1">
      <alignment horizontal="center"/>
    </xf>
    <xf numFmtId="0" fontId="6" fillId="0" borderId="16" xfId="0" applyFont="1" applyBorder="1" applyAlignment="1">
      <alignment horizontal="center"/>
    </xf>
    <xf numFmtId="0" fontId="14" fillId="0" borderId="0" xfId="0" applyFont="1" applyAlignment="1">
      <alignment horizontal="center"/>
    </xf>
    <xf numFmtId="0" fontId="6" fillId="6" borderId="0" xfId="0" applyFont="1" applyFill="1" applyAlignment="1">
      <alignment horizontal="center"/>
    </xf>
    <xf numFmtId="164" fontId="6" fillId="0" borderId="0" xfId="0" applyNumberFormat="1" applyFont="1" applyAlignment="1">
      <alignment horizontal="center"/>
    </xf>
    <xf numFmtId="165" fontId="6" fillId="0" borderId="5" xfId="0" applyNumberFormat="1" applyFont="1" applyBorder="1" applyAlignment="1">
      <alignment horizontal="center"/>
    </xf>
    <xf numFmtId="166" fontId="6" fillId="0" borderId="0" xfId="0" applyNumberFormat="1" applyFont="1" applyAlignment="1">
      <alignment horizontal="center"/>
    </xf>
    <xf numFmtId="165" fontId="6" fillId="0" borderId="0" xfId="0" applyNumberFormat="1" applyFont="1" applyAlignment="1">
      <alignment horizontal="center"/>
    </xf>
    <xf numFmtId="167" fontId="6" fillId="0" borderId="5" xfId="0" applyNumberFormat="1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17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6" fillId="0" borderId="9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6" fillId="0" borderId="18" xfId="0" applyFont="1" applyBorder="1" applyAlignment="1">
      <alignment horizontal="center"/>
    </xf>
    <xf numFmtId="168" fontId="6" fillId="0" borderId="0" xfId="0" applyNumberFormat="1" applyFont="1" applyAlignment="1">
      <alignment horizontal="center"/>
    </xf>
    <xf numFmtId="0" fontId="6" fillId="0" borderId="15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11" fillId="3" borderId="0" xfId="0" applyFont="1" applyFill="1" applyAlignment="1">
      <alignment horizontal="center"/>
    </xf>
    <xf numFmtId="0" fontId="6" fillId="0" borderId="4" xfId="0" applyFont="1" applyBorder="1" applyAlignment="1">
      <alignment horizontal="center"/>
    </xf>
    <xf numFmtId="0" fontId="1" fillId="3" borderId="0" xfId="0" applyFont="1" applyFill="1" applyAlignment="1">
      <alignment horizontal="center"/>
    </xf>
    <xf numFmtId="0" fontId="6" fillId="0" borderId="19" xfId="0" applyFont="1" applyBorder="1" applyAlignment="1">
      <alignment horizontal="center"/>
    </xf>
    <xf numFmtId="0" fontId="15" fillId="0" borderId="9" xfId="0" applyFont="1" applyBorder="1" applyAlignment="1">
      <alignment horizontal="center"/>
    </xf>
    <xf numFmtId="0" fontId="6" fillId="0" borderId="0" xfId="0" applyFont="1" applyAlignment="1">
      <alignment horizontal="center" wrapText="1"/>
    </xf>
    <xf numFmtId="0" fontId="6" fillId="0" borderId="0" xfId="0" applyFont="1" applyAlignment="1">
      <alignment horizontal="center" vertical="top" wrapText="1"/>
    </xf>
    <xf numFmtId="0" fontId="6" fillId="0" borderId="7" xfId="0" applyFont="1" applyBorder="1" applyAlignment="1">
      <alignment vertical="center" wrapText="1"/>
    </xf>
    <xf numFmtId="0" fontId="6" fillId="0" borderId="7" xfId="0" applyFont="1" applyBorder="1" applyAlignment="1">
      <alignment wrapText="1"/>
    </xf>
    <xf numFmtId="0" fontId="16" fillId="0" borderId="1" xfId="0" applyFont="1" applyBorder="1" applyAlignment="1">
      <alignment horizontal="center"/>
    </xf>
    <xf numFmtId="0" fontId="17" fillId="0" borderId="3" xfId="0" applyFont="1" applyBorder="1" applyAlignment="1">
      <alignment horizontal="center"/>
    </xf>
    <xf numFmtId="0" fontId="16" fillId="0" borderId="9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11" fillId="0" borderId="12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6" fillId="0" borderId="20" xfId="0" applyFont="1" applyBorder="1" applyAlignment="1">
      <alignment horizontal="center"/>
    </xf>
    <xf numFmtId="0" fontId="6" fillId="0" borderId="21" xfId="0" applyFont="1" applyBorder="1" applyAlignment="1">
      <alignment horizontal="center"/>
    </xf>
    <xf numFmtId="0" fontId="11" fillId="0" borderId="21" xfId="0" applyFont="1" applyBorder="1" applyAlignment="1">
      <alignment horizontal="center"/>
    </xf>
    <xf numFmtId="0" fontId="1" fillId="0" borderId="22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0" fontId="6" fillId="0" borderId="24" xfId="0" applyFont="1" applyBorder="1" applyAlignment="1">
      <alignment horizontal="center"/>
    </xf>
    <xf numFmtId="0" fontId="6" fillId="0" borderId="25" xfId="0" applyFont="1" applyBorder="1" applyAlignment="1">
      <alignment horizontal="center"/>
    </xf>
    <xf numFmtId="0" fontId="11" fillId="0" borderId="25" xfId="0" applyFont="1" applyBorder="1" applyAlignment="1">
      <alignment horizontal="center"/>
    </xf>
    <xf numFmtId="169" fontId="6" fillId="0" borderId="5" xfId="0" applyNumberFormat="1" applyFont="1" applyBorder="1" applyAlignment="1">
      <alignment horizontal="center"/>
    </xf>
    <xf numFmtId="0" fontId="6" fillId="0" borderId="26" xfId="0" applyFont="1" applyBorder="1" applyAlignment="1">
      <alignment horizontal="center"/>
    </xf>
    <xf numFmtId="0" fontId="1" fillId="0" borderId="23" xfId="0" applyFont="1" applyBorder="1" applyAlignment="1">
      <alignment horizontal="center"/>
    </xf>
    <xf numFmtId="0" fontId="6" fillId="0" borderId="0" xfId="0" applyFont="1" applyAlignment="1">
      <alignment wrapText="1"/>
    </xf>
    <xf numFmtId="0" fontId="15" fillId="0" borderId="17" xfId="0" applyFont="1" applyBorder="1" applyAlignment="1">
      <alignment horizontal="center"/>
    </xf>
    <xf numFmtId="0" fontId="18" fillId="0" borderId="0" xfId="0" applyFont="1"/>
    <xf numFmtId="0" fontId="4" fillId="0" borderId="0" xfId="0" applyFont="1" applyAlignment="1">
      <alignment wrapText="1"/>
    </xf>
    <xf numFmtId="0" fontId="11" fillId="0" borderId="27" xfId="0" applyFont="1" applyBorder="1" applyAlignment="1">
      <alignment horizontal="center"/>
    </xf>
    <xf numFmtId="0" fontId="4" fillId="0" borderId="0" xfId="0" applyFont="1"/>
    <xf numFmtId="0" fontId="6" fillId="0" borderId="0" xfId="0" applyFont="1" applyAlignment="1">
      <alignment vertical="center" wrapText="1"/>
    </xf>
    <xf numFmtId="164" fontId="6" fillId="0" borderId="5" xfId="0" applyNumberFormat="1" applyFont="1" applyBorder="1" applyAlignment="1">
      <alignment horizontal="center"/>
    </xf>
    <xf numFmtId="0" fontId="1" fillId="0" borderId="28" xfId="0" applyFont="1" applyBorder="1" applyAlignment="1">
      <alignment horizontal="center" wrapText="1"/>
    </xf>
    <xf numFmtId="0" fontId="11" fillId="0" borderId="29" xfId="0" applyFont="1" applyBorder="1" applyAlignment="1">
      <alignment horizontal="center"/>
    </xf>
    <xf numFmtId="0" fontId="11" fillId="0" borderId="30" xfId="0" applyFont="1" applyBorder="1" applyAlignment="1">
      <alignment horizontal="center"/>
    </xf>
    <xf numFmtId="0" fontId="1" fillId="0" borderId="31" xfId="0" applyFont="1" applyBorder="1" applyAlignment="1">
      <alignment horizontal="center"/>
    </xf>
    <xf numFmtId="0" fontId="11" fillId="0" borderId="32" xfId="0" applyFont="1" applyBorder="1" applyAlignment="1">
      <alignment horizontal="center"/>
    </xf>
    <xf numFmtId="0" fontId="11" fillId="0" borderId="33" xfId="0" applyFont="1" applyBorder="1" applyAlignment="1">
      <alignment horizontal="center"/>
    </xf>
    <xf numFmtId="0" fontId="12" fillId="0" borderId="16" xfId="0" applyFont="1" applyBorder="1" applyAlignment="1">
      <alignment horizontal="center" vertical="center" textRotation="90"/>
    </xf>
    <xf numFmtId="0" fontId="1" fillId="0" borderId="16" xfId="0" applyFont="1" applyBorder="1" applyAlignment="1">
      <alignment horizontal="center"/>
    </xf>
    <xf numFmtId="0" fontId="6" fillId="0" borderId="34" xfId="0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2" fillId="0" borderId="35" xfId="0" applyFont="1" applyBorder="1" applyAlignment="1">
      <alignment horizontal="center"/>
    </xf>
    <xf numFmtId="0" fontId="19" fillId="0" borderId="36" xfId="0" applyFont="1" applyBorder="1" applyAlignment="1">
      <alignment horizontal="center"/>
    </xf>
    <xf numFmtId="2" fontId="6" fillId="0" borderId="0" xfId="0" applyNumberFormat="1" applyFont="1" applyAlignment="1">
      <alignment horizontal="center"/>
    </xf>
    <xf numFmtId="170" fontId="6" fillId="0" borderId="6" xfId="0" applyNumberFormat="1" applyFont="1" applyBorder="1" applyAlignment="1">
      <alignment horizontal="center"/>
    </xf>
    <xf numFmtId="2" fontId="6" fillId="0" borderId="37" xfId="0" applyNumberFormat="1" applyFont="1" applyBorder="1" applyAlignment="1">
      <alignment horizontal="center"/>
    </xf>
    <xf numFmtId="2" fontId="6" fillId="0" borderId="30" xfId="0" applyNumberFormat="1" applyFont="1" applyBorder="1" applyAlignment="1">
      <alignment horizontal="center"/>
    </xf>
    <xf numFmtId="170" fontId="6" fillId="0" borderId="5" xfId="0" applyNumberFormat="1" applyFont="1" applyBorder="1" applyAlignment="1">
      <alignment horizontal="center"/>
    </xf>
    <xf numFmtId="2" fontId="6" fillId="0" borderId="5" xfId="0" applyNumberFormat="1" applyFont="1" applyBorder="1" applyAlignment="1">
      <alignment horizontal="center"/>
    </xf>
    <xf numFmtId="2" fontId="1" fillId="0" borderId="5" xfId="0" applyNumberFormat="1" applyFont="1" applyBorder="1" applyAlignment="1">
      <alignment horizontal="center"/>
    </xf>
    <xf numFmtId="170" fontId="6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2" fontId="11" fillId="0" borderId="0" xfId="0" applyNumberFormat="1" applyFont="1" applyAlignment="1">
      <alignment horizontal="center"/>
    </xf>
    <xf numFmtId="2" fontId="6" fillId="0" borderId="35" xfId="0" applyNumberFormat="1" applyFont="1" applyBorder="1" applyAlignment="1">
      <alignment horizontal="center"/>
    </xf>
    <xf numFmtId="2" fontId="15" fillId="0" borderId="31" xfId="0" applyNumberFormat="1" applyFont="1" applyBorder="1" applyAlignment="1">
      <alignment horizontal="center"/>
    </xf>
    <xf numFmtId="2" fontId="1" fillId="0" borderId="36" xfId="0" applyNumberFormat="1" applyFont="1" applyBorder="1" applyAlignment="1">
      <alignment horizontal="center"/>
    </xf>
    <xf numFmtId="2" fontId="1" fillId="0" borderId="29" xfId="0" applyNumberFormat="1" applyFont="1" applyBorder="1" applyAlignment="1">
      <alignment horizontal="center"/>
    </xf>
    <xf numFmtId="170" fontId="1" fillId="0" borderId="15" xfId="0" applyNumberFormat="1" applyFont="1" applyBorder="1" applyAlignment="1">
      <alignment horizontal="center"/>
    </xf>
    <xf numFmtId="2" fontId="1" fillId="0" borderId="15" xfId="0" applyNumberFormat="1" applyFont="1" applyBorder="1" applyAlignment="1">
      <alignment horizontal="center"/>
    </xf>
    <xf numFmtId="170" fontId="6" fillId="0" borderId="15" xfId="0" applyNumberFormat="1" applyFont="1" applyBorder="1" applyAlignment="1">
      <alignment horizontal="center"/>
    </xf>
    <xf numFmtId="2" fontId="6" fillId="0" borderId="15" xfId="0" applyNumberFormat="1" applyFont="1" applyBorder="1" applyAlignment="1">
      <alignment horizontal="center"/>
    </xf>
    <xf numFmtId="0" fontId="20" fillId="0" borderId="0" xfId="0" applyFont="1" applyAlignment="1">
      <alignment horizontal="center"/>
    </xf>
    <xf numFmtId="0" fontId="6" fillId="0" borderId="38" xfId="0" applyFont="1" applyBorder="1" applyAlignment="1">
      <alignment horizontal="center"/>
    </xf>
    <xf numFmtId="0" fontId="1" fillId="0" borderId="32" xfId="0" applyFont="1" applyBorder="1" applyAlignment="1">
      <alignment horizontal="center"/>
    </xf>
    <xf numFmtId="0" fontId="6" fillId="0" borderId="33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71" fontId="11" fillId="0" borderId="5" xfId="0" applyNumberFormat="1" applyFont="1" applyBorder="1" applyAlignment="1">
      <alignment horizontal="center"/>
    </xf>
    <xf numFmtId="0" fontId="22" fillId="0" borderId="28" xfId="0" applyFont="1" applyBorder="1" applyAlignment="1">
      <alignment horizontal="center"/>
    </xf>
    <xf numFmtId="0" fontId="6" fillId="0" borderId="0" xfId="0" applyFont="1" applyAlignment="1">
      <alignment horizontal="right"/>
    </xf>
    <xf numFmtId="0" fontId="23" fillId="0" borderId="0" xfId="0" applyFont="1" applyAlignment="1">
      <alignment horizontal="center" vertical="center"/>
    </xf>
    <xf numFmtId="0" fontId="1" fillId="0" borderId="7" xfId="0" applyFont="1" applyBorder="1" applyAlignment="1">
      <alignment horizontal="center"/>
    </xf>
    <xf numFmtId="0" fontId="6" fillId="0" borderId="39" xfId="0" applyFont="1" applyBorder="1" applyAlignment="1">
      <alignment horizontal="center"/>
    </xf>
    <xf numFmtId="0" fontId="23" fillId="0" borderId="0" xfId="0" applyFont="1" applyAlignment="1">
      <alignment horizontal="center"/>
    </xf>
    <xf numFmtId="0" fontId="1" fillId="0" borderId="15" xfId="0" applyFont="1" applyBorder="1" applyAlignment="1">
      <alignment horizontal="center"/>
    </xf>
    <xf numFmtId="0" fontId="12" fillId="0" borderId="0" xfId="0" applyFont="1" applyAlignment="1">
      <alignment vertical="center" textRotation="90"/>
    </xf>
    <xf numFmtId="0" fontId="24" fillId="0" borderId="0" xfId="0" applyFont="1" applyAlignment="1">
      <alignment horizontal="center"/>
    </xf>
    <xf numFmtId="0" fontId="25" fillId="0" borderId="0" xfId="0" applyFont="1" applyAlignment="1">
      <alignment horizontal="center"/>
    </xf>
    <xf numFmtId="0" fontId="6" fillId="0" borderId="40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172" fontId="6" fillId="0" borderId="0" xfId="0" applyNumberFormat="1" applyFont="1" applyAlignment="1">
      <alignment horizontal="center"/>
    </xf>
    <xf numFmtId="0" fontId="15" fillId="0" borderId="3" xfId="0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15" fillId="0" borderId="41" xfId="0" applyFont="1" applyBorder="1" applyAlignment="1">
      <alignment horizontal="center"/>
    </xf>
    <xf numFmtId="0" fontId="23" fillId="0" borderId="0" xfId="0" applyFont="1" applyAlignment="1">
      <alignment vertical="center" textRotation="90"/>
    </xf>
    <xf numFmtId="172" fontId="6" fillId="0" borderId="15" xfId="0" applyNumberFormat="1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41" xfId="0" applyFont="1" applyBorder="1" applyAlignment="1">
      <alignment horizontal="center"/>
    </xf>
    <xf numFmtId="0" fontId="11" fillId="0" borderId="0" xfId="0" applyFont="1"/>
    <xf numFmtId="0" fontId="5" fillId="0" borderId="6" xfId="0" applyFont="1" applyBorder="1" applyAlignment="1">
      <alignment horizontal="center"/>
    </xf>
    <xf numFmtId="2" fontId="6" fillId="0" borderId="33" xfId="0" applyNumberFormat="1" applyFont="1" applyBorder="1" applyAlignment="1">
      <alignment horizontal="center"/>
    </xf>
    <xf numFmtId="2" fontId="11" fillId="0" borderId="42" xfId="0" applyNumberFormat="1" applyFont="1" applyBorder="1" applyAlignment="1">
      <alignment horizontal="center"/>
    </xf>
    <xf numFmtId="0" fontId="23" fillId="0" borderId="0" xfId="0" applyFont="1" applyAlignment="1">
      <alignment horizontal="right"/>
    </xf>
    <xf numFmtId="0" fontId="5" fillId="0" borderId="15" xfId="0" applyFont="1" applyBorder="1" applyAlignment="1">
      <alignment horizontal="center"/>
    </xf>
    <xf numFmtId="2" fontId="6" fillId="3" borderId="0" xfId="0" applyNumberFormat="1" applyFont="1" applyFill="1" applyAlignment="1">
      <alignment horizontal="center"/>
    </xf>
    <xf numFmtId="0" fontId="2" fillId="0" borderId="6" xfId="0" applyFont="1" applyBorder="1" applyAlignment="1">
      <alignment horizontal="center"/>
    </xf>
    <xf numFmtId="0" fontId="26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 textRotation="90" wrapText="1"/>
    </xf>
    <xf numFmtId="0" fontId="23" fillId="0" borderId="0" xfId="0" applyFont="1" applyAlignment="1">
      <alignment horizontal="center" vertical="center" textRotation="90"/>
    </xf>
    <xf numFmtId="170" fontId="6" fillId="0" borderId="37" xfId="0" applyNumberFormat="1" applyFont="1" applyBorder="1" applyAlignment="1">
      <alignment horizontal="center"/>
    </xf>
    <xf numFmtId="170" fontId="6" fillId="0" borderId="33" xfId="0" applyNumberFormat="1" applyFont="1" applyBorder="1" applyAlignment="1">
      <alignment horizontal="center"/>
    </xf>
    <xf numFmtId="0" fontId="27" fillId="0" borderId="0" xfId="0" applyFont="1" applyAlignment="1">
      <alignment vertical="center"/>
    </xf>
    <xf numFmtId="171" fontId="11" fillId="0" borderId="15" xfId="0" applyNumberFormat="1" applyFont="1" applyBorder="1" applyAlignment="1">
      <alignment horizontal="center"/>
    </xf>
    <xf numFmtId="2" fontId="11" fillId="0" borderId="5" xfId="0" applyNumberFormat="1" applyFont="1" applyBorder="1" applyAlignment="1">
      <alignment horizontal="center"/>
    </xf>
    <xf numFmtId="2" fontId="6" fillId="0" borderId="6" xfId="0" applyNumberFormat="1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2" fillId="0" borderId="0" xfId="0" applyFont="1" applyAlignment="1">
      <alignment horizontal="center" vertical="center" textRotation="90"/>
    </xf>
    <xf numFmtId="0" fontId="6" fillId="0" borderId="29" xfId="0" applyFont="1" applyBorder="1" applyAlignment="1">
      <alignment horizontal="center"/>
    </xf>
    <xf numFmtId="0" fontId="6" fillId="0" borderId="30" xfId="0" applyFont="1" applyBorder="1" applyAlignment="1">
      <alignment horizontal="center"/>
    </xf>
    <xf numFmtId="0" fontId="6" fillId="0" borderId="36" xfId="0" applyFont="1" applyBorder="1" applyAlignment="1">
      <alignment horizontal="center"/>
    </xf>
    <xf numFmtId="0" fontId="6" fillId="0" borderId="37" xfId="0" applyFont="1" applyBorder="1" applyAlignment="1">
      <alignment horizontal="center"/>
    </xf>
    <xf numFmtId="0" fontId="15" fillId="0" borderId="31" xfId="0" applyFont="1" applyBorder="1" applyAlignment="1">
      <alignment horizontal="center"/>
    </xf>
    <xf numFmtId="0" fontId="6" fillId="0" borderId="35" xfId="0" applyFont="1" applyBorder="1" applyAlignment="1">
      <alignment horizontal="center"/>
    </xf>
    <xf numFmtId="0" fontId="1" fillId="0" borderId="29" xfId="0" applyFont="1" applyBorder="1" applyAlignment="1">
      <alignment horizontal="center"/>
    </xf>
    <xf numFmtId="0" fontId="1" fillId="0" borderId="36" xfId="0" applyFont="1" applyBorder="1" applyAlignment="1">
      <alignment horizontal="center"/>
    </xf>
    <xf numFmtId="0" fontId="6" fillId="0" borderId="43" xfId="0" applyFont="1" applyBorder="1" applyAlignment="1">
      <alignment horizontal="center"/>
    </xf>
    <xf numFmtId="11" fontId="11" fillId="0" borderId="0" xfId="0" applyNumberFormat="1" applyFont="1" applyAlignment="1">
      <alignment horizontal="center"/>
    </xf>
    <xf numFmtId="0" fontId="1" fillId="0" borderId="44" xfId="0" applyFont="1" applyBorder="1" applyAlignment="1">
      <alignment horizontal="center"/>
    </xf>
    <xf numFmtId="0" fontId="11" fillId="0" borderId="1" xfId="0" applyFont="1" applyBorder="1" applyAlignment="1">
      <alignment horizontal="center" wrapText="1"/>
    </xf>
    <xf numFmtId="0" fontId="11" fillId="0" borderId="16" xfId="0" applyFont="1" applyBorder="1" applyAlignment="1">
      <alignment horizontal="center"/>
    </xf>
    <xf numFmtId="0" fontId="11" fillId="0" borderId="15" xfId="0" applyFont="1" applyBorder="1" applyAlignment="1">
      <alignment horizontal="center"/>
    </xf>
    <xf numFmtId="0" fontId="11" fillId="0" borderId="6" xfId="0" applyFont="1" applyBorder="1" applyAlignment="1">
      <alignment horizontal="center"/>
    </xf>
    <xf numFmtId="0" fontId="28" fillId="0" borderId="0" xfId="0" applyFont="1" applyAlignment="1">
      <alignment horizontal="center"/>
    </xf>
    <xf numFmtId="0" fontId="11" fillId="0" borderId="42" xfId="0" applyFont="1" applyBorder="1" applyAlignment="1">
      <alignment horizontal="center"/>
    </xf>
    <xf numFmtId="0" fontId="22" fillId="0" borderId="45" xfId="0" applyFont="1" applyBorder="1" applyAlignment="1">
      <alignment horizontal="center"/>
    </xf>
    <xf numFmtId="0" fontId="11" fillId="0" borderId="46" xfId="0" applyFont="1" applyBorder="1" applyAlignment="1">
      <alignment horizontal="center"/>
    </xf>
    <xf numFmtId="0" fontId="1" fillId="0" borderId="28" xfId="0" applyFont="1" applyBorder="1" applyAlignment="1">
      <alignment horizontal="center"/>
    </xf>
    <xf numFmtId="0" fontId="1" fillId="0" borderId="39" xfId="0" applyFont="1" applyBorder="1" applyAlignment="1">
      <alignment horizontal="center"/>
    </xf>
    <xf numFmtId="0" fontId="11" fillId="0" borderId="39" xfId="0" applyFont="1" applyBorder="1" applyAlignment="1">
      <alignment horizontal="center"/>
    </xf>
    <xf numFmtId="0" fontId="6" fillId="0" borderId="42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2" fillId="0" borderId="36" xfId="0" applyFont="1" applyBorder="1" applyAlignment="1">
      <alignment horizontal="center"/>
    </xf>
    <xf numFmtId="0" fontId="2" fillId="0" borderId="29" xfId="0" applyFont="1" applyBorder="1" applyAlignment="1">
      <alignment horizontal="center"/>
    </xf>
    <xf numFmtId="0" fontId="2" fillId="0" borderId="28" xfId="0" applyFont="1" applyBorder="1" applyAlignment="1">
      <alignment horizontal="center"/>
    </xf>
    <xf numFmtId="0" fontId="2" fillId="0" borderId="39" xfId="0" applyFont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19" fillId="0" borderId="0" xfId="0" applyFont="1" applyAlignment="1">
      <alignment horizontal="center"/>
    </xf>
    <xf numFmtId="0" fontId="19" fillId="0" borderId="1" xfId="0" applyFont="1" applyBorder="1" applyAlignment="1">
      <alignment horizontal="center"/>
    </xf>
    <xf numFmtId="0" fontId="19" fillId="0" borderId="3" xfId="0" applyFont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19" fillId="0" borderId="35" xfId="0" applyFont="1" applyBorder="1" applyAlignment="1">
      <alignment horizontal="center"/>
    </xf>
    <xf numFmtId="0" fontId="21" fillId="0" borderId="31" xfId="0" applyFont="1" applyBorder="1" applyAlignment="1">
      <alignment horizontal="center"/>
    </xf>
    <xf numFmtId="0" fontId="29" fillId="0" borderId="0" xfId="0" applyFont="1" applyAlignment="1">
      <alignment horizontal="center" vertical="center"/>
    </xf>
    <xf numFmtId="0" fontId="29" fillId="0" borderId="0" xfId="0" applyFont="1" applyAlignment="1">
      <alignment horizontal="center" vertical="center" wrapText="1"/>
    </xf>
    <xf numFmtId="0" fontId="19" fillId="0" borderId="37" xfId="0" applyFont="1" applyBorder="1" applyAlignment="1">
      <alignment horizontal="center"/>
    </xf>
    <xf numFmtId="0" fontId="19" fillId="0" borderId="30" xfId="0" applyFont="1" applyBorder="1" applyAlignment="1">
      <alignment horizontal="center"/>
    </xf>
    <xf numFmtId="0" fontId="2" fillId="0" borderId="42" xfId="0" applyFont="1" applyBorder="1" applyAlignment="1">
      <alignment horizontal="center"/>
    </xf>
    <xf numFmtId="0" fontId="19" fillId="0" borderId="6" xfId="0" applyFont="1" applyBorder="1" applyAlignment="1">
      <alignment horizontal="center"/>
    </xf>
    <xf numFmtId="0" fontId="19" fillId="0" borderId="5" xfId="0" applyFont="1" applyBorder="1" applyAlignment="1">
      <alignment horizontal="center"/>
    </xf>
    <xf numFmtId="0" fontId="19" fillId="0" borderId="39" xfId="0" applyFont="1" applyBorder="1" applyAlignment="1">
      <alignment horizontal="center"/>
    </xf>
    <xf numFmtId="0" fontId="19" fillId="0" borderId="42" xfId="0" applyFont="1" applyBorder="1" applyAlignment="1">
      <alignment horizontal="center"/>
    </xf>
    <xf numFmtId="0" fontId="35" fillId="0" borderId="0" xfId="0" applyFont="1"/>
    <xf numFmtId="0" fontId="35" fillId="16" borderId="45" xfId="0" applyFont="1" applyFill="1" applyBorder="1" applyAlignment="1">
      <alignment horizontal="center"/>
    </xf>
    <xf numFmtId="0" fontId="35" fillId="16" borderId="48" xfId="0" applyFont="1" applyFill="1" applyBorder="1" applyAlignment="1">
      <alignment horizontal="center"/>
    </xf>
    <xf numFmtId="0" fontId="35" fillId="16" borderId="49" xfId="0" applyFont="1" applyFill="1" applyBorder="1" applyAlignment="1">
      <alignment horizontal="center"/>
    </xf>
    <xf numFmtId="0" fontId="35" fillId="17" borderId="10" xfId="0" applyFont="1" applyFill="1" applyBorder="1" applyAlignment="1">
      <alignment horizontal="center"/>
    </xf>
    <xf numFmtId="0" fontId="35" fillId="17" borderId="27" xfId="0" applyFont="1" applyFill="1" applyBorder="1" applyAlignment="1">
      <alignment horizontal="center"/>
    </xf>
    <xf numFmtId="0" fontId="35" fillId="17" borderId="1" xfId="0" applyFont="1" applyFill="1" applyBorder="1" applyAlignment="1">
      <alignment horizontal="center"/>
    </xf>
    <xf numFmtId="0" fontId="35" fillId="11" borderId="31" xfId="0" applyFont="1" applyFill="1" applyBorder="1" applyAlignment="1">
      <alignment horizontal="center"/>
    </xf>
    <xf numFmtId="0" fontId="35" fillId="16" borderId="44" xfId="0" applyFont="1" applyFill="1" applyBorder="1" applyAlignment="1">
      <alignment horizontal="center"/>
    </xf>
    <xf numFmtId="0" fontId="35" fillId="17" borderId="0" xfId="0" applyFont="1" applyFill="1" applyAlignment="1">
      <alignment horizontal="center"/>
    </xf>
    <xf numFmtId="0" fontId="35" fillId="11" borderId="29" xfId="0" applyFont="1" applyFill="1" applyBorder="1" applyAlignment="1">
      <alignment horizontal="center"/>
    </xf>
    <xf numFmtId="0" fontId="35" fillId="11" borderId="1" xfId="0" applyFont="1" applyFill="1" applyBorder="1" applyAlignment="1">
      <alignment horizontal="center"/>
    </xf>
    <xf numFmtId="0" fontId="35" fillId="11" borderId="50" xfId="0" applyFont="1" applyFill="1" applyBorder="1" applyAlignment="1">
      <alignment horizontal="center"/>
    </xf>
    <xf numFmtId="0" fontId="35" fillId="11" borderId="27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11" fillId="0" borderId="0" xfId="0" applyFont="1" applyAlignment="1">
      <alignment horizontal="right"/>
    </xf>
    <xf numFmtId="0" fontId="6" fillId="0" borderId="0" xfId="0" applyFont="1" applyAlignment="1">
      <alignment horizontal="center" textRotation="90"/>
    </xf>
    <xf numFmtId="0" fontId="1" fillId="0" borderId="0" xfId="0" applyFont="1" applyAlignment="1">
      <alignment horizontal="center" textRotation="90"/>
    </xf>
    <xf numFmtId="0" fontId="11" fillId="0" borderId="0" xfId="0" applyFont="1" applyAlignment="1">
      <alignment horizontal="center" textRotation="90"/>
    </xf>
    <xf numFmtId="0" fontId="6" fillId="20" borderId="0" xfId="0" applyFont="1" applyFill="1" applyAlignment="1">
      <alignment horizontal="center"/>
    </xf>
    <xf numFmtId="0" fontId="2" fillId="0" borderId="0" xfId="0" applyFont="1" applyAlignment="1">
      <alignment horizontal="center" textRotation="90"/>
    </xf>
    <xf numFmtId="2" fontId="6" fillId="20" borderId="0" xfId="0" applyNumberFormat="1" applyFont="1" applyFill="1" applyAlignment="1">
      <alignment horizontal="center"/>
    </xf>
    <xf numFmtId="0" fontId="6" fillId="8" borderId="0" xfId="0" applyFont="1" applyFill="1" applyAlignment="1">
      <alignment horizontal="center"/>
    </xf>
    <xf numFmtId="0" fontId="15" fillId="0" borderId="0" xfId="0" applyFont="1"/>
    <xf numFmtId="0" fontId="16" fillId="0" borderId="0" xfId="0" applyFont="1" applyAlignment="1">
      <alignment horizontal="right"/>
    </xf>
    <xf numFmtId="0" fontId="15" fillId="20" borderId="0" xfId="0" applyFont="1" applyFill="1" applyAlignment="1">
      <alignment horizontal="center"/>
    </xf>
    <xf numFmtId="0" fontId="15" fillId="8" borderId="0" xfId="0" applyFont="1" applyFill="1" applyAlignment="1">
      <alignment horizontal="center"/>
    </xf>
    <xf numFmtId="2" fontId="6" fillId="8" borderId="0" xfId="0" applyNumberFormat="1" applyFont="1" applyFill="1" applyAlignment="1">
      <alignment horizontal="center"/>
    </xf>
    <xf numFmtId="0" fontId="6" fillId="21" borderId="0" xfId="0" applyFont="1" applyFill="1" applyAlignment="1">
      <alignment horizontal="center"/>
    </xf>
    <xf numFmtId="0" fontId="2" fillId="0" borderId="0" xfId="0" applyFont="1" applyAlignment="1">
      <alignment horizontal="right"/>
    </xf>
    <xf numFmtId="0" fontId="6" fillId="0" borderId="0" xfId="0" applyFont="1" applyAlignment="1">
      <alignment horizontal="center" vertical="center" wrapText="1"/>
    </xf>
    <xf numFmtId="0" fontId="6" fillId="12" borderId="0" xfId="0" applyFont="1" applyFill="1" applyAlignment="1">
      <alignment horizontal="center"/>
    </xf>
    <xf numFmtId="0" fontId="6" fillId="16" borderId="0" xfId="0" applyFont="1" applyFill="1" applyAlignment="1">
      <alignment horizontal="center"/>
    </xf>
    <xf numFmtId="0" fontId="6" fillId="22" borderId="0" xfId="0" applyFont="1" applyFill="1" applyAlignment="1">
      <alignment horizontal="center"/>
    </xf>
    <xf numFmtId="0" fontId="27" fillId="0" borderId="0" xfId="0" applyFont="1" applyAlignment="1">
      <alignment horizontal="center"/>
    </xf>
    <xf numFmtId="0" fontId="6" fillId="23" borderId="0" xfId="0" applyFont="1" applyFill="1" applyAlignment="1">
      <alignment horizontal="center"/>
    </xf>
    <xf numFmtId="0" fontId="6" fillId="24" borderId="0" xfId="0" applyFont="1" applyFill="1" applyAlignment="1">
      <alignment horizontal="center"/>
    </xf>
    <xf numFmtId="0" fontId="6" fillId="25" borderId="0" xfId="0" applyFont="1" applyFill="1" applyAlignment="1">
      <alignment horizontal="center"/>
    </xf>
    <xf numFmtId="0" fontId="6" fillId="26" borderId="0" xfId="0" applyFont="1" applyFill="1" applyAlignment="1">
      <alignment horizontal="center"/>
    </xf>
    <xf numFmtId="0" fontId="4" fillId="26" borderId="0" xfId="0" applyFont="1" applyFill="1" applyAlignment="1">
      <alignment horizontal="center"/>
    </xf>
    <xf numFmtId="2" fontId="6" fillId="24" borderId="0" xfId="0" applyNumberFormat="1" applyFont="1" applyFill="1" applyAlignment="1">
      <alignment horizontal="center"/>
    </xf>
    <xf numFmtId="2" fontId="6" fillId="25" borderId="0" xfId="0" applyNumberFormat="1" applyFont="1" applyFill="1" applyAlignment="1">
      <alignment horizontal="center"/>
    </xf>
    <xf numFmtId="0" fontId="27" fillId="27" borderId="0" xfId="0" applyFont="1" applyFill="1"/>
    <xf numFmtId="0" fontId="27" fillId="27" borderId="0" xfId="0" applyFont="1" applyFill="1" applyAlignment="1">
      <alignment horizontal="center"/>
    </xf>
    <xf numFmtId="0" fontId="4" fillId="0" borderId="0" xfId="0" applyFont="1" applyAlignment="1">
      <alignment horizontal="right"/>
    </xf>
    <xf numFmtId="0" fontId="4" fillId="8" borderId="0" xfId="0" applyFont="1" applyFill="1"/>
    <xf numFmtId="0" fontId="6" fillId="27" borderId="0" xfId="0" applyFont="1" applyFill="1"/>
    <xf numFmtId="0" fontId="37" fillId="0" borderId="0" xfId="0" applyFont="1" applyAlignment="1">
      <alignment horizontal="center"/>
    </xf>
    <xf numFmtId="0" fontId="4" fillId="23" borderId="0" xfId="0" applyFont="1" applyFill="1" applyAlignment="1">
      <alignment horizontal="center"/>
    </xf>
    <xf numFmtId="0" fontId="27" fillId="24" borderId="0" xfId="0" applyFont="1" applyFill="1" applyAlignment="1">
      <alignment horizontal="center"/>
    </xf>
    <xf numFmtId="0" fontId="6" fillId="9" borderId="0" xfId="0" applyFont="1" applyFill="1" applyAlignment="1">
      <alignment horizontal="center"/>
    </xf>
    <xf numFmtId="2" fontId="6" fillId="9" borderId="0" xfId="0" applyNumberFormat="1" applyFont="1" applyFill="1" applyAlignment="1">
      <alignment horizontal="center"/>
    </xf>
    <xf numFmtId="0" fontId="2" fillId="8" borderId="0" xfId="0" applyFont="1" applyFill="1" applyAlignment="1">
      <alignment horizontal="center"/>
    </xf>
    <xf numFmtId="0" fontId="6" fillId="28" borderId="0" xfId="0" applyFont="1" applyFill="1" applyAlignment="1">
      <alignment horizontal="center"/>
    </xf>
    <xf numFmtId="0" fontId="6" fillId="15" borderId="3" xfId="0" applyFont="1" applyFill="1" applyBorder="1" applyAlignment="1">
      <alignment horizontal="center"/>
    </xf>
    <xf numFmtId="0" fontId="6" fillId="15" borderId="2" xfId="0" applyFont="1" applyFill="1" applyBorder="1" applyAlignment="1">
      <alignment horizontal="center"/>
    </xf>
    <xf numFmtId="0" fontId="6" fillId="4" borderId="3" xfId="0" applyFont="1" applyFill="1" applyBorder="1" applyAlignment="1">
      <alignment horizontal="center"/>
    </xf>
    <xf numFmtId="0" fontId="6" fillId="4" borderId="6" xfId="0" applyFont="1" applyFill="1" applyBorder="1" applyAlignment="1">
      <alignment horizontal="center"/>
    </xf>
    <xf numFmtId="0" fontId="6" fillId="4" borderId="2" xfId="0" applyFont="1" applyFill="1" applyBorder="1" applyAlignment="1">
      <alignment horizontal="center"/>
    </xf>
    <xf numFmtId="0" fontId="6" fillId="12" borderId="1" xfId="0" applyFont="1" applyFill="1" applyBorder="1" applyAlignment="1">
      <alignment horizontal="center"/>
    </xf>
    <xf numFmtId="0" fontId="6" fillId="17" borderId="1" xfId="0" applyFont="1" applyFill="1" applyBorder="1" applyAlignment="1">
      <alignment horizontal="center"/>
    </xf>
    <xf numFmtId="0" fontId="6" fillId="4" borderId="1" xfId="0" applyFont="1" applyFill="1" applyBorder="1" applyAlignment="1">
      <alignment horizontal="center"/>
    </xf>
    <xf numFmtId="0" fontId="6" fillId="15" borderId="1" xfId="0" applyFont="1" applyFill="1" applyBorder="1" applyAlignment="1">
      <alignment horizontal="center"/>
    </xf>
    <xf numFmtId="0" fontId="15" fillId="17" borderId="0" xfId="0" applyFont="1" applyFill="1" applyAlignment="1">
      <alignment horizontal="center" vertical="center"/>
    </xf>
    <xf numFmtId="0" fontId="15" fillId="4" borderId="0" xfId="0" applyFont="1" applyFill="1" applyAlignment="1">
      <alignment horizontal="center" vertical="center"/>
    </xf>
    <xf numFmtId="0" fontId="15" fillId="15" borderId="0" xfId="0" applyFont="1" applyFill="1" applyAlignment="1">
      <alignment horizontal="center" vertical="center"/>
    </xf>
    <xf numFmtId="0" fontId="15" fillId="12" borderId="0" xfId="0" applyFont="1" applyFill="1" applyAlignment="1">
      <alignment horizontal="center" vertical="center"/>
    </xf>
    <xf numFmtId="0" fontId="6" fillId="0" borderId="41" xfId="0" applyFont="1" applyBorder="1" applyAlignment="1">
      <alignment horizontal="center"/>
    </xf>
    <xf numFmtId="0" fontId="6" fillId="3" borderId="7" xfId="0" applyFont="1" applyFill="1" applyBorder="1" applyAlignment="1">
      <alignment horizontal="center"/>
    </xf>
    <xf numFmtId="0" fontId="6" fillId="29" borderId="7" xfId="0" applyFont="1" applyFill="1" applyBorder="1" applyAlignment="1">
      <alignment horizontal="center"/>
    </xf>
    <xf numFmtId="0" fontId="6" fillId="30" borderId="7" xfId="0" applyFont="1" applyFill="1" applyBorder="1" applyAlignment="1">
      <alignment horizontal="center"/>
    </xf>
    <xf numFmtId="0" fontId="6" fillId="2" borderId="0" xfId="0" applyFont="1" applyFill="1"/>
    <xf numFmtId="0" fontId="6" fillId="2" borderId="0" xfId="0" applyFont="1" applyFill="1" applyAlignment="1">
      <alignment horizontal="center"/>
    </xf>
    <xf numFmtId="0" fontId="6" fillId="2" borderId="5" xfId="0" applyFont="1" applyFill="1" applyBorder="1" applyAlignment="1">
      <alignment horizontal="center"/>
    </xf>
    <xf numFmtId="0" fontId="38" fillId="0" borderId="0" xfId="0" applyFont="1" applyAlignment="1">
      <alignment horizontal="center"/>
    </xf>
    <xf numFmtId="0" fontId="6" fillId="0" borderId="9" xfId="0" applyFont="1" applyBorder="1"/>
    <xf numFmtId="0" fontId="39" fillId="2" borderId="0" xfId="0" applyFont="1" applyFill="1" applyAlignment="1">
      <alignment vertical="center"/>
    </xf>
    <xf numFmtId="0" fontId="6" fillId="0" borderId="17" xfId="0" applyFont="1" applyBorder="1"/>
    <xf numFmtId="0" fontId="6" fillId="0" borderId="15" xfId="0" applyFont="1" applyBorder="1"/>
    <xf numFmtId="0" fontId="6" fillId="0" borderId="14" xfId="0" applyFont="1" applyBorder="1"/>
    <xf numFmtId="0" fontId="1" fillId="0" borderId="0" xfId="0" applyFont="1" applyAlignment="1">
      <alignment horizontal="center" wrapText="1"/>
    </xf>
    <xf numFmtId="0" fontId="6" fillId="0" borderId="5" xfId="0" applyFont="1" applyBorder="1"/>
    <xf numFmtId="0" fontId="41" fillId="0" borderId="0" xfId="0" applyFont="1" applyAlignment="1">
      <alignment horizontal="center"/>
    </xf>
    <xf numFmtId="0" fontId="33" fillId="0" borderId="0" xfId="0" applyFont="1"/>
    <xf numFmtId="0" fontId="6" fillId="31" borderId="0" xfId="0" applyFont="1" applyFill="1" applyAlignment="1">
      <alignment horizontal="center" vertical="center"/>
    </xf>
    <xf numFmtId="0" fontId="6" fillId="0" borderId="0" xfId="0" applyFont="1" applyAlignment="1">
      <alignment horizontal="right" vertical="center" textRotation="90"/>
    </xf>
    <xf numFmtId="0" fontId="6" fillId="0" borderId="0" xfId="0" applyFont="1" applyAlignment="1">
      <alignment horizontal="right" vertical="center"/>
    </xf>
    <xf numFmtId="0" fontId="6" fillId="32" borderId="0" xfId="0" applyFont="1" applyFill="1" applyAlignment="1">
      <alignment horizontal="center" vertical="center"/>
    </xf>
    <xf numFmtId="0" fontId="6" fillId="3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57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69" fillId="0" borderId="0" xfId="1"/>
    <xf numFmtId="0" fontId="6" fillId="0" borderId="3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6" fillId="0" borderId="5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0" borderId="7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7" xfId="0" applyFont="1" applyBorder="1" applyAlignment="1">
      <alignment horizontal="center" vertical="top" wrapText="1"/>
    </xf>
    <xf numFmtId="0" fontId="12" fillId="0" borderId="0" xfId="0" applyFont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 wrapText="1"/>
    </xf>
    <xf numFmtId="0" fontId="12" fillId="0" borderId="9" xfId="0" applyFont="1" applyBorder="1" applyAlignment="1">
      <alignment horizontal="center" vertical="center"/>
    </xf>
    <xf numFmtId="0" fontId="13" fillId="0" borderId="10" xfId="0" applyFont="1" applyBorder="1" applyAlignment="1">
      <alignment horizontal="center"/>
    </xf>
    <xf numFmtId="0" fontId="13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6" fillId="0" borderId="7" xfId="0" applyFont="1" applyBorder="1" applyAlignment="1">
      <alignment horizontal="center" wrapText="1"/>
    </xf>
    <xf numFmtId="0" fontId="12" fillId="0" borderId="10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wrapText="1"/>
    </xf>
    <xf numFmtId="0" fontId="6" fillId="5" borderId="4" xfId="0" applyFont="1" applyFill="1" applyBorder="1" applyAlignment="1">
      <alignment horizontal="center" vertical="center"/>
    </xf>
    <xf numFmtId="0" fontId="6" fillId="5" borderId="11" xfId="0" applyFont="1" applyFill="1" applyBorder="1" applyAlignment="1">
      <alignment horizontal="center" vertical="center"/>
    </xf>
    <xf numFmtId="0" fontId="6" fillId="5" borderId="12" xfId="0" applyFont="1" applyFill="1" applyBorder="1" applyAlignment="1">
      <alignment horizontal="center" vertical="center"/>
    </xf>
    <xf numFmtId="0" fontId="6" fillId="3" borderId="13" xfId="0" applyFont="1" applyFill="1" applyBorder="1" applyAlignment="1">
      <alignment horizontal="center" vertical="center"/>
    </xf>
    <xf numFmtId="0" fontId="6" fillId="3" borderId="14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13" fillId="0" borderId="15" xfId="0" applyFont="1" applyBorder="1" applyAlignment="1">
      <alignment horizontal="center"/>
    </xf>
    <xf numFmtId="0" fontId="3" fillId="0" borderId="7" xfId="0" applyFont="1" applyBorder="1" applyAlignment="1">
      <alignment horizontal="center" wrapText="1"/>
    </xf>
    <xf numFmtId="0" fontId="23" fillId="0" borderId="0" xfId="0" applyFont="1" applyAlignment="1">
      <alignment horizontal="center" vertical="center" textRotation="90" wrapText="1"/>
    </xf>
    <xf numFmtId="0" fontId="26" fillId="7" borderId="0" xfId="0" applyFont="1" applyFill="1" applyAlignment="1">
      <alignment horizontal="center" vertical="center"/>
    </xf>
    <xf numFmtId="0" fontId="1" fillId="0" borderId="28" xfId="0" applyFont="1" applyBorder="1" applyAlignment="1">
      <alignment horizontal="center" vertical="center" wrapText="1"/>
    </xf>
    <xf numFmtId="0" fontId="1" fillId="0" borderId="39" xfId="0" applyFont="1" applyBorder="1" applyAlignment="1">
      <alignment horizontal="center" vertical="center" wrapText="1"/>
    </xf>
    <xf numFmtId="0" fontId="30" fillId="8" borderId="0" xfId="0" applyFont="1" applyFill="1" applyAlignment="1">
      <alignment horizontal="center" vertical="center"/>
    </xf>
    <xf numFmtId="0" fontId="27" fillId="9" borderId="0" xfId="0" applyFont="1" applyFill="1" applyAlignment="1">
      <alignment horizontal="center" vertical="center"/>
    </xf>
    <xf numFmtId="0" fontId="1" fillId="0" borderId="28" xfId="0" applyFont="1" applyBorder="1" applyAlignment="1">
      <alignment horizontal="center" vertical="center"/>
    </xf>
    <xf numFmtId="0" fontId="1" fillId="0" borderId="47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 textRotation="90" wrapText="1"/>
    </xf>
    <xf numFmtId="0" fontId="31" fillId="8" borderId="0" xfId="0" applyFont="1" applyFill="1" applyAlignment="1">
      <alignment horizontal="center" vertical="center"/>
    </xf>
    <xf numFmtId="0" fontId="32" fillId="8" borderId="0" xfId="0" applyFont="1" applyFill="1" applyAlignment="1">
      <alignment horizontal="center" vertical="center"/>
    </xf>
    <xf numFmtId="0" fontId="11" fillId="10" borderId="15" xfId="0" applyFont="1" applyFill="1" applyBorder="1" applyAlignment="1">
      <alignment horizontal="center"/>
    </xf>
    <xf numFmtId="0" fontId="23" fillId="0" borderId="0" xfId="0" applyFont="1" applyAlignment="1">
      <alignment horizontal="center" vertical="center" textRotation="90"/>
    </xf>
    <xf numFmtId="0" fontId="30" fillId="11" borderId="0" xfId="0" applyFont="1" applyFill="1" applyAlignment="1">
      <alignment horizontal="center" vertical="center"/>
    </xf>
    <xf numFmtId="0" fontId="1" fillId="0" borderId="28" xfId="0" applyFont="1" applyBorder="1" applyAlignment="1">
      <alignment horizontal="center" wrapText="1"/>
    </xf>
    <xf numFmtId="0" fontId="1" fillId="0" borderId="39" xfId="0" applyFont="1" applyBorder="1" applyAlignment="1">
      <alignment horizontal="center" wrapText="1"/>
    </xf>
    <xf numFmtId="0" fontId="26" fillId="7" borderId="16" xfId="0" applyFont="1" applyFill="1" applyBorder="1" applyAlignment="1">
      <alignment horizontal="center" vertical="center"/>
    </xf>
    <xf numFmtId="0" fontId="27" fillId="9" borderId="15" xfId="0" applyFont="1" applyFill="1" applyBorder="1" applyAlignment="1">
      <alignment horizontal="center" vertical="center"/>
    </xf>
    <xf numFmtId="0" fontId="15" fillId="8" borderId="0" xfId="0" applyFont="1" applyFill="1" applyAlignment="1">
      <alignment horizontal="center" vertical="center"/>
    </xf>
    <xf numFmtId="0" fontId="12" fillId="12" borderId="0" xfId="0" applyFont="1" applyFill="1" applyAlignment="1">
      <alignment horizontal="center" vertical="center"/>
    </xf>
    <xf numFmtId="0" fontId="12" fillId="12" borderId="16" xfId="0" applyFont="1" applyFill="1" applyBorder="1" applyAlignment="1">
      <alignment horizontal="center" vertical="center"/>
    </xf>
    <xf numFmtId="0" fontId="15" fillId="0" borderId="3" xfId="0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33" fillId="4" borderId="0" xfId="0" applyFont="1" applyFill="1" applyAlignment="1">
      <alignment horizontal="center" vertical="center"/>
    </xf>
    <xf numFmtId="0" fontId="33" fillId="4" borderId="16" xfId="0" applyFont="1" applyFill="1" applyBorder="1" applyAlignment="1">
      <alignment horizontal="center" vertical="center"/>
    </xf>
    <xf numFmtId="0" fontId="2" fillId="10" borderId="15" xfId="0" applyFont="1" applyFill="1" applyBorder="1" applyAlignment="1">
      <alignment horizontal="center"/>
    </xf>
    <xf numFmtId="0" fontId="34" fillId="13" borderId="0" xfId="0" applyFont="1" applyFill="1" applyAlignment="1">
      <alignment horizontal="center" vertical="center"/>
    </xf>
    <xf numFmtId="0" fontId="34" fillId="13" borderId="16" xfId="0" applyFont="1" applyFill="1" applyBorder="1" applyAlignment="1">
      <alignment horizontal="center" vertical="center"/>
    </xf>
    <xf numFmtId="0" fontId="26" fillId="14" borderId="0" xfId="0" applyFont="1" applyFill="1" applyAlignment="1">
      <alignment horizontal="center" vertical="center"/>
    </xf>
    <xf numFmtId="0" fontId="2" fillId="10" borderId="17" xfId="0" applyFont="1" applyFill="1" applyBorder="1" applyAlignment="1">
      <alignment horizontal="center"/>
    </xf>
    <xf numFmtId="0" fontId="33" fillId="15" borderId="0" xfId="0" applyFont="1" applyFill="1" applyAlignment="1">
      <alignment horizontal="center" vertical="center"/>
    </xf>
    <xf numFmtId="0" fontId="33" fillId="15" borderId="16" xfId="0" applyFont="1" applyFill="1" applyBorder="1" applyAlignment="1">
      <alignment horizontal="center" vertical="center"/>
    </xf>
    <xf numFmtId="0" fontId="1" fillId="0" borderId="31" xfId="0" applyFont="1" applyBorder="1" applyAlignment="1">
      <alignment horizontal="center" vertical="center" wrapText="1"/>
    </xf>
    <xf numFmtId="0" fontId="1" fillId="0" borderId="29" xfId="0" applyFont="1" applyBorder="1" applyAlignment="1">
      <alignment horizontal="center" vertical="center" wrapText="1"/>
    </xf>
    <xf numFmtId="0" fontId="26" fillId="14" borderId="16" xfId="0" applyFont="1" applyFill="1" applyBorder="1" applyAlignment="1">
      <alignment horizontal="center" vertical="center"/>
    </xf>
    <xf numFmtId="0" fontId="1" fillId="0" borderId="47" xfId="0" applyFont="1" applyBorder="1" applyAlignment="1">
      <alignment horizontal="center" vertical="center" wrapText="1"/>
    </xf>
    <xf numFmtId="0" fontId="36" fillId="4" borderId="45" xfId="0" applyFont="1" applyFill="1" applyBorder="1" applyAlignment="1">
      <alignment horizontal="center" vertical="center"/>
    </xf>
    <xf numFmtId="0" fontId="36" fillId="4" borderId="46" xfId="0" applyFont="1" applyFill="1" applyBorder="1" applyAlignment="1">
      <alignment horizontal="center" vertical="center"/>
    </xf>
    <xf numFmtId="0" fontId="36" fillId="15" borderId="45" xfId="0" applyFont="1" applyFill="1" applyBorder="1" applyAlignment="1">
      <alignment horizontal="center" vertical="center"/>
    </xf>
    <xf numFmtId="0" fontId="36" fillId="15" borderId="44" xfId="0" applyFont="1" applyFill="1" applyBorder="1" applyAlignment="1">
      <alignment horizontal="center" vertical="center"/>
    </xf>
    <xf numFmtId="0" fontId="36" fillId="15" borderId="46" xfId="0" applyFont="1" applyFill="1" applyBorder="1" applyAlignment="1">
      <alignment horizontal="center" vertical="center"/>
    </xf>
    <xf numFmtId="0" fontId="36" fillId="18" borderId="45" xfId="0" applyFont="1" applyFill="1" applyBorder="1" applyAlignment="1">
      <alignment horizontal="center" vertical="center"/>
    </xf>
    <xf numFmtId="0" fontId="36" fillId="18" borderId="44" xfId="0" applyFont="1" applyFill="1" applyBorder="1" applyAlignment="1">
      <alignment horizontal="center" vertical="center"/>
    </xf>
    <xf numFmtId="0" fontId="36" fillId="18" borderId="46" xfId="0" applyFont="1" applyFill="1" applyBorder="1" applyAlignment="1">
      <alignment horizontal="center" vertical="center"/>
    </xf>
    <xf numFmtId="0" fontId="36" fillId="19" borderId="39" xfId="0" applyFont="1" applyFill="1" applyBorder="1" applyAlignment="1">
      <alignment horizontal="center" vertical="center"/>
    </xf>
    <xf numFmtId="0" fontId="36" fillId="19" borderId="42" xfId="0" applyFont="1" applyFill="1" applyBorder="1" applyAlignment="1">
      <alignment horizontal="center" vertical="center"/>
    </xf>
    <xf numFmtId="0" fontId="15" fillId="0" borderId="0" xfId="0" applyFont="1" applyAlignment="1">
      <alignment horizontal="center"/>
    </xf>
    <xf numFmtId="0" fontId="23" fillId="0" borderId="0" xfId="0" applyFont="1" applyAlignment="1">
      <alignment horizontal="center"/>
    </xf>
    <xf numFmtId="0" fontId="27" fillId="0" borderId="0" xfId="0" applyFont="1" applyAlignment="1">
      <alignment horizontal="center"/>
    </xf>
    <xf numFmtId="0" fontId="37" fillId="0" borderId="0" xfId="0" applyFont="1" applyAlignment="1">
      <alignment horizontal="center"/>
    </xf>
    <xf numFmtId="0" fontId="6" fillId="0" borderId="15" xfId="0" applyFont="1" applyBorder="1" applyAlignment="1">
      <alignment horizontal="center"/>
    </xf>
    <xf numFmtId="0" fontId="15" fillId="12" borderId="0" xfId="0" applyFont="1" applyFill="1" applyAlignment="1">
      <alignment horizontal="center" vertical="center" textRotation="90"/>
    </xf>
    <xf numFmtId="0" fontId="15" fillId="4" borderId="0" xfId="0" applyFont="1" applyFill="1" applyAlignment="1">
      <alignment horizontal="center" vertical="center" textRotation="90"/>
    </xf>
    <xf numFmtId="0" fontId="15" fillId="15" borderId="0" xfId="0" applyFont="1" applyFill="1" applyAlignment="1">
      <alignment horizontal="center" vertical="center" textRotation="90"/>
    </xf>
    <xf numFmtId="0" fontId="39" fillId="2" borderId="0" xfId="0" applyFont="1" applyFill="1" applyAlignment="1">
      <alignment horizontal="center"/>
    </xf>
    <xf numFmtId="0" fontId="40" fillId="23" borderId="0" xfId="0" applyFont="1" applyFill="1" applyAlignment="1">
      <alignment horizontal="center" vertical="center"/>
    </xf>
    <xf numFmtId="0" fontId="15" fillId="17" borderId="0" xfId="0" applyFont="1" applyFill="1" applyAlignment="1">
      <alignment horizontal="center" vertical="center" textRotation="90"/>
    </xf>
    <xf numFmtId="0" fontId="33" fillId="0" borderId="0" xfId="0" applyFont="1" applyAlignment="1">
      <alignment horizontal="center"/>
    </xf>
    <xf numFmtId="0" fontId="0" fillId="0" borderId="0" xfId="0"/>
    <xf numFmtId="0" fontId="75" fillId="0" borderId="0" xfId="0" applyFont="1" applyAlignment="1">
      <alignment horizontal="center"/>
    </xf>
    <xf numFmtId="0" fontId="57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53" fillId="17" borderId="0" xfId="0" applyFont="1" applyFill="1" applyAlignment="1">
      <alignment horizontal="center"/>
    </xf>
    <xf numFmtId="0" fontId="0" fillId="12" borderId="0" xfId="0" applyFill="1" applyAlignment="1">
      <alignment horizontal="center"/>
    </xf>
  </cellXfs>
  <cellStyles count="2">
    <cellStyle name="Hyperlink" xfId="1" builtinId="8"/>
    <cellStyle name="Normal" xfId="0" builtinId="0"/>
  </cellStyles>
  <dxfs count="3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'Tables for Paper'!$AE$3:$AE$111</c:f>
              <c:numCache>
                <c:formatCode>General</c:formatCode>
                <c:ptCount val="1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150</c:v>
                </c:pt>
                <c:pt idx="101">
                  <c:v>200</c:v>
                </c:pt>
                <c:pt idx="102">
                  <c:v>300</c:v>
                </c:pt>
                <c:pt idx="103">
                  <c:v>500</c:v>
                </c:pt>
                <c:pt idx="104">
                  <c:v>700</c:v>
                </c:pt>
                <c:pt idx="105">
                  <c:v>1000</c:v>
                </c:pt>
                <c:pt idx="106">
                  <c:v>2000</c:v>
                </c:pt>
                <c:pt idx="107">
                  <c:v>5000</c:v>
                </c:pt>
                <c:pt idx="108">
                  <c:v>10000</c:v>
                </c:pt>
              </c:numCache>
            </c:numRef>
          </c:xVal>
          <c:yVal>
            <c:numRef>
              <c:f>'Tables for Paper'!$AH$3:$AH$111</c:f>
              <c:numCache>
                <c:formatCode>General</c:formatCode>
                <c:ptCount val="109"/>
                <c:pt idx="0">
                  <c:v>0</c:v>
                </c:pt>
                <c:pt idx="1">
                  <c:v>-1.7173220464342647</c:v>
                </c:pt>
                <c:pt idx="2">
                  <c:v>-2.7218910452600253</c:v>
                </c:pt>
                <c:pt idx="3">
                  <c:v>-3.4346440928685293</c:v>
                </c:pt>
                <c:pt idx="4">
                  <c:v>-3.9874983075851791</c:v>
                </c:pt>
                <c:pt idx="5">
                  <c:v>-4.43921309169429</c:v>
                </c:pt>
                <c:pt idx="6">
                  <c:v>-4.8211324998152705</c:v>
                </c:pt>
                <c:pt idx="7">
                  <c:v>-5.151966139302794</c:v>
                </c:pt>
                <c:pt idx="8">
                  <c:v>-5.4437820905200516</c:v>
                </c:pt>
                <c:pt idx="9">
                  <c:v>-5.7048203540194438</c:v>
                </c:pt>
                <c:pt idx="10">
                  <c:v>-5.9409581868176051</c:v>
                </c:pt>
                <c:pt idx="11">
                  <c:v>-6.1565351381285547</c:v>
                </c:pt>
                <c:pt idx="12">
                  <c:v>-6.3548467094646952</c:v>
                </c:pt>
                <c:pt idx="13">
                  <c:v>-6.5384545462495351</c:v>
                </c:pt>
                <c:pt idx="14">
                  <c:v>-6.7093893528452044</c:v>
                </c:pt>
                <c:pt idx="15">
                  <c:v>-6.8692881857370587</c:v>
                </c:pt>
                <c:pt idx="16">
                  <c:v>-7.019490051260048</c:v>
                </c:pt>
                <c:pt idx="17">
                  <c:v>-7.1611041369543154</c:v>
                </c:pt>
                <c:pt idx="18">
                  <c:v>-7.2950595704913566</c:v>
                </c:pt>
                <c:pt idx="19">
                  <c:v>-7.4221424004537084</c:v>
                </c:pt>
                <c:pt idx="20">
                  <c:v>-7.5430235450752958</c:v>
                </c:pt>
                <c:pt idx="21">
                  <c:v>-7.6582802332518689</c:v>
                </c:pt>
                <c:pt idx="22">
                  <c:v>-7.7684126755480154</c:v>
                </c:pt>
                <c:pt idx="23">
                  <c:v>-7.8738571845628194</c:v>
                </c:pt>
                <c:pt idx="24">
                  <c:v>-7.9749966151703564</c:v>
                </c:pt>
                <c:pt idx="25">
                  <c:v>-8.0721687558989608</c:v>
                </c:pt>
                <c:pt idx="26">
                  <c:v>-8.1656731357800769</c:v>
                </c:pt>
                <c:pt idx="27">
                  <c:v>-8.2557765926837998</c:v>
                </c:pt>
                <c:pt idx="28">
                  <c:v>-8.3427178640912487</c:v>
                </c:pt>
                <c:pt idx="29">
                  <c:v>-8.4267113992794691</c:v>
                </c:pt>
                <c:pt idx="30">
                  <c:v>-8.5079505461906724</c:v>
                </c:pt>
                <c:pt idx="31">
                  <c:v>-8.5866102321713242</c:v>
                </c:pt>
                <c:pt idx="32">
                  <c:v>-8.6628492320776296</c:v>
                </c:pt>
                <c:pt idx="33">
                  <c:v>-8.7368120976943136</c:v>
                </c:pt>
                <c:pt idx="34">
                  <c:v>-8.8086308074004478</c:v>
                </c:pt>
                <c:pt idx="35">
                  <c:v>-8.87842618338858</c:v>
                </c:pt>
                <c:pt idx="36">
                  <c:v>-8.9463091146657767</c:v>
                </c:pt>
                <c:pt idx="37">
                  <c:v>-9.0123816169256195</c:v>
                </c:pt>
                <c:pt idx="38">
                  <c:v>-9.0767377547247179</c:v>
                </c:pt>
                <c:pt idx="39">
                  <c:v>-9.139464446887974</c:v>
                </c:pt>
                <c:pt idx="40">
                  <c:v>-9.200642172448724</c:v>
                </c:pt>
                <c:pt idx="41">
                  <c:v>-9.2603455915095605</c:v>
                </c:pt>
                <c:pt idx="42">
                  <c:v>-9.3186440930391292</c:v>
                </c:pt>
                <c:pt idx="43">
                  <c:v>-9.3756022796861345</c:v>
                </c:pt>
                <c:pt idx="44">
                  <c:v>-9.4312803981052298</c:v>
                </c:pt>
                <c:pt idx="45">
                  <c:v>-9.4857347219822792</c:v>
                </c:pt>
                <c:pt idx="46">
                  <c:v>-9.539017893863992</c:v>
                </c:pt>
                <c:pt idx="47">
                  <c:v>-9.5911792309970831</c:v>
                </c:pt>
                <c:pt idx="48">
                  <c:v>-9.642264999630541</c:v>
                </c:pt>
                <c:pt idx="49">
                  <c:v>-9.692318661604622</c:v>
                </c:pt>
                <c:pt idx="50">
                  <c:v>-9.7413810965200724</c:v>
                </c:pt>
                <c:pt idx="51">
                  <c:v>-9.7894908023332228</c:v>
                </c:pt>
                <c:pt idx="52">
                  <c:v>-9.8366840768431576</c:v>
                </c:pt>
                <c:pt idx="53">
                  <c:v>-9.8829951822143407</c:v>
                </c:pt>
                <c:pt idx="54">
                  <c:v>-9.9284564944027842</c:v>
                </c:pt>
                <c:pt idx="55">
                  <c:v>-9.9730986391180654</c:v>
                </c:pt>
                <c:pt idx="56">
                  <c:v>-10.01695061575138</c:v>
                </c:pt>
                <c:pt idx="57">
                  <c:v>-10.060039910525512</c:v>
                </c:pt>
                <c:pt idx="58">
                  <c:v>-10.102392599972381</c:v>
                </c:pt>
                <c:pt idx="59">
                  <c:v>-10.144033445713733</c:v>
                </c:pt>
                <c:pt idx="60">
                  <c:v>-10.184985981407598</c:v>
                </c:pt>
                <c:pt idx="61">
                  <c:v>-10.225272592624938</c:v>
                </c:pt>
                <c:pt idx="62">
                  <c:v>-10.264914590335321</c:v>
                </c:pt>
                <c:pt idx="63">
                  <c:v>-10.303932278605588</c:v>
                </c:pt>
                <c:pt idx="64">
                  <c:v>-10.342345017049873</c:v>
                </c:pt>
                <c:pt idx="65">
                  <c:v>-10.380171278511893</c:v>
                </c:pt>
                <c:pt idx="66">
                  <c:v>-10.417428702409714</c:v>
                </c:pt>
                <c:pt idx="67">
                  <c:v>-10.454134144128577</c:v>
                </c:pt>
                <c:pt idx="68">
                  <c:v>-10.49030372080804</c:v>
                </c:pt>
                <c:pt idx="69">
                  <c:v>-10.525952853834713</c:v>
                </c:pt>
                <c:pt idx="70">
                  <c:v>-10.561096308321007</c:v>
                </c:pt>
                <c:pt idx="71">
                  <c:v>-10.595748229822844</c:v>
                </c:pt>
                <c:pt idx="72">
                  <c:v>-10.6299221785249</c:v>
                </c:pt>
                <c:pt idx="73">
                  <c:v>-10.663631161100041</c:v>
                </c:pt>
                <c:pt idx="74">
                  <c:v>-10.696887660430383</c:v>
                </c:pt>
                <c:pt idx="75">
                  <c:v>-10.729703663359885</c:v>
                </c:pt>
                <c:pt idx="76">
                  <c:v>-10.762090686632877</c:v>
                </c:pt>
                <c:pt idx="77">
                  <c:v>-10.794059801158983</c:v>
                </c:pt>
                <c:pt idx="78">
                  <c:v>-10.825621654732423</c:v>
                </c:pt>
                <c:pt idx="79">
                  <c:v>-10.856786493322238</c:v>
                </c:pt>
                <c:pt idx="80">
                  <c:v>-10.887564181040101</c:v>
                </c:pt>
                <c:pt idx="81">
                  <c:v>-10.917964218882991</c:v>
                </c:pt>
                <c:pt idx="82">
                  <c:v>-10.947995762339835</c:v>
                </c:pt>
                <c:pt idx="83">
                  <c:v>-10.977667637943824</c:v>
                </c:pt>
                <c:pt idx="84">
                  <c:v>-11.006988358845225</c:v>
                </c:pt>
                <c:pt idx="85">
                  <c:v>-11.035966139473395</c:v>
                </c:pt>
                <c:pt idx="86">
                  <c:v>-11.064608909351273</c:v>
                </c:pt>
                <c:pt idx="87">
                  <c:v>-11.0929243261204</c:v>
                </c:pt>
                <c:pt idx="88">
                  <c:v>-11.120919787829997</c:v>
                </c:pt>
                <c:pt idx="89">
                  <c:v>-11.148602444539495</c:v>
                </c:pt>
                <c:pt idx="90">
                  <c:v>-11.175979209279966</c:v>
                </c:pt>
                <c:pt idx="91">
                  <c:v>-11.203056768416545</c:v>
                </c:pt>
                <c:pt idx="92">
                  <c:v>-11.229841591450699</c:v>
                </c:pt>
                <c:pt idx="93">
                  <c:v>-11.256339940298258</c:v>
                </c:pt>
                <c:pt idx="94">
                  <c:v>-11.282557878076535</c:v>
                </c:pt>
                <c:pt idx="95">
                  <c:v>-11.308501277431349</c:v>
                </c:pt>
                <c:pt idx="96">
                  <c:v>-11.334175828432581</c:v>
                </c:pt>
                <c:pt idx="97">
                  <c:v>-11.359587046064805</c:v>
                </c:pt>
                <c:pt idx="98">
                  <c:v>-11.384740277337658</c:v>
                </c:pt>
                <c:pt idx="99">
                  <c:v>-11.409640708038886</c:v>
                </c:pt>
                <c:pt idx="100">
                  <c:v>-12.414209706864646</c:v>
                </c:pt>
                <c:pt idx="101">
                  <c:v>-13.126962754473151</c:v>
                </c:pt>
                <c:pt idx="102">
                  <c:v>-14.131531753298912</c:v>
                </c:pt>
                <c:pt idx="103">
                  <c:v>-15.397139015624063</c:v>
                </c:pt>
                <c:pt idx="104">
                  <c:v>-16.230773207854156</c:v>
                </c:pt>
                <c:pt idx="105">
                  <c:v>-17.114461062058329</c:v>
                </c:pt>
                <c:pt idx="106">
                  <c:v>-18.831783108492594</c:v>
                </c:pt>
                <c:pt idx="107">
                  <c:v>-21.101959369643509</c:v>
                </c:pt>
                <c:pt idx="108">
                  <c:v>-22.819281416077771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86-8944-988A-859EFC22A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270127"/>
        <c:axId val="1600210511"/>
      </c:scatterChart>
      <c:valAx>
        <c:axId val="1600270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10511"/>
        <c:crosses val="autoZero"/>
        <c:crossBetween val="midCat"/>
      </c:valAx>
      <c:valAx>
        <c:axId val="160021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701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674914</xdr:colOff>
      <xdr:row>110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14</xdr:col>
      <xdr:colOff>155767</xdr:colOff>
      <xdr:row>82</xdr:row>
      <xdr:rowOff>15716</xdr:rowOff>
    </xdr:from>
    <xdr:to>
      <xdr:col>20</xdr:col>
      <xdr:colOff>174766</xdr:colOff>
      <xdr:row>93</xdr:row>
      <xdr:rowOff>152287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68086" y="16967455"/>
          <a:ext cx="4657260" cy="248331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129</xdr:row>
      <xdr:rowOff>1876</xdr:rowOff>
    </xdr:from>
    <xdr:to>
      <xdr:col>9</xdr:col>
      <xdr:colOff>565</xdr:colOff>
      <xdr:row>141</xdr:row>
      <xdr:rowOff>93393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5801360" y="27057956"/>
          <a:ext cx="2428240" cy="2407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1704435</xdr:colOff>
      <xdr:row>137</xdr:row>
      <xdr:rowOff>0</xdr:rowOff>
    </xdr:from>
    <xdr:to>
      <xdr:col>13</xdr:col>
      <xdr:colOff>1057652</xdr:colOff>
      <xdr:row>156</xdr:row>
      <xdr:rowOff>96955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0798262" y="28488765"/>
          <a:ext cx="3736332" cy="3671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</xdr:col>
      <xdr:colOff>55815</xdr:colOff>
      <xdr:row>122</xdr:row>
      <xdr:rowOff>181306</xdr:rowOff>
    </xdr:from>
    <xdr:to>
      <xdr:col>27</xdr:col>
      <xdr:colOff>120757</xdr:colOff>
      <xdr:row>140</xdr:row>
      <xdr:rowOff>138959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20962790" y="25463911"/>
          <a:ext cx="3458723" cy="343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119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125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208</xdr:row>
      <xdr:rowOff>108857</xdr:rowOff>
    </xdr:from>
    <xdr:to>
      <xdr:col>12</xdr:col>
      <xdr:colOff>794657</xdr:colOff>
      <xdr:row>208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233</xdr:row>
      <xdr:rowOff>108857</xdr:rowOff>
    </xdr:from>
    <xdr:to>
      <xdr:col>12</xdr:col>
      <xdr:colOff>794657</xdr:colOff>
      <xdr:row>233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250</xdr:row>
      <xdr:rowOff>108857</xdr:rowOff>
    </xdr:from>
    <xdr:to>
      <xdr:col>12</xdr:col>
      <xdr:colOff>794657</xdr:colOff>
      <xdr:row>250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266</xdr:row>
      <xdr:rowOff>108857</xdr:rowOff>
    </xdr:from>
    <xdr:to>
      <xdr:col>12</xdr:col>
      <xdr:colOff>794657</xdr:colOff>
      <xdr:row>266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223</xdr:row>
      <xdr:rowOff>146010</xdr:rowOff>
    </xdr:from>
    <xdr:to>
      <xdr:col>13</xdr:col>
      <xdr:colOff>178792</xdr:colOff>
      <xdr:row>230</xdr:row>
      <xdr:rowOff>85999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529299</xdr:colOff>
      <xdr:row>70</xdr:row>
      <xdr:rowOff>158597</xdr:rowOff>
    </xdr:from>
    <xdr:to>
      <xdr:col>12</xdr:col>
      <xdr:colOff>1249068</xdr:colOff>
      <xdr:row>82</xdr:row>
      <xdr:rowOff>163408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7198" y="14607148"/>
          <a:ext cx="4732232" cy="2701260"/>
        </a:xfrm>
        <a:prstGeom prst="rect">
          <a:avLst/>
        </a:prstGeom>
      </xdr:spPr>
    </xdr:pic>
    <xdr:clientData/>
  </xdr:twoCellAnchor>
  <xdr:twoCellAnchor editAs="oneCell">
    <xdr:from>
      <xdr:col>0</xdr:col>
      <xdr:colOff>757271</xdr:colOff>
      <xdr:row>144</xdr:row>
      <xdr:rowOff>144351</xdr:rowOff>
    </xdr:from>
    <xdr:to>
      <xdr:col>8</xdr:col>
      <xdr:colOff>866125</xdr:colOff>
      <xdr:row>152</xdr:row>
      <xdr:rowOff>166787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7271" y="29832902"/>
          <a:ext cx="7406753" cy="1568523"/>
        </a:xfrm>
        <a:prstGeom prst="rect">
          <a:avLst/>
        </a:prstGeom>
      </xdr:spPr>
    </xdr:pic>
    <xdr:clientData/>
  </xdr:twoCellAnchor>
  <xdr:twoCellAnchor editAs="oneCell">
    <xdr:from>
      <xdr:col>7</xdr:col>
      <xdr:colOff>68852</xdr:colOff>
      <xdr:row>120</xdr:row>
      <xdr:rowOff>62715</xdr:rowOff>
    </xdr:from>
    <xdr:to>
      <xdr:col>13</xdr:col>
      <xdr:colOff>744884</xdr:colOff>
      <xdr:row>134</xdr:row>
      <xdr:rowOff>159925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ACAF5E-41BE-E91D-0972-2D3087CDA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01678" y="25076193"/>
          <a:ext cx="6823568" cy="2839674"/>
        </a:xfrm>
        <a:prstGeom prst="rect">
          <a:avLst/>
        </a:prstGeom>
      </xdr:spPr>
    </xdr:pic>
    <xdr:clientData/>
  </xdr:twoCellAnchor>
  <xdr:twoCellAnchor editAs="oneCell">
    <xdr:from>
      <xdr:col>1</xdr:col>
      <xdr:colOff>80100</xdr:colOff>
      <xdr:row>78</xdr:row>
      <xdr:rowOff>110947</xdr:rowOff>
    </xdr:from>
    <xdr:to>
      <xdr:col>5</xdr:col>
      <xdr:colOff>865073</xdr:colOff>
      <xdr:row>86</xdr:row>
      <xdr:rowOff>81397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D36D597-1A9F-C01E-1D26-D84B34F8D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9593" y="16243628"/>
          <a:ext cx="4539755" cy="1801827"/>
        </a:xfrm>
        <a:prstGeom prst="rect">
          <a:avLst/>
        </a:prstGeom>
      </xdr:spPr>
    </xdr:pic>
    <xdr:clientData/>
  </xdr:twoCellAnchor>
  <xdr:twoCellAnchor editAs="oneCell">
    <xdr:from>
      <xdr:col>0</xdr:col>
      <xdr:colOff>223869</xdr:colOff>
      <xdr:row>120</xdr:row>
      <xdr:rowOff>9055</xdr:rowOff>
    </xdr:from>
    <xdr:to>
      <xdr:col>6</xdr:col>
      <xdr:colOff>493296</xdr:colOff>
      <xdr:row>141</xdr:row>
      <xdr:rowOff>67690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B36B79-8DAB-EA1A-7C9E-AA638431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869" y="24886114"/>
          <a:ext cx="5957746" cy="4135442"/>
        </a:xfrm>
        <a:prstGeom prst="rect">
          <a:avLst/>
        </a:prstGeom>
      </xdr:spPr>
    </xdr:pic>
    <xdr:clientData/>
  </xdr:twoCellAnchor>
  <xdr:twoCellAnchor editAs="oneCell">
    <xdr:from>
      <xdr:col>13</xdr:col>
      <xdr:colOff>560355</xdr:colOff>
      <xdr:row>119</xdr:row>
      <xdr:rowOff>145542</xdr:rowOff>
    </xdr:from>
    <xdr:to>
      <xdr:col>20</xdr:col>
      <xdr:colOff>191062</xdr:colOff>
      <xdr:row>137</xdr:row>
      <xdr:rowOff>1874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191990A-6186-8C3E-2BD8-8AD36166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40717" y="24956556"/>
          <a:ext cx="5400925" cy="3381043"/>
        </a:xfrm>
        <a:prstGeom prst="rect">
          <a:avLst/>
        </a:prstGeom>
      </xdr:spPr>
    </xdr:pic>
    <xdr:clientData/>
  </xdr:twoCellAnchor>
  <xdr:oneCellAnchor>
    <xdr:from>
      <xdr:col>28</xdr:col>
      <xdr:colOff>674914</xdr:colOff>
      <xdr:row>78</xdr:row>
      <xdr:rowOff>152400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01D62A4-A337-8045-B7CA-BF75B3279F0D}"/>
            </a:ext>
          </a:extLst>
        </xdr:cNvPr>
        <xdr:cNvSpPr txBox="1"/>
      </xdr:nvSpPr>
      <xdr:spPr>
        <a:xfrm>
          <a:off x="18540292" y="22916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34</xdr:col>
      <xdr:colOff>100844</xdr:colOff>
      <xdr:row>70</xdr:row>
      <xdr:rowOff>26844</xdr:rowOff>
    </xdr:from>
    <xdr:to>
      <xdr:col>43</xdr:col>
      <xdr:colOff>541347</xdr:colOff>
      <xdr:row>91</xdr:row>
      <xdr:rowOff>31862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90247C2-7D02-1C94-AC5E-EFFD38C2E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408960" y="14475395"/>
          <a:ext cx="6542025" cy="4643279"/>
        </a:xfrm>
        <a:prstGeom prst="rect">
          <a:avLst/>
        </a:prstGeom>
      </xdr:spPr>
    </xdr:pic>
    <xdr:clientData/>
  </xdr:twoCellAnchor>
  <xdr:twoCellAnchor>
    <xdr:from>
      <xdr:col>19</xdr:col>
      <xdr:colOff>27609</xdr:colOff>
      <xdr:row>76</xdr:row>
      <xdr:rowOff>36812</xdr:rowOff>
    </xdr:from>
    <xdr:to>
      <xdr:col>23</xdr:col>
      <xdr:colOff>598188</xdr:colOff>
      <xdr:row>104</xdr:row>
      <xdr:rowOff>202464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98CF71E-E708-C862-2932-5D5C7151A374}"/>
            </a:ext>
          </a:extLst>
        </xdr:cNvPr>
        <xdr:cNvCxnSpPr/>
      </xdr:nvCxnSpPr>
      <xdr:spPr>
        <a:xfrm flipV="1">
          <a:off x="17706377" y="15736957"/>
          <a:ext cx="3598333" cy="6055507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524565</xdr:colOff>
      <xdr:row>93</xdr:row>
      <xdr:rowOff>82211</xdr:rowOff>
    </xdr:from>
    <xdr:to>
      <xdr:col>42</xdr:col>
      <xdr:colOff>220869</xdr:colOff>
      <xdr:row>98</xdr:row>
      <xdr:rowOff>180789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787E45-C63F-BA26-C081-0820440EE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832681" y="19573950"/>
          <a:ext cx="5126014" cy="1175317"/>
        </a:xfrm>
        <a:prstGeom prst="rect">
          <a:avLst/>
        </a:prstGeom>
      </xdr:spPr>
    </xdr:pic>
    <xdr:clientData/>
  </xdr:twoCellAnchor>
  <xdr:twoCellAnchor>
    <xdr:from>
      <xdr:col>24</xdr:col>
      <xdr:colOff>662609</xdr:colOff>
      <xdr:row>92</xdr:row>
      <xdr:rowOff>9203</xdr:rowOff>
    </xdr:from>
    <xdr:to>
      <xdr:col>26</xdr:col>
      <xdr:colOff>515362</xdr:colOff>
      <xdr:row>101</xdr:row>
      <xdr:rowOff>18406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11322577-BD80-BB42-C063-B5183ED8AB9A}"/>
            </a:ext>
          </a:extLst>
        </xdr:cNvPr>
        <xdr:cNvCxnSpPr/>
      </xdr:nvCxnSpPr>
      <xdr:spPr>
        <a:xfrm flipH="1">
          <a:off x="22040942" y="19298478"/>
          <a:ext cx="1233188" cy="190500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640154</xdr:colOff>
      <xdr:row>91</xdr:row>
      <xdr:rowOff>180008</xdr:rowOff>
    </xdr:from>
    <xdr:to>
      <xdr:col>31</xdr:col>
      <xdr:colOff>506159</xdr:colOff>
      <xdr:row>101</xdr:row>
      <xdr:rowOff>138044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DE0F26B3-6A97-D645-AC5A-588C5702889F}"/>
            </a:ext>
          </a:extLst>
        </xdr:cNvPr>
        <xdr:cNvCxnSpPr/>
      </xdr:nvCxnSpPr>
      <xdr:spPr>
        <a:xfrm>
          <a:off x="25469574" y="19266820"/>
          <a:ext cx="1246440" cy="2056296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599723</xdr:colOff>
      <xdr:row>21</xdr:row>
      <xdr:rowOff>70555</xdr:rowOff>
    </xdr:from>
    <xdr:to>
      <xdr:col>17</xdr:col>
      <xdr:colOff>811388</xdr:colOff>
      <xdr:row>21</xdr:row>
      <xdr:rowOff>70555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35C6E23-991D-BF47-E41B-C0DE55E84DDA}"/>
            </a:ext>
          </a:extLst>
        </xdr:cNvPr>
        <xdr:cNvCxnSpPr/>
      </xdr:nvCxnSpPr>
      <xdr:spPr>
        <a:xfrm>
          <a:off x="13276204" y="4045185"/>
          <a:ext cx="1975554" cy="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70556</xdr:colOff>
      <xdr:row>21</xdr:row>
      <xdr:rowOff>70555</xdr:rowOff>
    </xdr:from>
    <xdr:to>
      <xdr:col>23</xdr:col>
      <xdr:colOff>352778</xdr:colOff>
      <xdr:row>21</xdr:row>
      <xdr:rowOff>82315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33CCCB96-ED94-D049-A84D-CBE18864E27A}"/>
            </a:ext>
          </a:extLst>
        </xdr:cNvPr>
        <xdr:cNvCxnSpPr/>
      </xdr:nvCxnSpPr>
      <xdr:spPr>
        <a:xfrm flipV="1">
          <a:off x="18038704" y="4045185"/>
          <a:ext cx="2046111" cy="11760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446854</xdr:colOff>
      <xdr:row>14</xdr:row>
      <xdr:rowOff>70556</xdr:rowOff>
    </xdr:from>
    <xdr:to>
      <xdr:col>19</xdr:col>
      <xdr:colOff>458613</xdr:colOff>
      <xdr:row>19</xdr:row>
      <xdr:rowOff>141111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F369C80-CFF5-B542-A6CD-B5799FD98BAD}"/>
            </a:ext>
          </a:extLst>
        </xdr:cNvPr>
        <xdr:cNvCxnSpPr/>
      </xdr:nvCxnSpPr>
      <xdr:spPr>
        <a:xfrm>
          <a:off x="16651113" y="2716389"/>
          <a:ext cx="11759" cy="1023055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446383</xdr:colOff>
      <xdr:row>23</xdr:row>
      <xdr:rowOff>70085</xdr:rowOff>
    </xdr:from>
    <xdr:to>
      <xdr:col>19</xdr:col>
      <xdr:colOff>458142</xdr:colOff>
      <xdr:row>28</xdr:row>
      <xdr:rowOff>152399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D386F5A-507B-7F43-9698-1E3761E032CD}"/>
            </a:ext>
          </a:extLst>
        </xdr:cNvPr>
        <xdr:cNvCxnSpPr/>
      </xdr:nvCxnSpPr>
      <xdr:spPr>
        <a:xfrm>
          <a:off x="16650642" y="4421011"/>
          <a:ext cx="11759" cy="1023055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442147</xdr:colOff>
      <xdr:row>4</xdr:row>
      <xdr:rowOff>162983</xdr:rowOff>
    </xdr:from>
    <xdr:to>
      <xdr:col>39</xdr:col>
      <xdr:colOff>604425</xdr:colOff>
      <xdr:row>19</xdr:row>
      <xdr:rowOff>60442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130F44-7880-E59F-615B-525E82D01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516466</xdr:colOff>
      <xdr:row>41</xdr:row>
      <xdr:rowOff>2</xdr:rowOff>
    </xdr:from>
    <xdr:to>
      <xdr:col>8</xdr:col>
      <xdr:colOff>5286</xdr:colOff>
      <xdr:row>48</xdr:row>
      <xdr:rowOff>50114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7AB6D7-A12A-A223-9426-01063C72A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78666" y="8051802"/>
          <a:ext cx="3620553" cy="144711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152400</xdr:colOff>
      <xdr:row>4</xdr:row>
      <xdr:rowOff>12700</xdr:rowOff>
    </xdr:from>
    <xdr:to>
      <xdr:col>16</xdr:col>
      <xdr:colOff>787400</xdr:colOff>
      <xdr:row>4</xdr:row>
      <xdr:rowOff>12700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8CF8959-04B0-D102-8B08-9204DC14F0EF}"/>
            </a:ext>
          </a:extLst>
        </xdr:cNvPr>
        <xdr:cNvCxnSpPr/>
      </xdr:nvCxnSpPr>
      <xdr:spPr>
        <a:xfrm>
          <a:off x="11709400" y="850900"/>
          <a:ext cx="228600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203431</xdr:colOff>
      <xdr:row>7</xdr:row>
      <xdr:rowOff>145243</xdr:rowOff>
    </xdr:from>
    <xdr:to>
      <xdr:col>47</xdr:col>
      <xdr:colOff>507632</xdr:colOff>
      <xdr:row>21</xdr:row>
      <xdr:rowOff>144444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64810" y="1524726"/>
          <a:ext cx="8537305" cy="2758166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95738</xdr:colOff>
      <xdr:row>246</xdr:row>
      <xdr:rowOff>193688</xdr:rowOff>
    </xdr:from>
    <xdr:to>
      <xdr:col>8</xdr:col>
      <xdr:colOff>1316</xdr:colOff>
      <xdr:row>265</xdr:row>
      <xdr:rowOff>34124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3324" y="53489895"/>
          <a:ext cx="4244336" cy="4066471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992376</xdr:colOff>
      <xdr:row>89</xdr:row>
      <xdr:rowOff>188082</xdr:rowOff>
    </xdr:from>
    <xdr:to>
      <xdr:col>65</xdr:col>
      <xdr:colOff>43793</xdr:colOff>
      <xdr:row>106</xdr:row>
      <xdr:rowOff>142707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7298"/>
        <a:stretch>
          <a:fillRect/>
        </a:stretch>
      </xdr:blipFill>
      <xdr:spPr>
        <a:xfrm>
          <a:off x="56828583" y="18559289"/>
          <a:ext cx="6474348" cy="3917901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94844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59</xdr:col>
      <xdr:colOff>212467</xdr:colOff>
      <xdr:row>1</xdr:row>
      <xdr:rowOff>113691</xdr:rowOff>
    </xdr:from>
    <xdr:to>
      <xdr:col>65</xdr:col>
      <xdr:colOff>560451</xdr:colOff>
      <xdr:row>21</xdr:row>
      <xdr:rowOff>125787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041260" y="310760"/>
          <a:ext cx="5778329" cy="3953475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13</xdr:col>
      <xdr:colOff>620200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218</xdr:row>
      <xdr:rowOff>157112</xdr:rowOff>
    </xdr:from>
    <xdr:to>
      <xdr:col>101</xdr:col>
      <xdr:colOff>266352</xdr:colOff>
      <xdr:row>218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17318</xdr:colOff>
      <xdr:row>206</xdr:row>
      <xdr:rowOff>182217</xdr:rowOff>
    </xdr:from>
    <xdr:to>
      <xdr:col>88</xdr:col>
      <xdr:colOff>81529</xdr:colOff>
      <xdr:row>290</xdr:row>
      <xdr:rowOff>17318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76806136" y="43875990"/>
          <a:ext cx="64211" cy="1845214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127</xdr:row>
      <xdr:rowOff>28872</xdr:rowOff>
    </xdr:from>
    <xdr:to>
      <xdr:col>28</xdr:col>
      <xdr:colOff>7550</xdr:colOff>
      <xdr:row>155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 flipH="1">
          <a:off x="23827946" y="26616494"/>
          <a:ext cx="7550" cy="637604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43</xdr:row>
      <xdr:rowOff>7824</xdr:rowOff>
    </xdr:from>
    <xdr:to>
      <xdr:col>66</xdr:col>
      <xdr:colOff>4383</xdr:colOff>
      <xdr:row>71</xdr:row>
      <xdr:rowOff>60960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 flipH="1">
          <a:off x="58795920" y="8145984"/>
          <a:ext cx="4383" cy="663681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195385</xdr:rowOff>
    </xdr:from>
    <xdr:to>
      <xdr:col>79</xdr:col>
      <xdr:colOff>136769</xdr:colOff>
      <xdr:row>56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9924462" y="11390923"/>
          <a:ext cx="11195538" cy="1953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268657</xdr:colOff>
      <xdr:row>118</xdr:row>
      <xdr:rowOff>80876</xdr:rowOff>
    </xdr:from>
    <xdr:to>
      <xdr:col>38</xdr:col>
      <xdr:colOff>1054</xdr:colOff>
      <xdr:row>121</xdr:row>
      <xdr:rowOff>183254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354519" y="25152428"/>
          <a:ext cx="5161191" cy="781172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95</xdr:row>
      <xdr:rowOff>204082</xdr:rowOff>
    </xdr:from>
    <xdr:to>
      <xdr:col>152</xdr:col>
      <xdr:colOff>1624</xdr:colOff>
      <xdr:row>110</xdr:row>
      <xdr:rowOff>99728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9142946" y="19801496"/>
          <a:ext cx="6357518" cy="3530473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79</xdr:col>
      <xdr:colOff>265592</xdr:colOff>
      <xdr:row>106</xdr:row>
      <xdr:rowOff>76525</xdr:rowOff>
    </xdr:from>
    <xdr:to>
      <xdr:col>85</xdr:col>
      <xdr:colOff>563650</xdr:colOff>
      <xdr:row>118</xdr:row>
      <xdr:rowOff>59249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r="6392"/>
        <a:stretch>
          <a:fillRect/>
        </a:stretch>
      </xdr:blipFill>
      <xdr:spPr>
        <a:xfrm>
          <a:off x="76237277" y="22037536"/>
          <a:ext cx="5763339" cy="2736768"/>
        </a:xfrm>
        <a:prstGeom prst="rect">
          <a:avLst/>
        </a:prstGeom>
      </xdr:spPr>
    </xdr:pic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101</xdr:col>
      <xdr:colOff>190724</xdr:colOff>
      <xdr:row>219</xdr:row>
      <xdr:rowOff>72567</xdr:rowOff>
    </xdr:from>
    <xdr:to>
      <xdr:col>109</xdr:col>
      <xdr:colOff>368397</xdr:colOff>
      <xdr:row>223</xdr:row>
      <xdr:rowOff>220636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031931" y="47106360"/>
          <a:ext cx="5629914" cy="1002036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234</xdr:row>
      <xdr:rowOff>103823</xdr:rowOff>
    </xdr:from>
    <xdr:to>
      <xdr:col>102</xdr:col>
      <xdr:colOff>6483</xdr:colOff>
      <xdr:row>234</xdr:row>
      <xdr:rowOff>125349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84018916" y="51485269"/>
          <a:ext cx="12323953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30602</xdr:colOff>
      <xdr:row>232</xdr:row>
      <xdr:rowOff>170480</xdr:rowOff>
    </xdr:from>
    <xdr:to>
      <xdr:col>80</xdr:col>
      <xdr:colOff>167371</xdr:colOff>
      <xdr:row>232</xdr:row>
      <xdr:rowOff>171620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63943735" y="50021805"/>
          <a:ext cx="12959178" cy="11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251</xdr:row>
      <xdr:rowOff>157023</xdr:rowOff>
    </xdr:from>
    <xdr:to>
      <xdr:col>101</xdr:col>
      <xdr:colOff>389643</xdr:colOff>
      <xdr:row>251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168313</xdr:colOff>
      <xdr:row>207</xdr:row>
      <xdr:rowOff>0</xdr:rowOff>
    </xdr:from>
    <xdr:to>
      <xdr:col>80</xdr:col>
      <xdr:colOff>195385</xdr:colOff>
      <xdr:row>245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6903855" y="44006265"/>
          <a:ext cx="27072" cy="89206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60960</xdr:colOff>
      <xdr:row>42</xdr:row>
      <xdr:rowOff>156308</xdr:rowOff>
    </xdr:from>
    <xdr:to>
      <xdr:col>28</xdr:col>
      <xdr:colOff>98608</xdr:colOff>
      <xdr:row>74</xdr:row>
      <xdr:rowOff>213360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4063960" y="8004908"/>
          <a:ext cx="37648" cy="7189372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311727</xdr:colOff>
      <xdr:row>152</xdr:row>
      <xdr:rowOff>34637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5321474" y="26667610"/>
          <a:ext cx="12617" cy="595984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305812</xdr:colOff>
      <xdr:row>207</xdr:row>
      <xdr:rowOff>1524</xdr:rowOff>
    </xdr:from>
    <xdr:to>
      <xdr:col>22</xdr:col>
      <xdr:colOff>357374</xdr:colOff>
      <xdr:row>237</xdr:row>
      <xdr:rowOff>40886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20499713" y="44460531"/>
          <a:ext cx="51562" cy="713695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98778</xdr:colOff>
      <xdr:row>227</xdr:row>
      <xdr:rowOff>169333</xdr:rowOff>
    </xdr:from>
    <xdr:to>
      <xdr:col>42</xdr:col>
      <xdr:colOff>228598</xdr:colOff>
      <xdr:row>227</xdr:row>
      <xdr:rowOff>190197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821445" y="48260000"/>
          <a:ext cx="12914486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39077</xdr:colOff>
      <xdr:row>207</xdr:row>
      <xdr:rowOff>0</xdr:rowOff>
    </xdr:from>
    <xdr:to>
      <xdr:col>29</xdr:col>
      <xdr:colOff>70555</xdr:colOff>
      <xdr:row>239</xdr:row>
      <xdr:rowOff>42334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>
          <a:off x="24761744" y="43645667"/>
          <a:ext cx="31478" cy="738011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244</xdr:row>
      <xdr:rowOff>183614</xdr:rowOff>
    </xdr:from>
    <xdr:to>
      <xdr:col>80</xdr:col>
      <xdr:colOff>122410</xdr:colOff>
      <xdr:row>244</xdr:row>
      <xdr:rowOff>183614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>
          <a:off x="63913133" y="52911566"/>
          <a:ext cx="12944819" cy="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267</xdr:row>
      <xdr:rowOff>157023</xdr:rowOff>
    </xdr:from>
    <xdr:to>
      <xdr:col>101</xdr:col>
      <xdr:colOff>389643</xdr:colOff>
      <xdr:row>267</xdr:row>
      <xdr:rowOff>169333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A8DDE77-11E1-AD4A-9730-7B72A6D1DCDE}"/>
            </a:ext>
          </a:extLst>
        </xdr:cNvPr>
        <xdr:cNvCxnSpPr/>
      </xdr:nvCxnSpPr>
      <xdr:spPr>
        <a:xfrm flipV="1">
          <a:off x="83246686" y="54498509"/>
          <a:ext cx="12001071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579050</xdr:colOff>
      <xdr:row>156</xdr:row>
      <xdr:rowOff>150090</xdr:rowOff>
    </xdr:from>
    <xdr:to>
      <xdr:col>160</xdr:col>
      <xdr:colOff>554182</xdr:colOff>
      <xdr:row>156</xdr:row>
      <xdr:rowOff>173182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36D82DBB-CFDE-4435-87A5-AD9FBF9AA22A}"/>
            </a:ext>
          </a:extLst>
        </xdr:cNvPr>
        <xdr:cNvCxnSpPr/>
      </xdr:nvCxnSpPr>
      <xdr:spPr>
        <a:xfrm>
          <a:off x="125737550" y="33660772"/>
          <a:ext cx="4443223" cy="23092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477360</xdr:colOff>
      <xdr:row>126</xdr:row>
      <xdr:rowOff>173182</xdr:rowOff>
    </xdr:from>
    <xdr:to>
      <xdr:col>153</xdr:col>
      <xdr:colOff>484909</xdr:colOff>
      <xdr:row>157</xdr:row>
      <xdr:rowOff>8882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E55531EF-D7AF-4E2B-B32D-20B76C8E4C12}"/>
            </a:ext>
          </a:extLst>
        </xdr:cNvPr>
        <xdr:cNvCxnSpPr/>
      </xdr:nvCxnSpPr>
      <xdr:spPr>
        <a:xfrm flipH="1">
          <a:off x="125635860" y="26704637"/>
          <a:ext cx="7549" cy="704006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352136</xdr:colOff>
      <xdr:row>151</xdr:row>
      <xdr:rowOff>138545</xdr:rowOff>
    </xdr:from>
    <xdr:to>
      <xdr:col>91</xdr:col>
      <xdr:colOff>484909</xdr:colOff>
      <xdr:row>151</xdr:row>
      <xdr:rowOff>174069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7E8C34FD-B26D-400B-A6E2-6F7E80F8784D}"/>
            </a:ext>
          </a:extLst>
        </xdr:cNvPr>
        <xdr:cNvCxnSpPr/>
      </xdr:nvCxnSpPr>
      <xdr:spPr>
        <a:xfrm flipV="1">
          <a:off x="75374500" y="32523545"/>
          <a:ext cx="4393045" cy="3552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69273</xdr:colOff>
      <xdr:row>289</xdr:row>
      <xdr:rowOff>121227</xdr:rowOff>
    </xdr:from>
    <xdr:to>
      <xdr:col>93</xdr:col>
      <xdr:colOff>484909</xdr:colOff>
      <xdr:row>289</xdr:row>
      <xdr:rowOff>138545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3625EB5C-2FFF-40E4-882E-D96979C82130}"/>
            </a:ext>
          </a:extLst>
        </xdr:cNvPr>
        <xdr:cNvCxnSpPr/>
      </xdr:nvCxnSpPr>
      <xdr:spPr>
        <a:xfrm>
          <a:off x="76858091" y="62241545"/>
          <a:ext cx="4398818" cy="17318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91440</xdr:colOff>
      <xdr:row>70</xdr:row>
      <xdr:rowOff>152400</xdr:rowOff>
    </xdr:from>
    <xdr:to>
      <xdr:col>71</xdr:col>
      <xdr:colOff>398585</xdr:colOff>
      <xdr:row>70</xdr:row>
      <xdr:rowOff>164123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279E26CD-5141-4B8C-87DF-FADDA8EC1B79}"/>
            </a:ext>
          </a:extLst>
        </xdr:cNvPr>
        <xdr:cNvCxnSpPr/>
      </xdr:nvCxnSpPr>
      <xdr:spPr>
        <a:xfrm>
          <a:off x="58741994" y="14513169"/>
          <a:ext cx="3976468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731608</xdr:colOff>
      <xdr:row>114</xdr:row>
      <xdr:rowOff>162820</xdr:rowOff>
    </xdr:from>
    <xdr:to>
      <xdr:col>73</xdr:col>
      <xdr:colOff>42333</xdr:colOff>
      <xdr:row>114</xdr:row>
      <xdr:rowOff>183444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D214DF04-ED05-455E-8463-04AAB91DB634}"/>
            </a:ext>
          </a:extLst>
        </xdr:cNvPr>
        <xdr:cNvCxnSpPr/>
      </xdr:nvCxnSpPr>
      <xdr:spPr>
        <a:xfrm>
          <a:off x="59970052" y="23770709"/>
          <a:ext cx="3826281" cy="2062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14111</xdr:colOff>
      <xdr:row>114</xdr:row>
      <xdr:rowOff>183444</xdr:rowOff>
    </xdr:from>
    <xdr:to>
      <xdr:col>68</xdr:col>
      <xdr:colOff>54274</xdr:colOff>
      <xdr:row>126</xdr:row>
      <xdr:rowOff>119401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B32EAF1C-B51C-4CE9-8A02-470B237B529E}"/>
            </a:ext>
          </a:extLst>
        </xdr:cNvPr>
        <xdr:cNvCxnSpPr/>
      </xdr:nvCxnSpPr>
      <xdr:spPr>
        <a:xfrm flipH="1" flipV="1">
          <a:off x="60028667" y="23791333"/>
          <a:ext cx="40163" cy="25888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37203</xdr:colOff>
      <xdr:row>238</xdr:row>
      <xdr:rowOff>194989</xdr:rowOff>
    </xdr:from>
    <xdr:to>
      <xdr:col>33</xdr:col>
      <xdr:colOff>381000</xdr:colOff>
      <xdr:row>238</xdr:row>
      <xdr:rowOff>211666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04862CC2-608A-41A2-B206-E1B06B0904F1}"/>
            </a:ext>
          </a:extLst>
        </xdr:cNvPr>
        <xdr:cNvCxnSpPr/>
      </xdr:nvCxnSpPr>
      <xdr:spPr>
        <a:xfrm>
          <a:off x="24759870" y="50952656"/>
          <a:ext cx="3702241" cy="166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108</xdr:col>
      <xdr:colOff>16565</xdr:colOff>
      <xdr:row>246</xdr:row>
      <xdr:rowOff>115956</xdr:rowOff>
    </xdr:from>
    <xdr:to>
      <xdr:col>112</xdr:col>
      <xdr:colOff>484909</xdr:colOff>
      <xdr:row>246</xdr:row>
      <xdr:rowOff>138545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5964D69B-3103-4CBF-A704-B195D7765006}"/>
            </a:ext>
          </a:extLst>
        </xdr:cNvPr>
        <xdr:cNvCxnSpPr/>
      </xdr:nvCxnSpPr>
      <xdr:spPr>
        <a:xfrm>
          <a:off x="91705043" y="52992130"/>
          <a:ext cx="2919996" cy="2258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579783</xdr:colOff>
      <xdr:row>233</xdr:row>
      <xdr:rowOff>132522</xdr:rowOff>
    </xdr:from>
    <xdr:to>
      <xdr:col>107</xdr:col>
      <xdr:colOff>588558</xdr:colOff>
      <xdr:row>246</xdr:row>
      <xdr:rowOff>115956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A0DDBBBC-5AA1-4527-B5DC-C44DA5480CFA}"/>
            </a:ext>
          </a:extLst>
        </xdr:cNvPr>
        <xdr:cNvCxnSpPr/>
      </xdr:nvCxnSpPr>
      <xdr:spPr>
        <a:xfrm flipH="1">
          <a:off x="91655348" y="49877870"/>
          <a:ext cx="8775" cy="311426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0</xdr:colOff>
      <xdr:row>206</xdr:row>
      <xdr:rowOff>167640</xdr:rowOff>
    </xdr:from>
    <xdr:to>
      <xdr:col>67</xdr:col>
      <xdr:colOff>8776</xdr:colOff>
      <xdr:row>223</xdr:row>
      <xdr:rowOff>76200</xdr:rowOff>
    </xdr:to>
    <xdr:cxnSp macro="">
      <xdr:nvCxnSpPr>
        <xdr:cNvPr id="77" name="Straight Arrow Connector 76">
          <a:extLst>
            <a:ext uri="{FF2B5EF4-FFF2-40B4-BE49-F238E27FC236}">
              <a16:creationId xmlns:a16="http://schemas.microsoft.com/office/drawing/2014/main" id="{43F497B4-5BF3-417E-9B2D-6B6681A1D401}"/>
            </a:ext>
          </a:extLst>
        </xdr:cNvPr>
        <xdr:cNvCxnSpPr/>
      </xdr:nvCxnSpPr>
      <xdr:spPr>
        <a:xfrm flipH="1">
          <a:off x="59496960" y="43906440"/>
          <a:ext cx="8776" cy="365760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23553</xdr:colOff>
      <xdr:row>223</xdr:row>
      <xdr:rowOff>90747</xdr:rowOff>
    </xdr:from>
    <xdr:to>
      <xdr:col>71</xdr:col>
      <xdr:colOff>274320</xdr:colOff>
      <xdr:row>223</xdr:row>
      <xdr:rowOff>106680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4189892D-3247-4BBD-BB1F-2DED4A78B81B}"/>
            </a:ext>
          </a:extLst>
        </xdr:cNvPr>
        <xdr:cNvCxnSpPr/>
      </xdr:nvCxnSpPr>
      <xdr:spPr>
        <a:xfrm>
          <a:off x="59520513" y="47578587"/>
          <a:ext cx="3237807" cy="159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84667</xdr:colOff>
      <xdr:row>223</xdr:row>
      <xdr:rowOff>106680</xdr:rowOff>
    </xdr:from>
    <xdr:to>
      <xdr:col>51</xdr:col>
      <xdr:colOff>274320</xdr:colOff>
      <xdr:row>223</xdr:row>
      <xdr:rowOff>108857</xdr:rowOff>
    </xdr:to>
    <xdr:cxnSp macro="">
      <xdr:nvCxnSpPr>
        <xdr:cNvPr id="84" name="Straight Arrow Connector 83">
          <a:extLst>
            <a:ext uri="{FF2B5EF4-FFF2-40B4-BE49-F238E27FC236}">
              <a16:creationId xmlns:a16="http://schemas.microsoft.com/office/drawing/2014/main" id="{5794B6E9-5C6A-4FE0-8C2F-49761F059955}"/>
            </a:ext>
          </a:extLst>
        </xdr:cNvPr>
        <xdr:cNvCxnSpPr/>
      </xdr:nvCxnSpPr>
      <xdr:spPr>
        <a:xfrm flipV="1">
          <a:off x="42720381" y="47362775"/>
          <a:ext cx="3648891" cy="21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36285</xdr:colOff>
      <xdr:row>207</xdr:row>
      <xdr:rowOff>0</xdr:rowOff>
    </xdr:from>
    <xdr:to>
      <xdr:col>48</xdr:col>
      <xdr:colOff>45061</xdr:colOff>
      <xdr:row>223</xdr:row>
      <xdr:rowOff>102084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80CE3BEC-2CAD-425B-9A2C-24F110F39628}"/>
            </a:ext>
          </a:extLst>
        </xdr:cNvPr>
        <xdr:cNvCxnSpPr/>
      </xdr:nvCxnSpPr>
      <xdr:spPr>
        <a:xfrm flipH="1">
          <a:off x="42671999" y="43700095"/>
          <a:ext cx="8776" cy="365808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41189</xdr:colOff>
      <xdr:row>155</xdr:row>
      <xdr:rowOff>123567</xdr:rowOff>
    </xdr:from>
    <xdr:to>
      <xdr:col>32</xdr:col>
      <xdr:colOff>484909</xdr:colOff>
      <xdr:row>155</xdr:row>
      <xdr:rowOff>138545</xdr:rowOff>
    </xdr:to>
    <xdr:cxnSp macro="">
      <xdr:nvCxnSpPr>
        <xdr:cNvPr id="88" name="Straight Arrow Connector 87">
          <a:extLst>
            <a:ext uri="{FF2B5EF4-FFF2-40B4-BE49-F238E27FC236}">
              <a16:creationId xmlns:a16="http://schemas.microsoft.com/office/drawing/2014/main" id="{E8A54D75-416B-4339-A0F7-B0AF2A482222}"/>
            </a:ext>
          </a:extLst>
        </xdr:cNvPr>
        <xdr:cNvCxnSpPr/>
      </xdr:nvCxnSpPr>
      <xdr:spPr>
        <a:xfrm>
          <a:off x="23869135" y="33116108"/>
          <a:ext cx="3800639" cy="1497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76200</xdr:colOff>
      <xdr:row>74</xdr:row>
      <xdr:rowOff>152400</xdr:rowOff>
    </xdr:from>
    <xdr:to>
      <xdr:col>32</xdr:col>
      <xdr:colOff>398585</xdr:colOff>
      <xdr:row>74</xdr:row>
      <xdr:rowOff>164123</xdr:rowOff>
    </xdr:to>
    <xdr:cxnSp macro="">
      <xdr:nvCxnSpPr>
        <xdr:cNvPr id="91" name="Straight Arrow Connector 90">
          <a:extLst>
            <a:ext uri="{FF2B5EF4-FFF2-40B4-BE49-F238E27FC236}">
              <a16:creationId xmlns:a16="http://schemas.microsoft.com/office/drawing/2014/main" id="{F7296357-0EB3-44B7-91AE-1872EE14866C}"/>
            </a:ext>
          </a:extLst>
        </xdr:cNvPr>
        <xdr:cNvCxnSpPr/>
      </xdr:nvCxnSpPr>
      <xdr:spPr>
        <a:xfrm>
          <a:off x="24079200" y="15133320"/>
          <a:ext cx="3705665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41189</xdr:colOff>
      <xdr:row>137</xdr:row>
      <xdr:rowOff>123567</xdr:rowOff>
    </xdr:from>
    <xdr:to>
      <xdr:col>52</xdr:col>
      <xdr:colOff>484909</xdr:colOff>
      <xdr:row>137</xdr:row>
      <xdr:rowOff>138545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31451BF1-62AB-4C55-978F-345A0E7144F7}"/>
            </a:ext>
          </a:extLst>
        </xdr:cNvPr>
        <xdr:cNvCxnSpPr/>
      </xdr:nvCxnSpPr>
      <xdr:spPr>
        <a:xfrm>
          <a:off x="24044189" y="33377247"/>
          <a:ext cx="3827000" cy="1497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15240</xdr:colOff>
      <xdr:row>127</xdr:row>
      <xdr:rowOff>76200</xdr:rowOff>
    </xdr:from>
    <xdr:to>
      <xdr:col>48</xdr:col>
      <xdr:colOff>15240</xdr:colOff>
      <xdr:row>137</xdr:row>
      <xdr:rowOff>60960</xdr:rowOff>
    </xdr:to>
    <xdr:cxnSp macro="">
      <xdr:nvCxnSpPr>
        <xdr:cNvPr id="95" name="Straight Arrow Connector 94">
          <a:extLst>
            <a:ext uri="{FF2B5EF4-FFF2-40B4-BE49-F238E27FC236}">
              <a16:creationId xmlns:a16="http://schemas.microsoft.com/office/drawing/2014/main" id="{A3E054B9-40C2-4CCC-AED3-EC561BAFD73F}"/>
            </a:ext>
          </a:extLst>
        </xdr:cNvPr>
        <xdr:cNvCxnSpPr/>
      </xdr:nvCxnSpPr>
      <xdr:spPr>
        <a:xfrm>
          <a:off x="42717720" y="26700480"/>
          <a:ext cx="0" cy="236220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76200</xdr:colOff>
      <xdr:row>60</xdr:row>
      <xdr:rowOff>152400</xdr:rowOff>
    </xdr:from>
    <xdr:to>
      <xdr:col>51</xdr:col>
      <xdr:colOff>398585</xdr:colOff>
      <xdr:row>60</xdr:row>
      <xdr:rowOff>164123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D21E701E-5271-4648-B2FA-4ABC60AF2571}"/>
            </a:ext>
          </a:extLst>
        </xdr:cNvPr>
        <xdr:cNvCxnSpPr/>
      </xdr:nvCxnSpPr>
      <xdr:spPr>
        <a:xfrm>
          <a:off x="23989553" y="15033812"/>
          <a:ext cx="3706561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44824</xdr:colOff>
      <xdr:row>42</xdr:row>
      <xdr:rowOff>67235</xdr:rowOff>
    </xdr:from>
    <xdr:to>
      <xdr:col>47</xdr:col>
      <xdr:colOff>67235</xdr:colOff>
      <xdr:row>61</xdr:row>
      <xdr:rowOff>0</xdr:rowOff>
    </xdr:to>
    <xdr:cxnSp macro="">
      <xdr:nvCxnSpPr>
        <xdr:cNvPr id="101" name="Straight Arrow Connector 100">
          <a:extLst>
            <a:ext uri="{FF2B5EF4-FFF2-40B4-BE49-F238E27FC236}">
              <a16:creationId xmlns:a16="http://schemas.microsoft.com/office/drawing/2014/main" id="{E715F346-4ADF-43AB-B888-44CF8AA5DD29}"/>
            </a:ext>
          </a:extLst>
        </xdr:cNvPr>
        <xdr:cNvCxnSpPr/>
      </xdr:nvCxnSpPr>
      <xdr:spPr>
        <a:xfrm>
          <a:off x="41753118" y="7821706"/>
          <a:ext cx="22411" cy="4213412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6" Type="http://schemas.openxmlformats.org/officeDocument/2006/relationships/hyperlink" Target="https://pubs.geoscienceworld.org/msa/ammin/article-abstract/79/1-2/134/42837/Enthalpy-of-formation-of-wollastonite-CaSiO3-and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1" Type="http://schemas.openxmlformats.org/officeDocument/2006/relationships/hyperlink" Target="https://www.economics.utoronto.ca/munro5/BlastFurnaceHydraulic.pdf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nergy.gov/sites/prod/files/2013/11/f4/stone.pdf" TargetMode="External"/><Relationship Id="rId13" Type="http://schemas.openxmlformats.org/officeDocument/2006/relationships/hyperlink" Target="https://scijournals.onlinelibrary.wiley.com/doi/full/10.1002/ese3.40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kanadevia-inova.com/renewable-gas/liquefaction/" TargetMode="External"/><Relationship Id="rId2" Type="http://schemas.openxmlformats.org/officeDocument/2006/relationships/hyperlink" Target="https://www.energy.gov/sites/prod/files/2013/11/f4/stone.pdf" TargetMode="External"/><Relationship Id="rId16" Type="http://schemas.openxmlformats.org/officeDocument/2006/relationships/drawing" Target="../drawings/drawing4.xm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dmre.gov.za/Portals/0/Energy_Website/files/media/explained/statistics_energyoutlook_2002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printerSettings" Target="../printerSettings/printerSettings1.bin"/><Relationship Id="rId10" Type="http://schemas.openxmlformats.org/officeDocument/2006/relationships/hyperlink" Target="https://www.energy.gov/sites/prod/files/2015/08/f26/iron_and_steel_bandwidth_report_0.pdf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ispatguru.com/calcination-of-limestone/" TargetMode="External"/><Relationship Id="rId14" Type="http://schemas.openxmlformats.org/officeDocument/2006/relationships/hyperlink" Target="https://www.advancedenergy.com/getmedia/fffbe6eb-14ab-46b2-8b14-eb04ea9883ff/en-im-steel-coke-oven-application-note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O76"/>
  <sheetViews>
    <sheetView topLeftCell="AH1" zoomScale="173" workbookViewId="0">
      <selection activeCell="AH13" sqref="AE13:AH13"/>
    </sheetView>
  </sheetViews>
  <sheetFormatPr defaultColWidth="11.5546875" defaultRowHeight="14.4"/>
  <cols>
    <col min="2" max="2" width="9.77734375" customWidth="1"/>
    <col min="21" max="21" width="9.77734375" customWidth="1"/>
    <col min="22" max="22" width="10.44140625" customWidth="1"/>
    <col min="23" max="23" width="12.109375" customWidth="1"/>
    <col min="24" max="25" width="11.44140625" customWidth="1"/>
    <col min="26" max="26" width="15.77734375" customWidth="1"/>
    <col min="27" max="28" width="11.44140625" customWidth="1"/>
    <col min="35" max="35" width="12.33203125" customWidth="1"/>
  </cols>
  <sheetData>
    <row r="2" spans="2:41" ht="16.95" customHeight="1">
      <c r="R2" s="311" t="s">
        <v>95</v>
      </c>
      <c r="S2" s="312"/>
      <c r="T2" s="311" t="s">
        <v>100</v>
      </c>
      <c r="U2" s="312"/>
      <c r="W2" s="311" t="s">
        <v>164</v>
      </c>
      <c r="X2" s="315"/>
      <c r="Y2" s="312"/>
      <c r="Z2" s="20" t="s">
        <v>51</v>
      </c>
      <c r="AB2" s="20" t="s">
        <v>93</v>
      </c>
      <c r="AC2" s="20" t="s">
        <v>270</v>
      </c>
      <c r="AF2" s="20" t="s">
        <v>573</v>
      </c>
      <c r="AG2" s="20" t="s">
        <v>573</v>
      </c>
      <c r="AI2" s="313" t="s">
        <v>305</v>
      </c>
      <c r="AJ2" s="313"/>
    </row>
    <row r="3" spans="2:41" ht="18" customHeight="1">
      <c r="C3" s="20" t="s">
        <v>53</v>
      </c>
      <c r="D3" s="7" t="s">
        <v>5</v>
      </c>
      <c r="E3" s="4" t="s">
        <v>6</v>
      </c>
      <c r="F3" s="5" t="s">
        <v>39</v>
      </c>
      <c r="G3" s="5" t="s">
        <v>39</v>
      </c>
      <c r="H3" s="5" t="s">
        <v>580</v>
      </c>
      <c r="J3" s="20" t="s">
        <v>54</v>
      </c>
      <c r="K3" s="5" t="s">
        <v>55</v>
      </c>
      <c r="M3" s="20" t="s">
        <v>56</v>
      </c>
      <c r="N3" s="20" t="s">
        <v>92</v>
      </c>
      <c r="O3" s="20" t="s">
        <v>102</v>
      </c>
      <c r="Q3" s="20" t="s">
        <v>93</v>
      </c>
      <c r="R3" s="20" t="s">
        <v>39</v>
      </c>
      <c r="S3" s="20" t="s">
        <v>94</v>
      </c>
      <c r="T3" s="20" t="s">
        <v>96</v>
      </c>
      <c r="U3" s="20" t="s">
        <v>97</v>
      </c>
      <c r="W3" s="20" t="s">
        <v>163</v>
      </c>
      <c r="X3" s="20" t="s">
        <v>170</v>
      </c>
      <c r="Y3" s="20" t="s">
        <v>363</v>
      </c>
      <c r="Z3" s="20" t="s">
        <v>52</v>
      </c>
      <c r="AB3" s="20" t="s">
        <v>40</v>
      </c>
      <c r="AC3" s="20" t="s">
        <v>271</v>
      </c>
      <c r="AF3" s="20" t="s">
        <v>271</v>
      </c>
      <c r="AG3" s="20" t="s">
        <v>574</v>
      </c>
      <c r="AI3" s="20" t="s">
        <v>250</v>
      </c>
      <c r="AJ3" s="20" t="s">
        <v>306</v>
      </c>
      <c r="AK3" s="20" t="s">
        <v>32</v>
      </c>
      <c r="AL3" s="20" t="s">
        <v>33</v>
      </c>
      <c r="AM3" s="20" t="s">
        <v>34</v>
      </c>
      <c r="AN3" s="20" t="s">
        <v>569</v>
      </c>
      <c r="AO3" s="20" t="s">
        <v>35</v>
      </c>
    </row>
    <row r="4" spans="2:41" ht="18" customHeight="1">
      <c r="C4" s="20" t="s">
        <v>57</v>
      </c>
      <c r="D4" s="7" t="s">
        <v>58</v>
      </c>
      <c r="E4" s="4" t="s">
        <v>13</v>
      </c>
      <c r="F4" s="5" t="s">
        <v>57</v>
      </c>
      <c r="G4" s="5" t="s">
        <v>271</v>
      </c>
      <c r="H4" s="5" t="s">
        <v>483</v>
      </c>
      <c r="J4" s="20" t="s">
        <v>59</v>
      </c>
      <c r="K4" s="5" t="s">
        <v>60</v>
      </c>
      <c r="M4" s="20" t="s">
        <v>61</v>
      </c>
      <c r="N4" s="20" t="s">
        <v>62</v>
      </c>
      <c r="O4" s="20" t="s">
        <v>57</v>
      </c>
      <c r="Q4" s="20" t="s">
        <v>40</v>
      </c>
      <c r="R4" s="21" t="s">
        <v>98</v>
      </c>
      <c r="S4" s="22" t="s">
        <v>101</v>
      </c>
      <c r="T4" s="21" t="s">
        <v>98</v>
      </c>
      <c r="U4" s="22" t="s">
        <v>101</v>
      </c>
      <c r="W4" s="20">
        <v>1.0550600000000001</v>
      </c>
      <c r="X4" s="20">
        <v>3600</v>
      </c>
      <c r="Y4" s="20">
        <f>4.184/1000</f>
        <v>4.1840000000000002E-3</v>
      </c>
      <c r="Z4" s="20">
        <v>1000</v>
      </c>
      <c r="AB4" s="20" t="s">
        <v>64</v>
      </c>
      <c r="AC4" s="20">
        <f>1000*50</f>
        <v>50000</v>
      </c>
      <c r="AE4" s="9" t="s">
        <v>64</v>
      </c>
      <c r="AF4" s="20">
        <v>9496.4</v>
      </c>
      <c r="AG4" s="15">
        <f>AF4/LHV_CH4</f>
        <v>0.18992799999999999</v>
      </c>
      <c r="AI4" s="20" t="s">
        <v>91</v>
      </c>
      <c r="AJ4" s="20" t="s">
        <v>271</v>
      </c>
      <c r="AK4" s="20" t="s">
        <v>91</v>
      </c>
      <c r="AL4" s="20" t="s">
        <v>91</v>
      </c>
      <c r="AM4" s="20" t="s">
        <v>91</v>
      </c>
      <c r="AN4" s="20" t="s">
        <v>271</v>
      </c>
      <c r="AO4" s="20" t="s">
        <v>91</v>
      </c>
    </row>
    <row r="5" spans="2:41" ht="16.95" customHeight="1">
      <c r="B5" s="1" t="s">
        <v>17</v>
      </c>
      <c r="C5" s="20">
        <v>0</v>
      </c>
      <c r="D5" s="2">
        <f>12.011/1000</f>
        <v>1.2010999999999999E-2</v>
      </c>
      <c r="E5" s="4">
        <f>K5</f>
        <v>410.3</v>
      </c>
      <c r="F5" s="5">
        <v>0</v>
      </c>
      <c r="G5" s="5">
        <f>F5/MW_C</f>
        <v>0</v>
      </c>
      <c r="H5" s="5" t="s">
        <v>602</v>
      </c>
      <c r="J5" s="20" t="s">
        <v>17</v>
      </c>
      <c r="K5" s="20">
        <v>410.3</v>
      </c>
      <c r="M5" s="20">
        <f>8.314/1000</f>
        <v>8.3140000000000002E-3</v>
      </c>
      <c r="N5" s="20">
        <v>298</v>
      </c>
      <c r="O5" s="20">
        <f>M5*N5</f>
        <v>2.4775719999999999</v>
      </c>
      <c r="Q5" s="20" t="s">
        <v>22</v>
      </c>
      <c r="R5" s="20">
        <f>115131.4/1000</f>
        <v>115.1314</v>
      </c>
      <c r="S5" s="20">
        <f>315.97/1000</f>
        <v>0.31597000000000003</v>
      </c>
      <c r="T5" s="20">
        <v>9.3640000000000008</v>
      </c>
      <c r="U5" s="20">
        <v>0.21368500000000001</v>
      </c>
      <c r="AB5" s="22" t="s">
        <v>388</v>
      </c>
      <c r="AC5" s="20">
        <v>43400</v>
      </c>
      <c r="AI5" s="20">
        <v>1.0437000000000001</v>
      </c>
      <c r="AJ5" s="20">
        <v>30080</v>
      </c>
      <c r="AK5" s="20">
        <v>0.18820000000000001</v>
      </c>
      <c r="AL5" s="20">
        <v>6.0999999999999999E-2</v>
      </c>
      <c r="AM5" s="20">
        <v>4.0399999999999998E-2</v>
      </c>
      <c r="AN5" s="20">
        <v>2442</v>
      </c>
      <c r="AO5" s="20">
        <v>9417</v>
      </c>
    </row>
    <row r="6" spans="2:41" ht="18" customHeight="1">
      <c r="B6" s="1" t="s">
        <v>20</v>
      </c>
      <c r="C6" s="20">
        <v>-1128.8432</v>
      </c>
      <c r="D6" s="2">
        <f>(40.078+12.011+(3*15.9994))/1000</f>
        <v>0.1000872</v>
      </c>
      <c r="E6" s="13">
        <f>K6+K5+((3/2)*K9)+C6</f>
        <v>11.256799999999885</v>
      </c>
      <c r="F6" s="7">
        <v>-1207.5999999999999</v>
      </c>
      <c r="G6" s="5">
        <f>F6/MW_CaCO3</f>
        <v>-12065.478902397108</v>
      </c>
      <c r="H6" s="5">
        <f>0.76*MW_CaCO3</f>
        <v>7.6066272000000004E-2</v>
      </c>
      <c r="J6" s="20" t="s">
        <v>30</v>
      </c>
      <c r="K6" s="20">
        <v>723.8</v>
      </c>
      <c r="Q6" s="20" t="s">
        <v>67</v>
      </c>
      <c r="R6" s="20">
        <f>94827.84/1000</f>
        <v>94.827839999999995</v>
      </c>
      <c r="S6" s="20">
        <f>270.35/1000</f>
        <v>0.27035000000000003</v>
      </c>
      <c r="T6" s="20">
        <v>9.9039999999999999</v>
      </c>
      <c r="U6" s="20">
        <v>0.18872</v>
      </c>
      <c r="AB6" s="22" t="s">
        <v>402</v>
      </c>
      <c r="AC6" s="20">
        <v>39500</v>
      </c>
      <c r="AI6" s="314" t="s">
        <v>548</v>
      </c>
      <c r="AJ6" s="314"/>
    </row>
    <row r="7" spans="2:41" ht="18" customHeight="1">
      <c r="B7" s="1" t="s">
        <v>21</v>
      </c>
      <c r="C7" s="20">
        <v>-1549.7117599999999</v>
      </c>
      <c r="D7" s="2">
        <f>(40.078+(3*15.9994)+28.0855)/1000</f>
        <v>0.11616169999999999</v>
      </c>
      <c r="E7" s="13">
        <f>C7+K10+K6+ ((3/2)*K9)</f>
        <v>34.288240000000087</v>
      </c>
      <c r="F7" s="7">
        <f>-89.61</f>
        <v>-89.61</v>
      </c>
      <c r="G7" s="5">
        <f>F7/MW_CaSiO3</f>
        <v>-771.42466062394067</v>
      </c>
      <c r="H7" s="5" t="s">
        <v>602</v>
      </c>
      <c r="J7" s="20" t="s">
        <v>15</v>
      </c>
      <c r="K7" s="20">
        <v>376.8</v>
      </c>
      <c r="Q7" s="16" t="s">
        <v>66</v>
      </c>
      <c r="R7" s="20">
        <f>73347.52/1000</f>
        <v>73.347520000000003</v>
      </c>
      <c r="S7" s="20">
        <f>256/1000</f>
        <v>0.25600000000000001</v>
      </c>
      <c r="T7" s="20">
        <f>8669/1000</f>
        <v>8.6690000000000005</v>
      </c>
      <c r="U7" s="20">
        <f>191.502/1000</f>
        <v>0.19150200000000001</v>
      </c>
      <c r="AB7" s="22" t="s">
        <v>389</v>
      </c>
      <c r="AC7" s="20">
        <v>42600</v>
      </c>
      <c r="AI7" s="20" t="s">
        <v>306</v>
      </c>
    </row>
    <row r="8" spans="2:41" ht="18" customHeight="1">
      <c r="B8" s="24" t="s">
        <v>63</v>
      </c>
      <c r="C8" s="20">
        <v>-394.4</v>
      </c>
      <c r="D8" s="2">
        <f>MW_C+(2*MW_O)</f>
        <v>4.4009800000000002E-2</v>
      </c>
      <c r="E8" s="4">
        <f>C8+K5+K9</f>
        <v>19.900000000000034</v>
      </c>
      <c r="F8" s="5">
        <v>-393.5</v>
      </c>
      <c r="G8" s="5">
        <f>F8/MW_CO2</f>
        <v>-8941.1903712354979</v>
      </c>
      <c r="H8" s="5" t="s">
        <v>602</v>
      </c>
      <c r="J8" s="20" t="s">
        <v>65</v>
      </c>
      <c r="K8" s="20">
        <v>236.1</v>
      </c>
      <c r="Q8" s="23"/>
      <c r="AI8" s="20" t="s">
        <v>271</v>
      </c>
    </row>
    <row r="9" spans="2:41" ht="18" customHeight="1">
      <c r="B9" s="24" t="s">
        <v>15</v>
      </c>
      <c r="C9" s="20">
        <v>0</v>
      </c>
      <c r="D9" s="8">
        <f>55.845/1000</f>
        <v>5.5844999999999999E-2</v>
      </c>
      <c r="E9" s="13">
        <f>C9+K7</f>
        <v>376.8</v>
      </c>
      <c r="F9" s="7">
        <v>0</v>
      </c>
      <c r="G9" s="5">
        <f>F9/MW_Fe</f>
        <v>0</v>
      </c>
      <c r="H9" s="5" t="s">
        <v>602</v>
      </c>
      <c r="J9" s="7" t="s">
        <v>23</v>
      </c>
      <c r="K9" s="20">
        <v>4</v>
      </c>
      <c r="Q9" s="24"/>
      <c r="AI9" s="20">
        <v>33412</v>
      </c>
    </row>
    <row r="10" spans="2:41" ht="18" customHeight="1">
      <c r="B10" s="1" t="s">
        <v>14</v>
      </c>
      <c r="C10" s="20">
        <v>-742.24159999999995</v>
      </c>
      <c r="D10" s="2">
        <f>((2*55.845)+(3*15.9994))/1000</f>
        <v>0.1596882</v>
      </c>
      <c r="E10" s="4">
        <f>C10+(2*K7)+((3/2)*K9)</f>
        <v>17.358400000000074</v>
      </c>
      <c r="F10" s="5">
        <v>-824.2</v>
      </c>
      <c r="G10" s="5">
        <f>F10/MW_Fe2O3</f>
        <v>-5161.3080991582347</v>
      </c>
      <c r="H10" s="5" t="s">
        <v>602</v>
      </c>
      <c r="J10" s="20" t="s">
        <v>29</v>
      </c>
      <c r="K10" s="20">
        <v>854.2</v>
      </c>
    </row>
    <row r="11" spans="2:41" ht="18" customHeight="1">
      <c r="B11" s="24" t="s">
        <v>28</v>
      </c>
      <c r="C11" s="20">
        <v>231.74757600000001</v>
      </c>
      <c r="D11" s="8">
        <f>15.9994/1000</f>
        <v>1.59994E-2</v>
      </c>
      <c r="E11" s="13">
        <f>C11+(0.5*K9)</f>
        <v>233.74757600000001</v>
      </c>
      <c r="F11" s="7">
        <v>249.2</v>
      </c>
      <c r="G11" s="5">
        <f>F11/MW_O</f>
        <v>15575.584084403165</v>
      </c>
      <c r="H11" s="5" t="s">
        <v>602</v>
      </c>
      <c r="J11" s="7" t="s">
        <v>66</v>
      </c>
      <c r="K11" s="20">
        <v>0.7</v>
      </c>
    </row>
    <row r="12" spans="2:41" ht="18" customHeight="1">
      <c r="B12" s="24" t="s">
        <v>23</v>
      </c>
      <c r="C12" s="20">
        <v>0</v>
      </c>
      <c r="D12" s="2">
        <f>2*MW_O</f>
        <v>3.1998800000000001E-2</v>
      </c>
      <c r="E12" s="4">
        <f>C12+K9</f>
        <v>4</v>
      </c>
      <c r="F12" s="5">
        <v>0</v>
      </c>
      <c r="G12" s="5">
        <f>F12/MW_O2</f>
        <v>0</v>
      </c>
      <c r="H12" s="5" t="s">
        <v>602</v>
      </c>
      <c r="J12" s="20" t="s">
        <v>239</v>
      </c>
      <c r="K12" s="20">
        <v>794.3</v>
      </c>
    </row>
    <row r="13" spans="2:41" ht="18" customHeight="1">
      <c r="B13" s="24" t="s">
        <v>29</v>
      </c>
      <c r="C13" s="20">
        <v>0</v>
      </c>
      <c r="D13" s="8">
        <f>28.0855/1000</f>
        <v>2.8085499999999999E-2</v>
      </c>
      <c r="E13" s="13">
        <f>C13+K10</f>
        <v>854.2</v>
      </c>
      <c r="F13" s="7">
        <v>0</v>
      </c>
      <c r="G13" s="5">
        <f>F13/MW_Si</f>
        <v>0</v>
      </c>
      <c r="H13" s="5" t="s">
        <v>602</v>
      </c>
      <c r="J13" s="7" t="s">
        <v>242</v>
      </c>
      <c r="K13" s="20">
        <v>124.2</v>
      </c>
    </row>
    <row r="14" spans="2:41" ht="18" customHeight="1">
      <c r="B14" s="1" t="s">
        <v>16</v>
      </c>
      <c r="C14" s="20">
        <v>-856.67399999999998</v>
      </c>
      <c r="D14" s="2">
        <f>(28.0855+(2*15.9994))/1000</f>
        <v>6.00843E-2</v>
      </c>
      <c r="E14" s="4">
        <f>C14+K10+K9</f>
        <v>1.5260000000000673</v>
      </c>
      <c r="F14" s="5">
        <v>-910.7</v>
      </c>
      <c r="G14" s="5">
        <f>F14/MW_SIO2</f>
        <v>-15157.037695371337</v>
      </c>
      <c r="H14" s="5" t="s">
        <v>602</v>
      </c>
      <c r="J14" s="20" t="s">
        <v>240</v>
      </c>
      <c r="K14" s="20">
        <v>629.6</v>
      </c>
    </row>
    <row r="15" spans="2:41" ht="16.05" customHeight="1">
      <c r="B15" s="24" t="s">
        <v>112</v>
      </c>
      <c r="C15" s="20">
        <v>-137.27704</v>
      </c>
      <c r="D15" s="20">
        <f>MW_C + MW_O</f>
        <v>2.8010399999999998E-2</v>
      </c>
      <c r="E15" s="20">
        <f>C15+K5+(0.5*K9)</f>
        <v>275.02296000000001</v>
      </c>
      <c r="F15" s="20">
        <v>-110.5</v>
      </c>
      <c r="G15" s="5">
        <f>F15/MW_CO</f>
        <v>-3944.9632993459577</v>
      </c>
      <c r="H15" s="5" t="s">
        <v>602</v>
      </c>
      <c r="J15" s="20" t="s">
        <v>241</v>
      </c>
      <c r="K15" s="20">
        <v>336.6</v>
      </c>
    </row>
    <row r="16" spans="2:41" ht="16.05" customHeight="1">
      <c r="B16" s="24" t="s">
        <v>113</v>
      </c>
      <c r="C16" s="20">
        <v>-603.54200000000003</v>
      </c>
      <c r="D16" s="20">
        <f>(40.078+15.9994)/1000</f>
        <v>5.6077400000000006E-2</v>
      </c>
      <c r="E16" s="20">
        <f>C16+(0.5*K9)+(b_ch_Ca)</f>
        <v>122.25799999999992</v>
      </c>
      <c r="F16" s="20">
        <v>-634.9</v>
      </c>
      <c r="G16" s="5">
        <f>F16/MW_CaO</f>
        <v>-11321.85158370395</v>
      </c>
      <c r="H16" s="5" t="s">
        <v>602</v>
      </c>
      <c r="J16" s="20" t="s">
        <v>133</v>
      </c>
      <c r="K16" s="20">
        <v>607.29999999999995</v>
      </c>
    </row>
    <row r="17" spans="2:11" ht="16.95" customHeight="1">
      <c r="B17" s="14" t="s">
        <v>64</v>
      </c>
      <c r="C17" s="20">
        <v>-50.7</v>
      </c>
      <c r="D17" s="20">
        <f>MW_C + (4*MW_H)</f>
        <v>1.604276E-2</v>
      </c>
      <c r="E17" s="20">
        <f>C17+K5+(2*K8)</f>
        <v>831.8</v>
      </c>
      <c r="F17" s="20">
        <v>-74.599999999999994</v>
      </c>
      <c r="G17" s="5">
        <f>MW_CH4</f>
        <v>1.604276E-2</v>
      </c>
      <c r="H17" s="5" t="s">
        <v>602</v>
      </c>
      <c r="J17" s="20" t="s">
        <v>246</v>
      </c>
      <c r="K17" s="20">
        <v>366.5</v>
      </c>
    </row>
    <row r="18" spans="2:11" ht="18" customHeight="1">
      <c r="B18" s="24" t="s">
        <v>66</v>
      </c>
      <c r="C18" s="20">
        <v>0</v>
      </c>
      <c r="D18" s="20">
        <f>(2*14.00674)/1000</f>
        <v>2.801348E-2</v>
      </c>
      <c r="E18" s="20">
        <f>C18+K11</f>
        <v>0.7</v>
      </c>
      <c r="F18" s="20">
        <v>0</v>
      </c>
      <c r="G18" s="5">
        <f>F18/MW_N2</f>
        <v>0</v>
      </c>
      <c r="H18" s="5" t="s">
        <v>602</v>
      </c>
      <c r="J18" s="20" t="s">
        <v>134</v>
      </c>
      <c r="K18" s="20">
        <v>861.6</v>
      </c>
    </row>
    <row r="19" spans="2:11" ht="16.95" customHeight="1">
      <c r="B19" s="14" t="s">
        <v>67</v>
      </c>
      <c r="C19" s="20">
        <v>-228.58865599999999</v>
      </c>
      <c r="D19" s="20">
        <f>(15.9994+(2*1.00794))/1000</f>
        <v>1.8015280000000002E-2</v>
      </c>
      <c r="E19" s="20">
        <f>b_ch_H2+(0.5*K9)+C19</f>
        <v>9.5113440000000082</v>
      </c>
      <c r="F19" s="20">
        <v>-241.8</v>
      </c>
      <c r="G19" s="5">
        <f>F19/MW_H2O</f>
        <v>-13421.939597941302</v>
      </c>
      <c r="H19" s="5" t="s">
        <v>602</v>
      </c>
    </row>
    <row r="20" spans="2:11" ht="16.05" customHeight="1">
      <c r="B20" s="21" t="s">
        <v>135</v>
      </c>
      <c r="C20" s="20">
        <v>0</v>
      </c>
      <c r="D20" s="20">
        <f>1.00794/1000</f>
        <v>1.0079400000000001E-3</v>
      </c>
      <c r="E20" s="20">
        <f>C20+(0.5*b_ch_H2)</f>
        <v>118.05</v>
      </c>
      <c r="F20" s="20">
        <v>1536.3</v>
      </c>
      <c r="G20" s="5">
        <f>F20/MW_H</f>
        <v>1524197.8689207688</v>
      </c>
      <c r="H20" s="5" t="s">
        <v>602</v>
      </c>
    </row>
    <row r="21" spans="2:11" ht="16.05" customHeight="1">
      <c r="B21" s="21" t="s">
        <v>133</v>
      </c>
      <c r="C21" s="20">
        <v>0</v>
      </c>
      <c r="D21" s="20">
        <f>32.066/1000</f>
        <v>3.2066000000000004E-2</v>
      </c>
      <c r="E21" s="20">
        <f>C21+K16</f>
        <v>607.29999999999995</v>
      </c>
      <c r="F21" s="20">
        <v>0</v>
      </c>
      <c r="G21" s="5">
        <f>F21/MW_S</f>
        <v>0</v>
      </c>
      <c r="H21" s="5" t="s">
        <v>602</v>
      </c>
    </row>
    <row r="22" spans="2:11" ht="16.05" customHeight="1">
      <c r="B22" s="21" t="s">
        <v>136</v>
      </c>
      <c r="C22" s="20">
        <v>-131.05000000000001</v>
      </c>
      <c r="D22" s="20">
        <f>35.4527/1000</f>
        <v>3.5452699999999997E-2</v>
      </c>
      <c r="E22" s="20">
        <f>C22+(0.5*K13)</f>
        <v>-68.950000000000017</v>
      </c>
      <c r="F22" s="20">
        <v>121.3</v>
      </c>
      <c r="G22" s="5">
        <f>F22/MW_Cl</f>
        <v>3421.4601426689646</v>
      </c>
      <c r="H22" s="5" t="s">
        <v>602</v>
      </c>
    </row>
    <row r="23" spans="2:11" ht="16.95" customHeight="1">
      <c r="B23" s="21" t="s">
        <v>237</v>
      </c>
      <c r="C23" s="20">
        <v>-1562.7239999999999</v>
      </c>
      <c r="D23" s="20">
        <f>((2*26.981539)+(3*15.9994))/1000</f>
        <v>0.10196127799999999</v>
      </c>
      <c r="E23" s="20">
        <f>C23+(2*K12)+(1.5*K9)</f>
        <v>31.875999999999976</v>
      </c>
      <c r="F23" s="20">
        <v>-1675.7</v>
      </c>
      <c r="G23" s="5">
        <f>F23/MW_Al2O3</f>
        <v>-16434.670424590011</v>
      </c>
      <c r="H23" s="5" t="s">
        <v>602</v>
      </c>
    </row>
    <row r="24" spans="2:11" ht="16.05" customHeight="1">
      <c r="B24" s="21" t="s">
        <v>132</v>
      </c>
      <c r="C24" s="20">
        <v>-569.024</v>
      </c>
      <c r="D24" s="20">
        <f>(15.9994+24.305)/1000</f>
        <v>4.0304400000000004E-2</v>
      </c>
      <c r="E24" s="20">
        <f>C24+(K14)+(0.5*K9)</f>
        <v>62.576000000000022</v>
      </c>
      <c r="F24" s="20">
        <v>-601.6</v>
      </c>
      <c r="G24" s="5">
        <f>F24/MW_MgO</f>
        <v>-14926.410019749705</v>
      </c>
      <c r="H24" s="5" t="s">
        <v>602</v>
      </c>
    </row>
    <row r="25" spans="2:11" ht="16.95" customHeight="1">
      <c r="B25" s="21" t="s">
        <v>238</v>
      </c>
      <c r="C25" s="20">
        <v>-376.56</v>
      </c>
      <c r="D25" s="20">
        <f>((22.989768*2)+15.9994)/1000</f>
        <v>6.1978936000000005E-2</v>
      </c>
      <c r="E25" s="20">
        <f>C25+(2*K15)+(0.5*K9)</f>
        <v>298.64000000000004</v>
      </c>
      <c r="F25" s="20">
        <v>-414.2</v>
      </c>
      <c r="G25" s="5">
        <f>F25/MW_Na2O</f>
        <v>-6682.9156279804474</v>
      </c>
      <c r="H25" s="5" t="s">
        <v>602</v>
      </c>
    </row>
    <row r="26" spans="2:11" ht="16.95" customHeight="1">
      <c r="B26" s="21" t="s">
        <v>243</v>
      </c>
      <c r="C26" s="20">
        <v>-322.16800000000001</v>
      </c>
      <c r="D26" s="20">
        <f>(15.9994+(2*39.0983))/1000</f>
        <v>9.4196000000000002E-2</v>
      </c>
      <c r="E26" s="20">
        <f>C26+(2*K17)+(0.5*K9)</f>
        <v>412.83199999999999</v>
      </c>
      <c r="F26" s="20">
        <v>-284.89999999999998</v>
      </c>
      <c r="G26" s="5">
        <f>F26/MW_K2O</f>
        <v>-3024.5445666482651</v>
      </c>
      <c r="H26" s="5" t="s">
        <v>602</v>
      </c>
    </row>
    <row r="27" spans="2:11" ht="16.05" customHeight="1">
      <c r="B27" s="21" t="s">
        <v>134</v>
      </c>
      <c r="C27" s="20">
        <f>12.00808</f>
        <v>12.00808</v>
      </c>
      <c r="D27" s="20">
        <f>30.973762/1000</f>
        <v>3.0973762000000002E-2</v>
      </c>
      <c r="E27" s="20">
        <f>C27+K18</f>
        <v>873.60807999999997</v>
      </c>
      <c r="F27" s="20">
        <v>0</v>
      </c>
      <c r="G27" s="5">
        <f>F27/MW_P</f>
        <v>0</v>
      </c>
      <c r="H27" s="5" t="s">
        <v>602</v>
      </c>
    </row>
    <row r="28" spans="2:11" ht="16.95" customHeight="1">
      <c r="B28" s="21" t="s">
        <v>251</v>
      </c>
      <c r="C28" s="20">
        <v>-1012.1096</v>
      </c>
      <c r="D28" s="20">
        <f>(12.011+(3*15.9994)+24.305)/1000</f>
        <v>8.4314200000000006E-2</v>
      </c>
      <c r="E28" s="20">
        <f>C28+K14+K5+((3/2)*K9)</f>
        <v>33.790400000000034</v>
      </c>
      <c r="F28" s="20">
        <v>-1095.8</v>
      </c>
      <c r="G28" s="5">
        <f>F28/MW_MgCO3</f>
        <v>-12996.624530624733</v>
      </c>
      <c r="H28" s="5">
        <f>(76.19/1000)*MW_MgCO3</f>
        <v>6.4238988979999998E-3</v>
      </c>
    </row>
    <row r="29" spans="2:11" ht="16.05" customHeight="1">
      <c r="B29" s="21" t="s">
        <v>284</v>
      </c>
      <c r="C29" s="5">
        <v>455.579024</v>
      </c>
      <c r="D29" s="20">
        <f>MW_N2/2</f>
        <v>1.400674E-2</v>
      </c>
      <c r="E29" s="20">
        <f>C29+(0.5*b_ch_N2)</f>
        <v>455.92902400000003</v>
      </c>
      <c r="F29" s="20">
        <v>427.7</v>
      </c>
      <c r="G29" s="5">
        <f>F29/D29</f>
        <v>30535.299434415145</v>
      </c>
      <c r="H29" s="5" t="s">
        <v>602</v>
      </c>
    </row>
    <row r="30" spans="2:11" ht="16.95" customHeight="1">
      <c r="B30" s="21" t="s">
        <v>288</v>
      </c>
      <c r="C30" s="5">
        <v>-31.95</v>
      </c>
      <c r="D30" s="20">
        <f>((2*12.011)+(6*1.00794))/1000</f>
        <v>3.0069639999999998E-2</v>
      </c>
      <c r="E30" s="20">
        <f>C30+(2*b_ch_C)+(3*b_ch_H2)</f>
        <v>1496.9499999999998</v>
      </c>
      <c r="F30" s="20">
        <v>-84.68</v>
      </c>
      <c r="G30" s="5">
        <f>F30/MW_C2H6</f>
        <v>-2816.1294914072805</v>
      </c>
      <c r="H30" s="5" t="s">
        <v>602</v>
      </c>
    </row>
    <row r="31" spans="2:11" ht="16.95" customHeight="1">
      <c r="B31" s="14" t="s">
        <v>65</v>
      </c>
      <c r="C31" s="5">
        <v>0</v>
      </c>
      <c r="D31" s="20">
        <f>MW_H*2</f>
        <v>2.0158800000000003E-3</v>
      </c>
      <c r="E31" s="20">
        <f>b_ch_H2</f>
        <v>236.1</v>
      </c>
      <c r="F31" s="20">
        <v>0</v>
      </c>
      <c r="G31" s="5">
        <f>F31/D31</f>
        <v>0</v>
      </c>
      <c r="H31" s="5" t="s">
        <v>602</v>
      </c>
    </row>
    <row r="32" spans="2:11" ht="16.95" customHeight="1">
      <c r="B32" s="14" t="s">
        <v>289</v>
      </c>
      <c r="C32" s="5">
        <v>-33.053600000000003</v>
      </c>
      <c r="D32" s="20">
        <f>((1.00794*2)+(32.066))/1000</f>
        <v>3.4081880000000002E-2</v>
      </c>
      <c r="E32" s="20">
        <f>C32+b_ch_H2+b_ch_S</f>
        <v>810.3463999999999</v>
      </c>
      <c r="F32" s="20">
        <v>-20.6</v>
      </c>
      <c r="G32" s="5">
        <f>F32/MW_H2S</f>
        <v>-604.42675110645303</v>
      </c>
      <c r="H32" s="5" t="s">
        <v>602</v>
      </c>
    </row>
    <row r="33" spans="1:8" ht="16.95" customHeight="1">
      <c r="B33" s="21" t="s">
        <v>290</v>
      </c>
      <c r="C33" s="5">
        <v>129.66216</v>
      </c>
      <c r="D33" s="20">
        <f>((6*12.011)+(6*1.00794))/1000</f>
        <v>7.8113639999999998E-2</v>
      </c>
      <c r="E33" s="20">
        <f>C33+(6*b_ch_C)+(3*b_ch_H2)</f>
        <v>3299.7621600000002</v>
      </c>
      <c r="F33" s="20">
        <v>49.1</v>
      </c>
      <c r="G33" s="5">
        <f>F33/MW_C6H6</f>
        <v>628.57139931003087</v>
      </c>
      <c r="H33" s="5" t="s">
        <v>602</v>
      </c>
    </row>
    <row r="34" spans="1:8" ht="16.95" customHeight="1">
      <c r="B34" s="14" t="s">
        <v>291</v>
      </c>
      <c r="C34" s="5">
        <v>-16.48</v>
      </c>
      <c r="D34" s="20">
        <f>(14.00674+(3*1.00794))/1000</f>
        <v>1.703056E-2</v>
      </c>
      <c r="E34" s="20">
        <f>C34+(0.5*b_ch_N2)+((3/2)*b_ch_H2)</f>
        <v>338.02</v>
      </c>
      <c r="F34" s="20">
        <v>-80.290000000000006</v>
      </c>
      <c r="G34" s="5">
        <f>F34/MW_NH3</f>
        <v>-4714.4662301180942</v>
      </c>
      <c r="H34" s="5" t="s">
        <v>602</v>
      </c>
    </row>
    <row r="35" spans="1:8" ht="16.95" customHeight="1">
      <c r="B35" s="21" t="s">
        <v>292</v>
      </c>
      <c r="C35" s="5">
        <v>68.430000000000007</v>
      </c>
      <c r="D35" s="6">
        <f>(2*MW_C)+(4*MW_H)</f>
        <v>2.8053759999999997E-2</v>
      </c>
      <c r="E35" s="20">
        <f>C35+(2*b_ch_C)+(2*b_ch_H2)</f>
        <v>1361.23</v>
      </c>
      <c r="F35" s="20">
        <v>52.4</v>
      </c>
      <c r="G35" s="5">
        <f>F35/MW_C2H4</f>
        <v>1867.8423141853357</v>
      </c>
      <c r="H35" s="5" t="s">
        <v>602</v>
      </c>
    </row>
    <row r="36" spans="1:8" ht="16.05" customHeight="1">
      <c r="B36" s="21" t="s">
        <v>293</v>
      </c>
      <c r="C36" s="20">
        <v>124.6832</v>
      </c>
      <c r="D36" s="20">
        <f>(1.00794+12.011+14.00674)/1000</f>
        <v>2.702568E-2</v>
      </c>
      <c r="E36" s="20">
        <f>C36+(0.5*b_ch_H2)+b_ch_C+(b_ch_N2*0.5)</f>
        <v>653.3832000000001</v>
      </c>
      <c r="F36" s="20">
        <v>135.1</v>
      </c>
      <c r="G36" s="5">
        <f>F36/MW_HCN</f>
        <v>4998.9491476255171</v>
      </c>
      <c r="H36" s="5" t="s">
        <v>602</v>
      </c>
    </row>
    <row r="37" spans="1:8" ht="16.95" customHeight="1">
      <c r="B37" s="21" t="s">
        <v>294</v>
      </c>
      <c r="C37" s="20">
        <v>66.902159999999995</v>
      </c>
      <c r="D37" s="20">
        <f>((12.011)+(2*32.066))/1000</f>
        <v>7.6143000000000002E-2</v>
      </c>
      <c r="E37" s="20">
        <f>C37+b_ch_C + 2*b_ch_S</f>
        <v>1691.80216</v>
      </c>
      <c r="F37" s="20">
        <v>116.7</v>
      </c>
      <c r="G37" s="5">
        <f>F37/MW_CS2</f>
        <v>1532.6425278751822</v>
      </c>
      <c r="H37" s="5" t="s">
        <v>602</v>
      </c>
    </row>
    <row r="38" spans="1:8" ht="16.95" customHeight="1">
      <c r="B38" s="21" t="s">
        <v>388</v>
      </c>
      <c r="C38" s="20">
        <v>7.4056800000000003</v>
      </c>
      <c r="D38" s="20">
        <f>(MW_C*8)+(MW_H*18)</f>
        <v>0.11423092</v>
      </c>
      <c r="E38" s="20">
        <f>C38+(8*K5)+(9*b_ch_H2)</f>
        <v>5414.70568</v>
      </c>
      <c r="F38" s="20">
        <v>-250.1</v>
      </c>
      <c r="G38" s="5">
        <f>F38/MW_C8H18</f>
        <v>-2189.4247196818515</v>
      </c>
      <c r="H38" s="5" t="s">
        <v>602</v>
      </c>
    </row>
    <row r="39" spans="1:8" ht="16.95" customHeight="1">
      <c r="B39" s="21" t="s">
        <v>389</v>
      </c>
      <c r="C39" s="20" t="s">
        <v>91</v>
      </c>
      <c r="D39" s="20">
        <f>(MW_C*12)+(MW_H*23)</f>
        <v>0.16731462</v>
      </c>
      <c r="E39" s="20" t="s">
        <v>91</v>
      </c>
      <c r="F39" s="20" t="s">
        <v>91</v>
      </c>
      <c r="G39" s="5">
        <f>LHV_Diesel</f>
        <v>42600</v>
      </c>
      <c r="H39" s="5" t="s">
        <v>602</v>
      </c>
    </row>
    <row r="40" spans="1:8" ht="16.95" customHeight="1">
      <c r="B40" s="21" t="s">
        <v>402</v>
      </c>
      <c r="C40" s="20" t="s">
        <v>91</v>
      </c>
      <c r="D40" s="20">
        <f>(10*MW_C) + (20*MW_H)</f>
        <v>0.1402688</v>
      </c>
      <c r="E40" s="20" t="s">
        <v>91</v>
      </c>
      <c r="F40" s="20" t="s">
        <v>91</v>
      </c>
      <c r="G40" s="5">
        <f>LHV_Oil</f>
        <v>39500</v>
      </c>
      <c r="H40" s="5" t="s">
        <v>602</v>
      </c>
    </row>
    <row r="41" spans="1:8" ht="16.95" customHeight="1">
      <c r="B41" s="14" t="s">
        <v>525</v>
      </c>
      <c r="C41" s="20">
        <v>223.7</v>
      </c>
      <c r="D41" s="20">
        <f>MW_C*10 + MW_H*8</f>
        <v>0.12817351999999999</v>
      </c>
      <c r="E41" s="20">
        <f>C41+(8*b_ch_H2)+(10*K5)</f>
        <v>6215.5</v>
      </c>
      <c r="F41" s="20">
        <v>78.5</v>
      </c>
      <c r="G41" s="5">
        <f>F41/D41</f>
        <v>612.45099611838714</v>
      </c>
      <c r="H41" s="5" t="s">
        <v>602</v>
      </c>
    </row>
    <row r="42" spans="1:8" ht="16.95" customHeight="1">
      <c r="A42" s="14" t="s">
        <v>535</v>
      </c>
      <c r="B42" s="14" t="s">
        <v>526</v>
      </c>
      <c r="C42" s="20">
        <v>383.08</v>
      </c>
      <c r="D42" s="20">
        <f>MW_C*14 + MW_H*10</f>
        <v>0.17823339999999999</v>
      </c>
      <c r="E42" s="20">
        <f>C42+(10*b_ch_H2)+(14*$K$5)</f>
        <v>8488.2799999999988</v>
      </c>
      <c r="F42" s="20">
        <v>207</v>
      </c>
      <c r="G42" s="5">
        <f t="shared" ref="G42:G49" si="0">F42/D42</f>
        <v>1161.3984808683447</v>
      </c>
      <c r="H42" s="5" t="s">
        <v>602</v>
      </c>
    </row>
    <row r="43" spans="1:8" ht="16.95" customHeight="1">
      <c r="A43" s="14" t="s">
        <v>538</v>
      </c>
      <c r="B43" s="14" t="s">
        <v>527</v>
      </c>
      <c r="C43" s="20">
        <v>491.18</v>
      </c>
      <c r="D43" s="20">
        <f>MW_C*16 + MW_H*10</f>
        <v>0.20225539999999997</v>
      </c>
      <c r="E43" s="20">
        <f>C43+(10*b_ch_H2)+(16*$K$5)</f>
        <v>9416.98</v>
      </c>
      <c r="F43" s="20">
        <v>-7917.8</v>
      </c>
      <c r="G43" s="5">
        <f t="shared" si="0"/>
        <v>-39147.533267344166</v>
      </c>
      <c r="H43" s="5" t="s">
        <v>602</v>
      </c>
    </row>
    <row r="44" spans="1:8" ht="16.95" customHeight="1">
      <c r="A44" s="14" t="s">
        <v>539</v>
      </c>
      <c r="B44" s="14" t="s">
        <v>536</v>
      </c>
      <c r="C44" s="20">
        <v>544.96</v>
      </c>
      <c r="D44" s="20">
        <f>MW_C*24 + MW_H*26</f>
        <v>0.31447043999999996</v>
      </c>
      <c r="E44" s="20">
        <f>C44+(26*b_ch_H2)+(24*$K$5)</f>
        <v>16530.760000000002</v>
      </c>
      <c r="F44" s="20">
        <v>162.21</v>
      </c>
      <c r="G44" s="5">
        <f t="shared" si="0"/>
        <v>515.81954729989889</v>
      </c>
      <c r="H44" s="5" t="s">
        <v>602</v>
      </c>
    </row>
    <row r="45" spans="1:8" ht="16.95" customHeight="1">
      <c r="A45" s="14" t="s">
        <v>537</v>
      </c>
      <c r="B45" s="14" t="s">
        <v>543</v>
      </c>
      <c r="C45" s="20">
        <v>330.52</v>
      </c>
      <c r="D45" s="20">
        <f>MW_C*12 + MW_H*10</f>
        <v>0.1542114</v>
      </c>
      <c r="E45" s="20">
        <f>C45+(10*b_ch_H2)+(12*$K$5)</f>
        <v>7615.1200000000008</v>
      </c>
      <c r="F45" s="20">
        <v>71</v>
      </c>
      <c r="G45" s="5">
        <f t="shared" si="0"/>
        <v>460.40694786507356</v>
      </c>
      <c r="H45" s="5" t="s">
        <v>602</v>
      </c>
    </row>
    <row r="46" spans="1:8" ht="16.95" customHeight="1">
      <c r="A46" s="14" t="s">
        <v>540</v>
      </c>
      <c r="B46" s="14" t="s">
        <v>545</v>
      </c>
      <c r="C46" s="20">
        <v>356.8</v>
      </c>
      <c r="D46" s="20">
        <f>MW_C*13 + MW_H*10</f>
        <v>0.16622239999999999</v>
      </c>
      <c r="E46" s="20">
        <f>C46+(10*b_ch_H2)+(13*$K$5)</f>
        <v>8051.7000000000007</v>
      </c>
      <c r="F46" s="20">
        <v>166.9</v>
      </c>
      <c r="G46" s="5">
        <f t="shared" si="0"/>
        <v>1004.0764662283784</v>
      </c>
      <c r="H46" s="5" t="s">
        <v>602</v>
      </c>
    </row>
    <row r="47" spans="1:8" ht="16.95" customHeight="1">
      <c r="A47" s="14" t="s">
        <v>541</v>
      </c>
      <c r="B47" s="21" t="s">
        <v>546</v>
      </c>
      <c r="C47" s="20">
        <v>513.78</v>
      </c>
      <c r="D47" s="20">
        <f>MW_C*18 + MW_H*12</f>
        <v>0.22829327999999999</v>
      </c>
      <c r="E47" s="20">
        <f>C47+(12*b_ch_H2)+(18*$K$5)</f>
        <v>10732.380000000001</v>
      </c>
      <c r="F47" s="20">
        <v>268.7</v>
      </c>
      <c r="G47" s="5">
        <f t="shared" si="0"/>
        <v>1176.9947849538103</v>
      </c>
      <c r="H47" s="5" t="s">
        <v>602</v>
      </c>
    </row>
    <row r="48" spans="1:8" ht="18" customHeight="1">
      <c r="A48" s="14" t="s">
        <v>542</v>
      </c>
      <c r="B48" s="1" t="s">
        <v>562</v>
      </c>
      <c r="C48" s="20">
        <v>-300.10000000000002</v>
      </c>
      <c r="D48" s="20">
        <f>MW_S+MW_O2</f>
        <v>6.4064800000000005E-2</v>
      </c>
      <c r="E48" s="20">
        <f>C48+(K16+K9)</f>
        <v>311.19999999999993</v>
      </c>
      <c r="F48" s="20">
        <v>-296.8</v>
      </c>
      <c r="G48" s="5">
        <f t="shared" si="0"/>
        <v>-4632.8092806033892</v>
      </c>
      <c r="H48" s="5" t="s">
        <v>602</v>
      </c>
    </row>
    <row r="49" spans="2:8" ht="16.95" customHeight="1">
      <c r="B49" s="14" t="s">
        <v>572</v>
      </c>
      <c r="C49" s="20">
        <v>-23.4</v>
      </c>
      <c r="D49" s="20">
        <f>MW_C*3 + MW_H*8</f>
        <v>4.409652E-2</v>
      </c>
      <c r="E49" s="20">
        <f>C49+(3*K5)+(4*b_ch_H2)</f>
        <v>2151.9</v>
      </c>
      <c r="F49" s="20">
        <f>-103.85</f>
        <v>-103.85</v>
      </c>
      <c r="G49" s="5">
        <f t="shared" si="0"/>
        <v>-2355.0611250048755</v>
      </c>
      <c r="H49" s="5" t="s">
        <v>602</v>
      </c>
    </row>
    <row r="50" spans="2:8" ht="16.05" customHeight="1">
      <c r="G50" s="1"/>
      <c r="H50" s="1"/>
    </row>
    <row r="51" spans="2:8" ht="16.05" customHeight="1">
      <c r="G51" s="1"/>
      <c r="H51" s="1"/>
    </row>
    <row r="52" spans="2:8" ht="16.05" customHeight="1">
      <c r="G52" s="1"/>
      <c r="H52" s="1"/>
    </row>
    <row r="53" spans="2:8">
      <c r="B53" s="21"/>
    </row>
    <row r="54" spans="2:8">
      <c r="B54" s="14" t="s">
        <v>99</v>
      </c>
    </row>
    <row r="55" spans="2:8" ht="16.95" customHeight="1">
      <c r="B55" s="20" t="s">
        <v>53</v>
      </c>
      <c r="C55" s="14" t="s">
        <v>114</v>
      </c>
    </row>
    <row r="56" spans="2:8" ht="16.95" customHeight="1">
      <c r="B56" s="20" t="s">
        <v>53</v>
      </c>
      <c r="C56" s="3" t="s">
        <v>295</v>
      </c>
    </row>
    <row r="57" spans="2:8" ht="18" customHeight="1">
      <c r="B57" s="5" t="s">
        <v>6</v>
      </c>
      <c r="C57" s="3" t="s">
        <v>283</v>
      </c>
    </row>
    <row r="58" spans="2:8" ht="18" customHeight="1">
      <c r="B58" s="5" t="s">
        <v>6</v>
      </c>
      <c r="C58" s="14" t="s">
        <v>118</v>
      </c>
    </row>
    <row r="59" spans="2:8" ht="16.95" customHeight="1">
      <c r="B59" s="20" t="s">
        <v>125</v>
      </c>
      <c r="C59" s="14" t="s">
        <v>126</v>
      </c>
    </row>
    <row r="60" spans="2:8">
      <c r="B60" s="20" t="s">
        <v>270</v>
      </c>
      <c r="C60" s="3" t="s">
        <v>272</v>
      </c>
    </row>
    <row r="61" spans="2:8">
      <c r="B61" s="20" t="s">
        <v>5</v>
      </c>
      <c r="C61" s="3" t="s">
        <v>282</v>
      </c>
    </row>
    <row r="62" spans="2:8">
      <c r="B62" s="20" t="s">
        <v>306</v>
      </c>
      <c r="C62" s="3" t="s">
        <v>513</v>
      </c>
    </row>
    <row r="63" spans="2:8">
      <c r="B63" s="20" t="s">
        <v>311</v>
      </c>
      <c r="C63" s="14" t="s">
        <v>313</v>
      </c>
    </row>
    <row r="64" spans="2:8">
      <c r="B64" s="20" t="s">
        <v>570</v>
      </c>
      <c r="C64" s="12" t="s">
        <v>571</v>
      </c>
    </row>
    <row r="65" spans="2:3">
      <c r="B65" s="20" t="s">
        <v>396</v>
      </c>
      <c r="C65" s="14" t="s">
        <v>397</v>
      </c>
    </row>
    <row r="66" spans="2:3" ht="16.95" customHeight="1">
      <c r="B66" s="20" t="s">
        <v>391</v>
      </c>
      <c r="C66" s="14" t="s">
        <v>390</v>
      </c>
    </row>
    <row r="67" spans="2:3">
      <c r="B67" s="20" t="s">
        <v>39</v>
      </c>
      <c r="C67" s="14" t="s">
        <v>508</v>
      </c>
    </row>
    <row r="68" spans="2:3">
      <c r="B68" s="20" t="s">
        <v>511</v>
      </c>
      <c r="C68" s="3" t="s">
        <v>568</v>
      </c>
    </row>
    <row r="69" spans="2:3">
      <c r="B69" s="20" t="s">
        <v>524</v>
      </c>
      <c r="C69" s="14" t="s">
        <v>544</v>
      </c>
    </row>
    <row r="75" spans="2:3" ht="19.95" customHeight="1">
      <c r="C75" s="11"/>
    </row>
    <row r="76" spans="2:3" ht="19.95" customHeight="1">
      <c r="C76" s="10"/>
    </row>
  </sheetData>
  <mergeCells count="5">
    <mergeCell ref="R2:S2"/>
    <mergeCell ref="T2:U2"/>
    <mergeCell ref="AI2:AJ2"/>
    <mergeCell ref="AI6:AJ6"/>
    <mergeCell ref="W2:Y2"/>
  </mergeCells>
  <hyperlinks>
    <hyperlink ref="C57" r:id="rId1" xr:uid="{00000000-0004-0000-0000-000000000000}"/>
    <hyperlink ref="C61" r:id="rId2" xr:uid="{00000000-0004-0000-0000-000001000000}"/>
    <hyperlink ref="C56" r:id="rId3" xr:uid="{00000000-0004-0000-0000-000002000000}"/>
    <hyperlink ref="C60" r:id="rId4" xr:uid="{00000000-0004-0000-0000-000003000000}"/>
    <hyperlink ref="C62" r:id="rId5" xr:uid="{00000000-0004-0000-0000-000004000000}"/>
    <hyperlink ref="C68" r:id="rId6" xr:uid="{00000000-0004-0000-0000-000005000000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W285"/>
  <sheetViews>
    <sheetView zoomScale="138" zoomScaleNormal="83" workbookViewId="0">
      <selection activeCell="U206" sqref="U206"/>
    </sheetView>
  </sheetViews>
  <sheetFormatPr defaultColWidth="11.5546875" defaultRowHeight="14.4"/>
  <cols>
    <col min="1" max="1" width="12.109375" customWidth="1"/>
    <col min="2" max="2" width="9" customWidth="1"/>
    <col min="3" max="3" width="15.77734375" customWidth="1"/>
    <col min="4" max="4" width="11.109375" customWidth="1"/>
    <col min="5" max="5" width="13.33203125" customWidth="1"/>
    <col min="6" max="6" width="13.109375" customWidth="1"/>
    <col min="7" max="7" width="9.77734375" customWidth="1"/>
    <col min="8" max="8" width="11.33203125" customWidth="1"/>
    <col min="9" max="9" width="12.6640625" customWidth="1"/>
    <col min="10" max="10" width="10.6640625" customWidth="1"/>
    <col min="11" max="11" width="10.77734375" customWidth="1"/>
    <col min="12" max="12" width="18.44140625" customWidth="1"/>
    <col min="13" max="13" width="16.6640625" customWidth="1"/>
    <col min="14" max="14" width="14.77734375" customWidth="1"/>
    <col min="15" max="15" width="14" customWidth="1"/>
    <col min="16" max="16" width="10.77734375" customWidth="1"/>
    <col min="17" max="19" width="9" customWidth="1"/>
    <col min="21" max="21" width="13.33203125" customWidth="1"/>
    <col min="25" max="31" width="9" customWidth="1"/>
    <col min="33" max="33" width="9.6640625" customWidth="1"/>
    <col min="34" max="37" width="9" customWidth="1"/>
  </cols>
  <sheetData>
    <row r="1" spans="1:28">
      <c r="A1" s="52" t="s">
        <v>50</v>
      </c>
    </row>
    <row r="2" spans="1:28">
      <c r="A2" s="3" t="s">
        <v>116</v>
      </c>
      <c r="B2" s="14" t="s">
        <v>117</v>
      </c>
      <c r="C2" s="14" t="s">
        <v>127</v>
      </c>
    </row>
    <row r="10" spans="1:28" ht="16.95" customHeight="1">
      <c r="B10" s="20"/>
      <c r="C10" s="20" t="s">
        <v>46</v>
      </c>
      <c r="D10" s="20" t="s">
        <v>1</v>
      </c>
      <c r="E10" s="20" t="s">
        <v>46</v>
      </c>
      <c r="F10" s="20" t="s">
        <v>5</v>
      </c>
      <c r="G10" s="20" t="s">
        <v>31</v>
      </c>
      <c r="H10" s="20" t="s">
        <v>38</v>
      </c>
      <c r="I10" s="20" t="s">
        <v>108</v>
      </c>
      <c r="J10" s="20" t="s">
        <v>110</v>
      </c>
      <c r="O10" s="318" t="s">
        <v>115</v>
      </c>
      <c r="P10" s="318"/>
      <c r="Q10" s="318"/>
      <c r="R10" s="318"/>
      <c r="S10" s="318"/>
      <c r="T10" s="318"/>
      <c r="U10" s="318"/>
      <c r="V10" s="318" t="s">
        <v>115</v>
      </c>
      <c r="W10" s="318"/>
      <c r="X10" s="318"/>
      <c r="Y10" s="318"/>
      <c r="Z10" s="318"/>
      <c r="AA10" s="318"/>
      <c r="AB10" s="318"/>
    </row>
    <row r="11" spans="1:28" ht="18" customHeight="1">
      <c r="B11" s="20"/>
      <c r="C11" s="20" t="s">
        <v>171</v>
      </c>
      <c r="D11" s="20" t="s">
        <v>44</v>
      </c>
      <c r="E11" s="20" t="s">
        <v>10</v>
      </c>
      <c r="F11" s="20" t="s">
        <v>11</v>
      </c>
      <c r="G11" s="20" t="s">
        <v>12</v>
      </c>
      <c r="H11" s="20" t="s">
        <v>107</v>
      </c>
      <c r="I11" s="20" t="s">
        <v>109</v>
      </c>
      <c r="J11" s="20" t="s">
        <v>106</v>
      </c>
      <c r="O11" s="318" t="s">
        <v>236</v>
      </c>
      <c r="P11" s="318"/>
      <c r="Q11" s="318"/>
      <c r="R11" s="311"/>
      <c r="S11" s="312"/>
      <c r="T11" s="317" t="s">
        <v>235</v>
      </c>
      <c r="U11" s="317"/>
      <c r="V11" s="318" t="str">
        <f>_xlfn.CONCAT(E19," ",C19," ","+"," ",E21," ",C21," ","--&gt;"," ",E22," ",C22," ","+"," ",E20*E21," ",C20)</f>
        <v>1.5 C + 1.5 O2 --&gt; 1.5 CO2 + 5.64 N2</v>
      </c>
      <c r="W11" s="318"/>
      <c r="X11" s="318"/>
      <c r="Y11" s="318"/>
      <c r="Z11" s="318"/>
      <c r="AA11" s="318"/>
      <c r="AB11" s="318"/>
    </row>
    <row r="12" spans="1:28" ht="18" customHeight="1">
      <c r="B12" s="5" t="s">
        <v>14</v>
      </c>
      <c r="C12" s="5">
        <v>0.88105999999999995</v>
      </c>
      <c r="D12" s="5">
        <f>C12*D14</f>
        <v>0.88105999999999995</v>
      </c>
      <c r="E12" s="20">
        <f>D12*kg_to_ton</f>
        <v>881.06</v>
      </c>
      <c r="F12" s="20">
        <f>MW_Fe2O3</f>
        <v>0.1596882</v>
      </c>
      <c r="G12" s="20">
        <f>E12/F12</f>
        <v>5517.3769884061558</v>
      </c>
      <c r="H12" s="20">
        <f>G12/$F$14</f>
        <v>0.73595160775903656</v>
      </c>
      <c r="I12" s="20">
        <f>(F12*H12)+(F13*H13)</f>
        <v>0.13338795034407031</v>
      </c>
      <c r="J12" s="20">
        <f>(E12+E13)/I12</f>
        <v>7496.929051091417</v>
      </c>
      <c r="N12" s="21"/>
      <c r="O12" s="318" t="s">
        <v>156</v>
      </c>
      <c r="P12" s="318"/>
      <c r="Q12" s="318"/>
      <c r="R12" s="311"/>
      <c r="S12" s="312"/>
      <c r="T12" s="318" t="s">
        <v>155</v>
      </c>
      <c r="U12" s="318"/>
      <c r="V12" s="318" t="str">
        <f>_xlfn.CONCAT(E25," ",C25," ","+"," ",E26," ",C26," ","--&gt;"," ",E27," ",C27)</f>
        <v>1.5 CO2 + 1.5 C --&gt; 3 CO</v>
      </c>
      <c r="W12" s="318"/>
      <c r="X12" s="318"/>
      <c r="Y12" s="318"/>
      <c r="Z12" s="318"/>
      <c r="AA12" s="318"/>
      <c r="AB12" s="318"/>
    </row>
    <row r="13" spans="1:28" ht="18" customHeight="1">
      <c r="B13" s="5" t="s">
        <v>16</v>
      </c>
      <c r="C13" s="5">
        <v>0.11894</v>
      </c>
      <c r="D13" s="5">
        <f>C13*D14</f>
        <v>0.11894</v>
      </c>
      <c r="E13" s="20">
        <f>D13*kg_to_ton</f>
        <v>118.94</v>
      </c>
      <c r="F13" s="20">
        <f>MW_SIO2</f>
        <v>6.00843E-2</v>
      </c>
      <c r="G13" s="20">
        <f>E13/F13</f>
        <v>1979.5520626852606</v>
      </c>
      <c r="H13" s="20">
        <f>G13/$F$14</f>
        <v>0.26404839224096349</v>
      </c>
      <c r="I13" s="20"/>
      <c r="J13" s="20"/>
      <c r="O13" s="318" t="s">
        <v>157</v>
      </c>
      <c r="P13" s="318"/>
      <c r="Q13" s="318"/>
      <c r="R13" s="311"/>
      <c r="S13" s="312"/>
      <c r="T13" s="317" t="s">
        <v>158</v>
      </c>
      <c r="U13" s="317"/>
      <c r="V13" s="318" t="str">
        <f>_xlfn.CONCAT(E29," ",C29," ","+"," ",E30," ",C30," ","--&gt;"," ",E31," ",C31," ","+"," ",E32," ",C32)</f>
        <v>1 Fe2O3 + 3 CO --&gt; 2 Fe + 3 CO2</v>
      </c>
      <c r="W13" s="318"/>
      <c r="X13" s="318"/>
      <c r="Y13" s="318"/>
      <c r="Z13" s="318"/>
      <c r="AA13" s="318"/>
      <c r="AB13" s="318"/>
    </row>
    <row r="14" spans="1:28">
      <c r="B14" s="14" t="s">
        <v>18</v>
      </c>
      <c r="D14" s="44">
        <v>1</v>
      </c>
      <c r="F14" s="14">
        <f>SUM(G12:G13)</f>
        <v>7496.9290510914161</v>
      </c>
      <c r="G14" s="14">
        <f>SUM(G12:G13)</f>
        <v>7496.9290510914161</v>
      </c>
      <c r="O14" s="318"/>
      <c r="P14" s="318"/>
      <c r="Q14" s="318"/>
      <c r="R14" s="311"/>
      <c r="S14" s="312"/>
      <c r="T14" s="318"/>
      <c r="U14" s="318"/>
      <c r="V14" s="318" t="str">
        <f>_xlfn.CONCAT(E36," ",C36," ","--&gt;"," ",E37," ",C37," ","+"," ",E39," ",C39)</f>
        <v>1 CaCO3 --&gt; 1 CaO + 0.0624775822865075 MgO</v>
      </c>
      <c r="W14" s="318"/>
      <c r="X14" s="318"/>
      <c r="Y14" s="318"/>
      <c r="Z14" s="318"/>
      <c r="AA14" s="318"/>
      <c r="AB14" s="318"/>
    </row>
    <row r="15" spans="1:28" ht="16.95" customHeight="1">
      <c r="O15" s="318" t="s">
        <v>159</v>
      </c>
      <c r="P15" s="318"/>
      <c r="Q15" s="318"/>
      <c r="R15" s="311"/>
      <c r="S15" s="312"/>
      <c r="T15" s="318" t="s">
        <v>160</v>
      </c>
      <c r="U15" s="318"/>
      <c r="V15" s="318" t="str">
        <f>_xlfn.CONCAT(E41," ",C41," ","+"," ",E42," ",C42," ","--&gt;"," ",E43," ",C43)</f>
        <v>1 CaO + 1 SiO2 --&gt; 1 CaSiO3</v>
      </c>
      <c r="W15" s="318"/>
      <c r="X15" s="318"/>
      <c r="Y15" s="318"/>
      <c r="Z15" s="318"/>
      <c r="AA15" s="318"/>
      <c r="AB15" s="318"/>
    </row>
    <row r="16" spans="1:28">
      <c r="L16" s="29" t="s">
        <v>323</v>
      </c>
      <c r="M16" s="33" t="s">
        <v>324</v>
      </c>
    </row>
    <row r="17" spans="1:28">
      <c r="D17" s="14" t="s">
        <v>43</v>
      </c>
      <c r="E17" s="14" t="s">
        <v>111</v>
      </c>
      <c r="F17" s="14" t="s">
        <v>38</v>
      </c>
      <c r="G17" s="14" t="s">
        <v>31</v>
      </c>
      <c r="H17" s="58" t="s">
        <v>5</v>
      </c>
      <c r="I17" s="14" t="s">
        <v>1</v>
      </c>
      <c r="J17" s="14" t="s">
        <v>1</v>
      </c>
      <c r="L17" s="14" t="s">
        <v>1</v>
      </c>
      <c r="M17" s="14" t="s">
        <v>1</v>
      </c>
      <c r="O17" s="318" t="s">
        <v>261</v>
      </c>
      <c r="P17" s="318"/>
      <c r="Q17" s="318"/>
      <c r="R17" s="318"/>
      <c r="S17" s="318"/>
      <c r="T17" s="318"/>
      <c r="U17" s="318"/>
      <c r="V17" s="318" t="s">
        <v>115</v>
      </c>
      <c r="W17" s="318"/>
      <c r="X17" s="318"/>
      <c r="Y17" s="318"/>
      <c r="Z17" s="318"/>
      <c r="AA17" s="318"/>
      <c r="AB17" s="318"/>
    </row>
    <row r="18" spans="1:28" ht="16.95" customHeight="1">
      <c r="C18" s="62" t="s">
        <v>40</v>
      </c>
      <c r="D18" s="62"/>
      <c r="E18" s="20"/>
      <c r="F18" s="20" t="s">
        <v>107</v>
      </c>
      <c r="G18" s="20" t="s">
        <v>75</v>
      </c>
      <c r="H18" s="73" t="s">
        <v>11</v>
      </c>
      <c r="I18" s="20" t="s">
        <v>105</v>
      </c>
      <c r="J18" s="20" t="s">
        <v>44</v>
      </c>
      <c r="L18" s="20" t="s">
        <v>10</v>
      </c>
      <c r="M18" s="20" t="s">
        <v>10</v>
      </c>
      <c r="O18" s="318" t="s">
        <v>262</v>
      </c>
      <c r="P18" s="318"/>
      <c r="Q18" s="318"/>
      <c r="R18" s="318"/>
      <c r="S18" s="318"/>
      <c r="T18" s="318" t="s">
        <v>263</v>
      </c>
      <c r="U18" s="311"/>
      <c r="V18" s="329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29"/>
      <c r="X18" s="329"/>
      <c r="Y18" s="329"/>
      <c r="Z18" s="329"/>
      <c r="AA18" s="329"/>
      <c r="AB18" s="329"/>
    </row>
    <row r="19" spans="1:28" ht="16.05" customHeight="1">
      <c r="B19" s="330" t="s">
        <v>103</v>
      </c>
      <c r="C19" s="37" t="s">
        <v>17</v>
      </c>
      <c r="D19" s="18" t="s">
        <v>32</v>
      </c>
      <c r="E19" s="14">
        <f>E22</f>
        <v>1.5</v>
      </c>
      <c r="F19" s="14">
        <f>F22</f>
        <v>1.1039274116385549</v>
      </c>
      <c r="G19" s="14">
        <f>F19*$J$12</f>
        <v>8276.0654826092359</v>
      </c>
      <c r="H19" s="14">
        <f>MW_C</f>
        <v>1.2010999999999999E-2</v>
      </c>
      <c r="I19" s="14">
        <f>G19*H19</f>
        <v>99.403822511619524</v>
      </c>
      <c r="J19" s="14">
        <f>I19/kg_to_ton</f>
        <v>9.9403822511619527E-2</v>
      </c>
      <c r="L19" s="5">
        <f>I19+I21+I26+I29+I42+I20+Quicklime_for_BF</f>
        <v>2446.3635867610551</v>
      </c>
      <c r="M19" s="20">
        <f>I31+I32+I43+I23</f>
        <v>2446.3635867610556</v>
      </c>
      <c r="O19" s="1"/>
      <c r="V19" s="329"/>
      <c r="W19" s="329"/>
      <c r="X19" s="329"/>
      <c r="Y19" s="329"/>
      <c r="Z19" s="329"/>
      <c r="AA19" s="329"/>
      <c r="AB19" s="329"/>
    </row>
    <row r="20" spans="1:28" ht="18" customHeight="1">
      <c r="A20" s="1"/>
      <c r="B20" s="331"/>
      <c r="C20" s="39" t="s">
        <v>234</v>
      </c>
      <c r="E20" s="14">
        <v>3.76</v>
      </c>
      <c r="F20" s="14">
        <f>F21*E20</f>
        <v>4.1507670677609658</v>
      </c>
      <c r="G20" s="14">
        <f>F20*J12</f>
        <v>31118.006214610719</v>
      </c>
      <c r="H20" s="14">
        <f>MW_N2</f>
        <v>2.801348E-2</v>
      </c>
      <c r="I20" s="14">
        <f>G20*H20</f>
        <v>871.72364473287314</v>
      </c>
      <c r="J20" s="14">
        <f>I20/kg_to_ton</f>
        <v>0.87172364473287312</v>
      </c>
      <c r="L20" s="1"/>
    </row>
    <row r="21" spans="1:28" ht="16.95" customHeight="1">
      <c r="A21" s="1"/>
      <c r="B21" s="332"/>
      <c r="C21" s="38" t="s">
        <v>26</v>
      </c>
      <c r="D21" s="14" t="s">
        <v>33</v>
      </c>
      <c r="E21" s="14">
        <f>E22</f>
        <v>1.5</v>
      </c>
      <c r="F21" s="14">
        <f>F22</f>
        <v>1.1039274116385549</v>
      </c>
      <c r="G21" s="14">
        <f t="shared" ref="G21:G22" si="0">F21*$J$12</f>
        <v>8276.0654826092359</v>
      </c>
      <c r="H21" s="14">
        <f>MW_O2</f>
        <v>3.1998800000000001E-2</v>
      </c>
      <c r="I21" s="14">
        <f t="shared" ref="I21:I27" si="1">G21*H21</f>
        <v>264.82416416491645</v>
      </c>
      <c r="J21" s="14">
        <f>I21/kg_to_ton</f>
        <v>0.26482416416491644</v>
      </c>
      <c r="L21" s="29" t="s">
        <v>217</v>
      </c>
      <c r="M21" s="33" t="s">
        <v>22</v>
      </c>
    </row>
    <row r="22" spans="1:28" ht="16.95" customHeight="1">
      <c r="B22" s="333" t="s">
        <v>104</v>
      </c>
      <c r="C22" s="62" t="s">
        <v>22</v>
      </c>
      <c r="D22" s="14" t="s">
        <v>34</v>
      </c>
      <c r="E22" s="14">
        <f>E25</f>
        <v>1.5</v>
      </c>
      <c r="F22" s="14">
        <f>F25</f>
        <v>1.1039274116385549</v>
      </c>
      <c r="G22" s="14">
        <f t="shared" si="0"/>
        <v>8276.0654826092359</v>
      </c>
      <c r="H22" s="14">
        <f>MW_CO2</f>
        <v>4.4009800000000002E-2</v>
      </c>
      <c r="I22" s="14">
        <f t="shared" si="1"/>
        <v>364.22798667653598</v>
      </c>
      <c r="J22" s="14">
        <f>I22/kg_to_ton</f>
        <v>0.364227986676536</v>
      </c>
      <c r="L22" s="5" t="s">
        <v>10</v>
      </c>
      <c r="M22" s="20" t="s">
        <v>10</v>
      </c>
    </row>
    <row r="23" spans="1:28" ht="18" customHeight="1">
      <c r="B23" s="334"/>
      <c r="C23" s="41" t="s">
        <v>234</v>
      </c>
      <c r="E23" s="14">
        <f>E21*E20</f>
        <v>5.64</v>
      </c>
      <c r="F23" s="14">
        <f>F21*E20</f>
        <v>4.1507670677609658</v>
      </c>
      <c r="G23" s="14">
        <f>F23*J12</f>
        <v>31118.006214610719</v>
      </c>
      <c r="H23" s="14">
        <f>MW_N2</f>
        <v>2.801348E-2</v>
      </c>
      <c r="I23" s="14">
        <f>G23*H23</f>
        <v>871.72364473287314</v>
      </c>
      <c r="J23" s="14">
        <f>I23/kg_to_ton</f>
        <v>0.87172364473287312</v>
      </c>
      <c r="L23" s="20">
        <f>I19+I26</f>
        <v>198.80764502323905</v>
      </c>
      <c r="M23" s="20">
        <f>I32</f>
        <v>728.45597335307195</v>
      </c>
    </row>
    <row r="24" spans="1:28">
      <c r="B24" s="30"/>
      <c r="C24" s="18"/>
      <c r="D24" s="18"/>
      <c r="E24" s="18"/>
      <c r="F24" s="18"/>
      <c r="G24" s="18"/>
      <c r="H24" s="18"/>
      <c r="I24" s="18"/>
      <c r="J24" s="18"/>
    </row>
    <row r="25" spans="1:28" ht="16.95" customHeight="1">
      <c r="B25" s="335" t="s">
        <v>103</v>
      </c>
      <c r="C25" s="62" t="s">
        <v>22</v>
      </c>
      <c r="D25" s="18" t="s">
        <v>35</v>
      </c>
      <c r="E25" s="18">
        <f>E27/2</f>
        <v>1.5</v>
      </c>
      <c r="F25" s="18">
        <f>F27/2</f>
        <v>1.1039274116385549</v>
      </c>
      <c r="G25" s="18">
        <f>F25*$J$12</f>
        <v>8276.0654826092359</v>
      </c>
      <c r="H25" s="18">
        <f>MW_CO2</f>
        <v>4.4009800000000002E-2</v>
      </c>
      <c r="I25" s="18">
        <f t="shared" si="1"/>
        <v>364.22798667653598</v>
      </c>
      <c r="J25" s="18">
        <f>I25/kg_to_ton</f>
        <v>0.364227986676536</v>
      </c>
      <c r="L25" s="29" t="s">
        <v>216</v>
      </c>
    </row>
    <row r="26" spans="1:28">
      <c r="B26" s="335"/>
      <c r="C26" s="38" t="s">
        <v>17</v>
      </c>
      <c r="D26" s="14" t="s">
        <v>36</v>
      </c>
      <c r="E26" s="14">
        <f>E27-E25</f>
        <v>1.5</v>
      </c>
      <c r="F26" s="14">
        <f>F27-F25</f>
        <v>1.1039274116385549</v>
      </c>
      <c r="G26" s="14">
        <f t="shared" ref="G26:G27" si="2">F26*$J$12</f>
        <v>8276.0654826092359</v>
      </c>
      <c r="H26" s="14">
        <f>MW_C</f>
        <v>1.2010999999999999E-2</v>
      </c>
      <c r="I26" s="14">
        <f t="shared" si="1"/>
        <v>99.403822511619524</v>
      </c>
      <c r="J26" s="14">
        <f>I26/kg_to_ton</f>
        <v>9.9403822511619527E-2</v>
      </c>
      <c r="L26" s="20" t="s">
        <v>10</v>
      </c>
    </row>
    <row r="27" spans="1:28" ht="16.05" customHeight="1">
      <c r="B27" s="26" t="s">
        <v>104</v>
      </c>
      <c r="C27" s="31" t="s">
        <v>112</v>
      </c>
      <c r="D27" s="14" t="s">
        <v>37</v>
      </c>
      <c r="E27" s="14">
        <f>E30</f>
        <v>3</v>
      </c>
      <c r="F27" s="14">
        <f>F30</f>
        <v>2.2078548232771098</v>
      </c>
      <c r="G27" s="14">
        <f t="shared" si="2"/>
        <v>16552.130965218472</v>
      </c>
      <c r="H27" s="14">
        <f>MW_CO</f>
        <v>2.8010399999999998E-2</v>
      </c>
      <c r="I27" s="14">
        <f t="shared" si="1"/>
        <v>463.63180918815544</v>
      </c>
      <c r="J27" s="14">
        <f>I27/kg_to_ton</f>
        <v>0.46363180918815544</v>
      </c>
      <c r="L27" s="20">
        <f>I36</f>
        <v>198.12782320839224</v>
      </c>
    </row>
    <row r="28" spans="1:28" ht="16.05" customHeight="1">
      <c r="B28" s="32"/>
      <c r="C28" s="40"/>
      <c r="D28" s="18"/>
      <c r="E28" s="18"/>
      <c r="F28" s="18"/>
      <c r="G28" s="18"/>
      <c r="H28" s="18"/>
      <c r="I28" s="18"/>
      <c r="J28" s="18"/>
    </row>
    <row r="29" spans="1:28" ht="18" customHeight="1">
      <c r="B29" s="335" t="s">
        <v>103</v>
      </c>
      <c r="C29" s="37" t="s">
        <v>14</v>
      </c>
      <c r="D29" s="56" t="s">
        <v>27</v>
      </c>
      <c r="E29" s="18">
        <v>1</v>
      </c>
      <c r="F29" s="18">
        <f>H12</f>
        <v>0.73595160775903656</v>
      </c>
      <c r="G29" s="18">
        <f>F29*$J$12</f>
        <v>5517.3769884061567</v>
      </c>
      <c r="H29" s="18">
        <f>MW_Fe2O3</f>
        <v>0.1596882</v>
      </c>
      <c r="I29" s="18">
        <f t="shared" ref="I29:I32" si="3">G29*H29</f>
        <v>881.06000000000006</v>
      </c>
      <c r="J29" s="18">
        <f>I29/kg_to_ton</f>
        <v>0.88106000000000007</v>
      </c>
    </row>
    <row r="30" spans="1:28">
      <c r="B30" s="335"/>
      <c r="C30" s="9" t="s">
        <v>112</v>
      </c>
      <c r="D30" s="53" t="s">
        <v>39</v>
      </c>
      <c r="E30" s="14">
        <f>3*E29</f>
        <v>3</v>
      </c>
      <c r="F30" s="14">
        <f>F29*E30</f>
        <v>2.2078548232771098</v>
      </c>
      <c r="G30" s="14">
        <f t="shared" ref="G30:G32" si="4">F30*$J$12</f>
        <v>16552.130965218472</v>
      </c>
      <c r="H30" s="14">
        <f>MW_CO</f>
        <v>2.8010399999999998E-2</v>
      </c>
      <c r="I30" s="14">
        <f t="shared" si="3"/>
        <v>463.63180918815544</v>
      </c>
      <c r="J30" s="14">
        <f>I30/kg_to_ton</f>
        <v>0.46363180918815544</v>
      </c>
    </row>
    <row r="31" spans="1:28">
      <c r="B31" s="336" t="s">
        <v>104</v>
      </c>
      <c r="C31" s="36" t="s">
        <v>15</v>
      </c>
      <c r="D31" s="14" t="s">
        <v>45</v>
      </c>
      <c r="E31" s="14">
        <v>2</v>
      </c>
      <c r="F31" s="14">
        <f>F29*E31</f>
        <v>1.4719032155180731</v>
      </c>
      <c r="G31" s="14">
        <f t="shared" si="4"/>
        <v>11034.753976812313</v>
      </c>
      <c r="H31" s="14">
        <f>MW_Fe</f>
        <v>5.5844999999999999E-2</v>
      </c>
      <c r="I31" s="14">
        <f t="shared" si="3"/>
        <v>616.23583583508366</v>
      </c>
      <c r="J31" s="14">
        <f>I31/kg_to_ton</f>
        <v>0.61623583583508368</v>
      </c>
    </row>
    <row r="32" spans="1:28" ht="16.95" customHeight="1">
      <c r="B32" s="337"/>
      <c r="C32" s="35" t="s">
        <v>22</v>
      </c>
      <c r="D32" s="14" t="s">
        <v>149</v>
      </c>
      <c r="E32" s="14">
        <f>E30</f>
        <v>3</v>
      </c>
      <c r="F32" s="14">
        <f>F30</f>
        <v>2.2078548232771098</v>
      </c>
      <c r="G32" s="14">
        <f t="shared" si="4"/>
        <v>16552.130965218472</v>
      </c>
      <c r="H32" s="14">
        <f>MW_CO2</f>
        <v>4.4009800000000002E-2</v>
      </c>
      <c r="I32" s="14">
        <f t="shared" si="3"/>
        <v>728.45597335307195</v>
      </c>
      <c r="J32" s="14">
        <f>I32/kg_to_ton</f>
        <v>0.72845597335307199</v>
      </c>
      <c r="N32" s="14" t="s">
        <v>321</v>
      </c>
      <c r="O32" s="14" t="s">
        <v>322</v>
      </c>
    </row>
    <row r="33" spans="2:23">
      <c r="M33" s="14" t="s">
        <v>5</v>
      </c>
      <c r="N33" s="14" t="s">
        <v>1</v>
      </c>
      <c r="O33" s="14" t="s">
        <v>1</v>
      </c>
    </row>
    <row r="34" spans="2:23">
      <c r="L34" s="20" t="s">
        <v>17</v>
      </c>
      <c r="M34" s="20" t="s">
        <v>11</v>
      </c>
      <c r="N34" s="20" t="s">
        <v>10</v>
      </c>
      <c r="O34" s="20" t="s">
        <v>10</v>
      </c>
    </row>
    <row r="35" spans="2:23" ht="18" customHeight="1">
      <c r="B35" s="339" t="s">
        <v>320</v>
      </c>
      <c r="C35" s="2" t="s">
        <v>257</v>
      </c>
      <c r="D35" s="56" t="s">
        <v>46</v>
      </c>
      <c r="E35" s="46">
        <f>(E36*F35)/F36</f>
        <v>6.247758228650753E-2</v>
      </c>
      <c r="F35" s="18">
        <f>(F36*G35)/G36</f>
        <v>1.6497105153854812E-2</v>
      </c>
      <c r="G35" s="18">
        <f>I35/H35</f>
        <v>123.6776268868441</v>
      </c>
      <c r="H35" s="18">
        <f>MW_MgCO3</f>
        <v>8.4314200000000006E-2</v>
      </c>
      <c r="I35" s="18">
        <f>MgCO3_in</f>
        <v>10.427780168862752</v>
      </c>
      <c r="J35" s="18">
        <f>I35/kg_to_ton</f>
        <v>1.0427780168862751E-2</v>
      </c>
      <c r="L35" s="20" t="s">
        <v>240</v>
      </c>
      <c r="M35" s="14">
        <f>MW_MgO-MW_O</f>
        <v>2.4305000000000004E-2</v>
      </c>
      <c r="N35" s="14">
        <f>M35*G35</f>
        <v>3.0059847214847464</v>
      </c>
      <c r="O35" s="14">
        <f>M35*G39</f>
        <v>3.0059847214847459</v>
      </c>
    </row>
    <row r="36" spans="2:23" ht="18" customHeight="1">
      <c r="B36" s="340"/>
      <c r="C36" s="5" t="s">
        <v>20</v>
      </c>
      <c r="D36" s="14" t="s">
        <v>150</v>
      </c>
      <c r="E36" s="45">
        <f>E37</f>
        <v>1</v>
      </c>
      <c r="F36" s="14">
        <f>F37</f>
        <v>0.26404839224096349</v>
      </c>
      <c r="G36" s="14">
        <f>F36*$J$12</f>
        <v>1979.5520626852608</v>
      </c>
      <c r="H36" s="14">
        <f>MW_CaCO3</f>
        <v>0.1000872</v>
      </c>
      <c r="I36" s="14">
        <f t="shared" ref="I36:I39" si="5">G36*H36</f>
        <v>198.12782320839224</v>
      </c>
      <c r="J36" s="14">
        <f>I36/kg_to_ton</f>
        <v>0.19812782320839226</v>
      </c>
      <c r="L36" s="20" t="s">
        <v>17</v>
      </c>
      <c r="M36" s="14">
        <f>MW_C</f>
        <v>1.2010999999999999E-2</v>
      </c>
      <c r="N36" s="14">
        <f>M36*(G35+G36)</f>
        <v>25.261891801450549</v>
      </c>
      <c r="O36" s="14">
        <f>M36*G38</f>
        <v>25.261891801450552</v>
      </c>
    </row>
    <row r="37" spans="2:23" ht="16.05" customHeight="1">
      <c r="B37" s="335" t="s">
        <v>103</v>
      </c>
      <c r="C37" s="37" t="s">
        <v>113</v>
      </c>
      <c r="D37" s="14" t="s">
        <v>151</v>
      </c>
      <c r="E37" s="45">
        <f>E41</f>
        <v>1</v>
      </c>
      <c r="F37" s="14">
        <f>F41</f>
        <v>0.26404839224096349</v>
      </c>
      <c r="G37" s="14">
        <f t="shared" ref="G37:G39" si="6">F37*$J$12</f>
        <v>1979.5520626852608</v>
      </c>
      <c r="H37" s="14">
        <f>MW_CaO</f>
        <v>5.6077400000000006E-2</v>
      </c>
      <c r="I37" s="14">
        <f t="shared" si="5"/>
        <v>111.00813284002646</v>
      </c>
      <c r="J37" s="14">
        <f>I37/kg_to_ton</f>
        <v>0.11100813284002646</v>
      </c>
      <c r="L37" s="20" t="s">
        <v>30</v>
      </c>
      <c r="M37" s="14">
        <f>MW_CaO-MW_O</f>
        <v>4.0078000000000003E-2</v>
      </c>
      <c r="N37" s="14">
        <f>M37*G36</f>
        <v>79.336487568299887</v>
      </c>
      <c r="O37" s="14">
        <f>M37*G37</f>
        <v>79.336487568299887</v>
      </c>
    </row>
    <row r="38" spans="2:23" ht="16.95" customHeight="1">
      <c r="B38" s="330"/>
      <c r="C38" s="62" t="s">
        <v>22</v>
      </c>
      <c r="D38" s="14" t="s">
        <v>1</v>
      </c>
      <c r="E38" s="47">
        <f>E35+E36</f>
        <v>1.0624775822865076</v>
      </c>
      <c r="F38" s="14">
        <f>F36+F35</f>
        <v>0.28054549739481832</v>
      </c>
      <c r="G38" s="14">
        <f t="shared" ref="G38" si="7">F38*$J$12</f>
        <v>2103.2296895721051</v>
      </c>
      <c r="H38" s="14">
        <f>MW_CO2</f>
        <v>4.4009800000000002E-2</v>
      </c>
      <c r="I38" s="14">
        <f>G38*H38</f>
        <v>92.56271799213043</v>
      </c>
      <c r="J38" s="14">
        <f>I38/kg_to_ton</f>
        <v>9.2562717992130436E-2</v>
      </c>
      <c r="L38" s="20" t="s">
        <v>28</v>
      </c>
      <c r="M38" s="14">
        <f>MW_O</f>
        <v>1.59994E-2</v>
      </c>
      <c r="N38" s="14">
        <f>M38*(G35+G36)</f>
        <v>33.650413095339935</v>
      </c>
      <c r="O38" s="14">
        <f>M38*(G37+G39)</f>
        <v>33.650413095339935</v>
      </c>
    </row>
    <row r="39" spans="2:23">
      <c r="B39" s="330"/>
      <c r="C39" s="62" t="s">
        <v>132</v>
      </c>
      <c r="D39" s="14" t="s">
        <v>38</v>
      </c>
      <c r="E39" s="48">
        <f>E35</f>
        <v>6.247758228650753E-2</v>
      </c>
      <c r="F39" s="14">
        <f>F35</f>
        <v>1.6497105153854812E-2</v>
      </c>
      <c r="G39" s="14">
        <f t="shared" si="6"/>
        <v>123.67762688684408</v>
      </c>
      <c r="H39" s="14">
        <f>MW_MgO</f>
        <v>4.0304400000000004E-2</v>
      </c>
      <c r="I39" s="14">
        <f t="shared" si="5"/>
        <v>4.9847525450981189</v>
      </c>
      <c r="J39" s="14">
        <f>I39/kg_to_ton</f>
        <v>4.9847525450981188E-3</v>
      </c>
    </row>
    <row r="40" spans="2:23">
      <c r="B40" s="18"/>
      <c r="C40" s="18"/>
      <c r="D40" s="18"/>
      <c r="E40" s="18"/>
      <c r="F40" s="18"/>
      <c r="G40" s="18"/>
      <c r="H40" s="18"/>
      <c r="I40" s="18"/>
      <c r="J40" s="18"/>
    </row>
    <row r="41" spans="2:23" ht="16.05" customHeight="1">
      <c r="B41" s="335" t="s">
        <v>103</v>
      </c>
      <c r="C41" s="5" t="s">
        <v>113</v>
      </c>
      <c r="D41" s="56" t="s">
        <v>31</v>
      </c>
      <c r="E41" s="18">
        <f>E43</f>
        <v>1</v>
      </c>
      <c r="F41" s="18">
        <f>F43</f>
        <v>0.26404839224096349</v>
      </c>
      <c r="G41" s="18">
        <f>F41*$J$12</f>
        <v>1979.5520626852608</v>
      </c>
      <c r="H41" s="18">
        <f>MW_CaO</f>
        <v>5.6077400000000006E-2</v>
      </c>
      <c r="I41" s="18">
        <f t="shared" ref="I41:I43" si="8">G41*H41</f>
        <v>111.00813284002646</v>
      </c>
      <c r="J41" s="18">
        <f>I41/kg_to_ton</f>
        <v>0.11100813284002646</v>
      </c>
    </row>
    <row r="42" spans="2:23" ht="18" customHeight="1">
      <c r="B42" s="335"/>
      <c r="C42" s="37" t="s">
        <v>16</v>
      </c>
      <c r="D42" s="14" t="s">
        <v>152</v>
      </c>
      <c r="E42" s="14">
        <v>1</v>
      </c>
      <c r="F42" s="14">
        <f>H13</f>
        <v>0.26404839224096349</v>
      </c>
      <c r="G42" s="14">
        <f t="shared" ref="G42:G43" si="9">F42*$J$12</f>
        <v>1979.5520626852608</v>
      </c>
      <c r="H42" s="14">
        <f>MW_SIO2</f>
        <v>6.00843E-2</v>
      </c>
      <c r="I42" s="14">
        <f t="shared" si="8"/>
        <v>118.94000000000001</v>
      </c>
      <c r="J42" s="14">
        <f>I42/kg_to_ton</f>
        <v>0.11894000000000002</v>
      </c>
    </row>
    <row r="43" spans="2:23" ht="18" customHeight="1">
      <c r="B43" s="25" t="s">
        <v>104</v>
      </c>
      <c r="C43" s="34" t="s">
        <v>21</v>
      </c>
      <c r="D43" s="14" t="s">
        <v>153</v>
      </c>
      <c r="E43" s="14">
        <f>E42</f>
        <v>1</v>
      </c>
      <c r="F43" s="14">
        <f>F42</f>
        <v>0.26404839224096349</v>
      </c>
      <c r="G43" s="14">
        <f t="shared" si="9"/>
        <v>1979.5520626852608</v>
      </c>
      <c r="H43" s="14">
        <f>MW_CaSiO3</f>
        <v>0.11616169999999999</v>
      </c>
      <c r="I43" s="14">
        <f t="shared" si="8"/>
        <v>229.94813284002646</v>
      </c>
      <c r="J43" s="14">
        <f>I43/kg_to_ton</f>
        <v>0.22994813284002646</v>
      </c>
    </row>
    <row r="44" spans="2:23">
      <c r="B44" s="314" t="s">
        <v>18</v>
      </c>
      <c r="C44" s="314"/>
      <c r="D44" s="18"/>
      <c r="E44" s="18"/>
      <c r="F44" s="18"/>
      <c r="G44" s="18">
        <f>SUM(G19:G43)</f>
        <v>182073.20895991358</v>
      </c>
      <c r="H44" s="18"/>
      <c r="I44" s="18">
        <f>SUM(I19:I43)</f>
        <v>6965.5579720060041</v>
      </c>
      <c r="J44" s="18">
        <f>SUM(J19:J43)</f>
        <v>6.9655579720060032</v>
      </c>
    </row>
    <row r="46" spans="2:23" ht="16.05" customHeight="1"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</row>
    <row r="47" spans="2:23">
      <c r="C47" s="324" t="s">
        <v>276</v>
      </c>
      <c r="D47" s="324"/>
      <c r="E47" s="324"/>
      <c r="F47" s="324"/>
    </row>
    <row r="48" spans="2:23">
      <c r="C48" s="341"/>
      <c r="D48" s="341"/>
      <c r="E48" s="341"/>
      <c r="F48" s="341"/>
      <c r="H48" s="318" t="s">
        <v>69</v>
      </c>
      <c r="I48" s="318"/>
      <c r="J48" s="318"/>
      <c r="K48" s="318"/>
      <c r="L48" s="318"/>
      <c r="M48" s="318"/>
    </row>
    <row r="49" spans="1:17" ht="18" customHeight="1">
      <c r="B49" s="14" t="s">
        <v>19</v>
      </c>
      <c r="C49" s="20" t="s">
        <v>64</v>
      </c>
      <c r="D49" s="20" t="s">
        <v>70</v>
      </c>
      <c r="E49" s="7" t="s">
        <v>71</v>
      </c>
      <c r="F49" s="7" t="s">
        <v>72</v>
      </c>
      <c r="H49" s="318" t="s">
        <v>73</v>
      </c>
      <c r="I49" s="318"/>
      <c r="J49" s="318"/>
      <c r="K49" s="20"/>
      <c r="L49" s="317" t="s">
        <v>281</v>
      </c>
      <c r="M49" s="317"/>
    </row>
    <row r="50" spans="1:17" ht="16.95" customHeight="1">
      <c r="B50" s="14" t="s">
        <v>10</v>
      </c>
      <c r="C50" s="20" t="s">
        <v>10</v>
      </c>
      <c r="D50" s="20" t="s">
        <v>75</v>
      </c>
      <c r="E50" s="20" t="s">
        <v>33</v>
      </c>
      <c r="F50" s="20"/>
    </row>
    <row r="51" spans="1:17">
      <c r="B51" s="14">
        <f>Limestone_for_BF</f>
        <v>198.12782320839224</v>
      </c>
      <c r="C51" s="20">
        <f>B51*Lime_to_Energy_Conversion</f>
        <v>37.630021206323519</v>
      </c>
      <c r="D51" s="20">
        <f>E59</f>
        <v>2345.6076888467769</v>
      </c>
      <c r="E51" s="20">
        <v>1</v>
      </c>
      <c r="F51" s="20">
        <v>3.76</v>
      </c>
      <c r="H51" s="338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338"/>
      <c r="J51" s="338"/>
      <c r="K51" s="338"/>
      <c r="L51" s="338"/>
      <c r="M51" s="338"/>
    </row>
    <row r="52" spans="1:17" ht="16.2" customHeight="1">
      <c r="C52" s="24"/>
      <c r="H52" s="338"/>
      <c r="I52" s="338"/>
      <c r="J52" s="338"/>
      <c r="K52" s="338"/>
      <c r="L52" s="338"/>
      <c r="M52" s="338"/>
    </row>
    <row r="53" spans="1:17" ht="16.2" customHeight="1"/>
    <row r="54" spans="1:17" ht="15.45" customHeight="1"/>
    <row r="55" spans="1:17" ht="15.45" customHeight="1">
      <c r="D55" s="66"/>
    </row>
    <row r="57" spans="1:17">
      <c r="B57" s="52" t="s">
        <v>2</v>
      </c>
      <c r="C57" s="14" t="s">
        <v>1</v>
      </c>
      <c r="D57" s="14" t="s">
        <v>5</v>
      </c>
      <c r="E57" s="14" t="s">
        <v>31</v>
      </c>
      <c r="F57" s="14" t="s">
        <v>38</v>
      </c>
      <c r="G57" s="14" t="s">
        <v>43</v>
      </c>
      <c r="K57" s="52" t="s">
        <v>3</v>
      </c>
      <c r="L57" s="14" t="s">
        <v>1</v>
      </c>
      <c r="M57" s="14" t="s">
        <v>5</v>
      </c>
      <c r="N57" s="14" t="s">
        <v>31</v>
      </c>
      <c r="O57" s="14" t="s">
        <v>38</v>
      </c>
      <c r="P57" s="14" t="s">
        <v>43</v>
      </c>
    </row>
    <row r="58" spans="1:17" ht="18" customHeight="1">
      <c r="B58" s="20" t="s">
        <v>40</v>
      </c>
      <c r="C58" s="20" t="s">
        <v>10</v>
      </c>
      <c r="D58" s="5" t="s">
        <v>78</v>
      </c>
      <c r="E58" s="20" t="s">
        <v>41</v>
      </c>
      <c r="F58" s="20" t="s">
        <v>42</v>
      </c>
      <c r="G58" s="20" t="s">
        <v>68</v>
      </c>
      <c r="H58" s="9" t="s">
        <v>338</v>
      </c>
      <c r="K58" s="20" t="s">
        <v>40</v>
      </c>
      <c r="L58" s="20" t="s">
        <v>10</v>
      </c>
      <c r="M58" s="5" t="s">
        <v>78</v>
      </c>
      <c r="N58" s="20" t="s">
        <v>41</v>
      </c>
      <c r="O58" s="20" t="s">
        <v>42</v>
      </c>
      <c r="P58" s="20" t="s">
        <v>68</v>
      </c>
      <c r="Q58" s="9" t="s">
        <v>338</v>
      </c>
    </row>
    <row r="59" spans="1:17" ht="16.95" customHeight="1">
      <c r="A59" s="43"/>
      <c r="B59" s="20" t="s">
        <v>64</v>
      </c>
      <c r="C59" s="14">
        <f>C51</f>
        <v>37.630021206323519</v>
      </c>
      <c r="D59" s="14">
        <f>MW_CH4</f>
        <v>1.604276E-2</v>
      </c>
      <c r="E59" s="14">
        <f>C59/D59</f>
        <v>2345.6076888467769</v>
      </c>
      <c r="F59" s="14">
        <f>E59/E62</f>
        <v>9.5057034220532327E-2</v>
      </c>
      <c r="G59" s="59" t="s">
        <v>32</v>
      </c>
      <c r="H59" s="14">
        <v>1</v>
      </c>
      <c r="J59" s="342" t="s">
        <v>502</v>
      </c>
      <c r="K59" s="62" t="s">
        <v>22</v>
      </c>
      <c r="L59" s="14">
        <f>M59*N59</f>
        <v>103.22972526460889</v>
      </c>
      <c r="M59" s="14">
        <f>MW_CO2</f>
        <v>4.4009800000000002E-2</v>
      </c>
      <c r="N59" s="14">
        <f>E59</f>
        <v>2345.6076888467769</v>
      </c>
      <c r="O59" s="14">
        <f>N59/N62</f>
        <v>9.5057034220532327E-2</v>
      </c>
      <c r="P59" s="59" t="s">
        <v>34</v>
      </c>
      <c r="Q59" s="14">
        <f>H60/2</f>
        <v>0.5</v>
      </c>
    </row>
    <row r="60" spans="1:17" ht="18" customHeight="1">
      <c r="A60" s="319" t="s">
        <v>575</v>
      </c>
      <c r="B60" s="7" t="s">
        <v>23</v>
      </c>
      <c r="C60" s="14">
        <f>E60*D60</f>
        <v>150.11326262774048</v>
      </c>
      <c r="D60" s="14">
        <f>MW_O2</f>
        <v>3.1998800000000001E-2</v>
      </c>
      <c r="E60" s="14">
        <f>N59+(N60/2)</f>
        <v>4691.2153776935538</v>
      </c>
      <c r="F60" s="14">
        <f>E60/E62</f>
        <v>0.19011406844106465</v>
      </c>
      <c r="G60" s="59" t="s">
        <v>33</v>
      </c>
      <c r="H60" s="14">
        <v>1</v>
      </c>
      <c r="J60" s="327"/>
      <c r="K60" s="16" t="s">
        <v>501</v>
      </c>
      <c r="L60" s="14">
        <f>M60*N60</f>
        <v>84.513558569455128</v>
      </c>
      <c r="M60" s="14">
        <f>MW_H2O</f>
        <v>1.8015280000000002E-2</v>
      </c>
      <c r="N60" s="14">
        <f>2*E59</f>
        <v>4691.2153776935538</v>
      </c>
      <c r="O60" s="14">
        <f>N60/N62</f>
        <v>0.19011406844106465</v>
      </c>
      <c r="P60" s="59" t="s">
        <v>35</v>
      </c>
      <c r="Q60" s="14">
        <f>0.5*Q59</f>
        <v>0.25</v>
      </c>
    </row>
    <row r="61" spans="1:17" ht="18" customHeight="1">
      <c r="A61" s="319"/>
      <c r="B61" s="16" t="s">
        <v>66</v>
      </c>
      <c r="C61" s="14">
        <f>D61*E61</f>
        <v>494.12892827675262</v>
      </c>
      <c r="D61" s="14">
        <f>MW_N2</f>
        <v>2.801348E-2</v>
      </c>
      <c r="E61" s="14">
        <f>E60*N2_molcoeff</f>
        <v>17638.969820127761</v>
      </c>
      <c r="F61" s="14">
        <f>E61/E62</f>
        <v>0.71482889733840305</v>
      </c>
      <c r="G61" s="59" t="s">
        <v>154</v>
      </c>
      <c r="H61" s="28">
        <f>H60*3.76</f>
        <v>3.76</v>
      </c>
      <c r="J61" s="327"/>
      <c r="K61" s="16" t="s">
        <v>66</v>
      </c>
      <c r="L61" s="14">
        <f>C61</f>
        <v>494.12892827675262</v>
      </c>
      <c r="M61" s="14">
        <f>MW_N2</f>
        <v>2.801348E-2</v>
      </c>
      <c r="N61" s="14">
        <f>E61</f>
        <v>17638.969820127761</v>
      </c>
      <c r="O61" s="14">
        <f>N61/N62</f>
        <v>0.71482889733840305</v>
      </c>
      <c r="P61" s="59" t="s">
        <v>36</v>
      </c>
      <c r="Q61" s="14">
        <f>H61*H60</f>
        <v>3.76</v>
      </c>
    </row>
    <row r="62" spans="1:17">
      <c r="B62" s="18" t="s">
        <v>18</v>
      </c>
      <c r="C62" s="84">
        <f>SUM(C59:C61)</f>
        <v>681.87221211081669</v>
      </c>
      <c r="D62" s="94">
        <f>SUM(D59:D61)</f>
        <v>7.605503999999999E-2</v>
      </c>
      <c r="E62" s="94">
        <f>SUM(E59:E61)</f>
        <v>24675.792886668092</v>
      </c>
      <c r="F62" s="84">
        <f>SUM(F59:F61)</f>
        <v>1</v>
      </c>
      <c r="G62" s="18"/>
      <c r="H62" s="18"/>
      <c r="J62" s="327"/>
      <c r="K62" s="18" t="s">
        <v>18</v>
      </c>
      <c r="L62" s="84">
        <f>SUM(L59:L61)</f>
        <v>681.87221211081669</v>
      </c>
      <c r="M62" s="94">
        <f>SUM(M59:M61)</f>
        <v>9.0038560000000004E-2</v>
      </c>
      <c r="N62" s="94">
        <f>SUM(N59:N61)</f>
        <v>24675.792886668092</v>
      </c>
      <c r="O62" s="84">
        <f>SUM(O59:O61)</f>
        <v>1</v>
      </c>
      <c r="P62" s="59"/>
    </row>
    <row r="63" spans="1:17" ht="19.2" customHeight="1">
      <c r="K63" s="19"/>
      <c r="L63" s="49"/>
      <c r="M63" s="49"/>
      <c r="N63" s="49"/>
      <c r="O63" s="49"/>
      <c r="P63" s="18"/>
      <c r="Q63" s="18"/>
    </row>
    <row r="64" spans="1:17" ht="18" customHeight="1">
      <c r="B64" s="2" t="s">
        <v>257</v>
      </c>
      <c r="C64" s="14">
        <f>I35</f>
        <v>10.427780168862752</v>
      </c>
      <c r="D64" s="14">
        <f>MW_MgCO3</f>
        <v>8.4314200000000006E-2</v>
      </c>
      <c r="E64" s="14">
        <f>C64/D64</f>
        <v>123.6776268868441</v>
      </c>
      <c r="K64" s="19"/>
      <c r="L64" s="49"/>
      <c r="M64" s="49"/>
      <c r="N64" s="49"/>
      <c r="O64" s="49"/>
    </row>
    <row r="65" spans="2:45" ht="16.2" customHeight="1">
      <c r="B65" s="5" t="s">
        <v>20</v>
      </c>
      <c r="C65" s="14">
        <f>I36</f>
        <v>198.12782320839224</v>
      </c>
      <c r="D65" s="14">
        <f>MW_CaCO3</f>
        <v>0.1000872</v>
      </c>
      <c r="E65" s="14">
        <f>C65/D65</f>
        <v>1979.5520626852608</v>
      </c>
      <c r="K65" s="7" t="s">
        <v>63</v>
      </c>
      <c r="L65" s="14">
        <f>N65*MW_CO2</f>
        <v>92.562717992130416</v>
      </c>
      <c r="N65" s="14">
        <f>E64+E65</f>
        <v>2103.2296895721047</v>
      </c>
    </row>
    <row r="66" spans="2:45" ht="15.45" customHeight="1"/>
    <row r="67" spans="2:45" ht="19.2" customHeight="1"/>
    <row r="68" spans="2:45" ht="16.05" customHeight="1"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</row>
    <row r="69" spans="2:45">
      <c r="B69" s="324" t="s">
        <v>296</v>
      </c>
      <c r="C69" s="324"/>
      <c r="D69" s="324"/>
      <c r="E69" s="324"/>
      <c r="F69" s="324"/>
      <c r="G69" s="324"/>
      <c r="Y69" s="323" t="s">
        <v>514</v>
      </c>
      <c r="Z69" s="320"/>
      <c r="AA69" s="320"/>
      <c r="AB69" s="320"/>
      <c r="AC69" s="320"/>
      <c r="AD69" s="320"/>
      <c r="AE69" s="320"/>
      <c r="AF69" s="320"/>
    </row>
    <row r="70" spans="2:45">
      <c r="B70" s="325"/>
      <c r="C70" s="325"/>
      <c r="D70" s="325"/>
      <c r="E70" s="325"/>
      <c r="F70" s="325"/>
      <c r="G70" s="325"/>
      <c r="K70" s="14" t="s">
        <v>523</v>
      </c>
      <c r="Y70" s="323"/>
      <c r="Z70" s="320"/>
      <c r="AA70" s="320"/>
      <c r="AB70" s="320"/>
      <c r="AC70" s="320"/>
      <c r="AD70" s="320"/>
      <c r="AE70" s="320"/>
      <c r="AF70" s="320"/>
    </row>
    <row r="71" spans="2:45">
      <c r="E71" s="20"/>
      <c r="F71" s="20" t="s">
        <v>298</v>
      </c>
      <c r="G71" s="20" t="s">
        <v>298</v>
      </c>
      <c r="Y71" s="323"/>
      <c r="Z71" s="320"/>
      <c r="AA71" s="320"/>
      <c r="AB71" s="320"/>
      <c r="AC71" s="320"/>
      <c r="AD71" s="320"/>
      <c r="AE71" s="320"/>
      <c r="AF71" s="320"/>
    </row>
    <row r="72" spans="2:45">
      <c r="B72" s="20" t="s">
        <v>17</v>
      </c>
      <c r="C72" s="20" t="s">
        <v>5</v>
      </c>
      <c r="D72" s="9" t="s">
        <v>286</v>
      </c>
      <c r="E72" s="20"/>
      <c r="F72" s="20" t="s">
        <v>521</v>
      </c>
      <c r="G72" s="20" t="s">
        <v>522</v>
      </c>
      <c r="Y72" s="53"/>
    </row>
    <row r="73" spans="2:45" ht="16.95" customHeight="1">
      <c r="B73" s="20" t="s">
        <v>10</v>
      </c>
      <c r="C73" s="20" t="s">
        <v>11</v>
      </c>
      <c r="D73" s="9" t="s">
        <v>287</v>
      </c>
      <c r="E73" s="20" t="s">
        <v>278</v>
      </c>
      <c r="F73" s="20">
        <v>18625</v>
      </c>
      <c r="G73" s="20">
        <f>(F73*G74)/F74</f>
        <v>315.66502308395394</v>
      </c>
      <c r="Y73" s="88" t="s">
        <v>103</v>
      </c>
      <c r="Z73" s="14" t="s">
        <v>1</v>
      </c>
      <c r="AA73" s="14" t="s">
        <v>46</v>
      </c>
      <c r="AB73" s="14" t="s">
        <v>5</v>
      </c>
      <c r="AC73" s="14" t="s">
        <v>319</v>
      </c>
      <c r="AG73" s="52"/>
      <c r="AH73" s="14"/>
      <c r="AJ73" s="14"/>
      <c r="AL73" s="52"/>
      <c r="AM73" s="14"/>
      <c r="AO73" s="14"/>
    </row>
    <row r="74" spans="2:45" ht="18" customHeight="1">
      <c r="B74" s="20">
        <f>C_for_BF</f>
        <v>198.80764502323905</v>
      </c>
      <c r="C74" s="20">
        <f>MW_C</f>
        <v>1.2010999999999999E-2</v>
      </c>
      <c r="D74" s="9">
        <f>B74/C74</f>
        <v>16552.130965218472</v>
      </c>
      <c r="E74" s="20" t="s">
        <v>519</v>
      </c>
      <c r="F74" s="20">
        <v>11994</v>
      </c>
      <c r="G74" s="20">
        <f>C94</f>
        <v>203.27980063725872</v>
      </c>
      <c r="Q74" s="14"/>
      <c r="S74" s="14"/>
      <c r="Y74" s="20" t="s">
        <v>40</v>
      </c>
      <c r="Z74" s="20" t="s">
        <v>10</v>
      </c>
      <c r="AA74" s="20" t="s">
        <v>171</v>
      </c>
      <c r="AB74" s="5" t="s">
        <v>78</v>
      </c>
      <c r="AC74" s="20" t="s">
        <v>41</v>
      </c>
      <c r="AD74" s="53"/>
      <c r="AI74" s="1"/>
      <c r="AN74" s="1"/>
    </row>
    <row r="75" spans="2:45" ht="16.95" customHeight="1">
      <c r="E75" s="20" t="s">
        <v>520</v>
      </c>
      <c r="F75" s="20">
        <v>2720</v>
      </c>
      <c r="G75" s="20">
        <f>(G74*F75)/F74</f>
        <v>46.099804713468707</v>
      </c>
      <c r="R75" s="1"/>
      <c r="Y75" s="20" t="s">
        <v>65</v>
      </c>
      <c r="Z75" s="14">
        <f>AA75*$P$112</f>
        <v>28.443579508210192</v>
      </c>
      <c r="AA75" s="18">
        <v>0.61699999999999999</v>
      </c>
      <c r="AB75" s="18">
        <f>MW_H*2</f>
        <v>2.0158800000000003E-3</v>
      </c>
      <c r="AC75" s="18">
        <f>Z75/AB75</f>
        <v>14109.758273414185</v>
      </c>
      <c r="AD75" s="53"/>
      <c r="AG75" s="21"/>
      <c r="AH75" s="1"/>
      <c r="AI75" s="1"/>
      <c r="AJ75" s="1"/>
      <c r="AM75" s="1"/>
      <c r="AN75" s="1"/>
      <c r="AO75" s="1"/>
    </row>
    <row r="76" spans="2:45" ht="16.95" customHeight="1">
      <c r="E76" s="20" t="s">
        <v>297</v>
      </c>
      <c r="F76" s="20">
        <v>1490</v>
      </c>
      <c r="G76" s="20">
        <f>(G74*F76)/F74</f>
        <v>25.253201846716316</v>
      </c>
      <c r="Q76" s="1"/>
      <c r="R76" s="1"/>
      <c r="S76" s="1"/>
      <c r="Y76" s="20" t="s">
        <v>289</v>
      </c>
      <c r="Z76" s="14">
        <f>AA76*$P$112</f>
        <v>1.3829941414040612</v>
      </c>
      <c r="AA76" s="14">
        <v>0.03</v>
      </c>
      <c r="AB76" s="14">
        <f>MW_H2S</f>
        <v>3.4081880000000002E-2</v>
      </c>
      <c r="AC76" s="14">
        <f>Z76/AB76</f>
        <v>40.578575518840545</v>
      </c>
      <c r="AF76" s="14" t="s">
        <v>304</v>
      </c>
      <c r="AG76" s="21" t="s">
        <v>303</v>
      </c>
      <c r="AH76" s="1"/>
      <c r="AI76" s="21"/>
      <c r="AJ76" s="1"/>
      <c r="AL76" s="21"/>
      <c r="AM76" s="1"/>
      <c r="AO76" s="1"/>
    </row>
    <row r="77" spans="2:45" ht="16.05" customHeight="1">
      <c r="E77" s="20" t="s">
        <v>549</v>
      </c>
      <c r="F77" s="20">
        <v>12044</v>
      </c>
      <c r="G77" s="20">
        <f>(F77*G74)/F74</f>
        <v>204.127223518021</v>
      </c>
      <c r="Q77" s="1"/>
      <c r="R77" s="1"/>
      <c r="S77" s="1"/>
      <c r="Y77" s="20" t="s">
        <v>112</v>
      </c>
      <c r="Z77" s="14">
        <f>AA77*$P$112</f>
        <v>2.6737886733811851</v>
      </c>
      <c r="AA77" s="14">
        <v>5.8000000000000003E-2</v>
      </c>
      <c r="AB77" s="14">
        <f>MW_CO</f>
        <v>2.8010399999999998E-2</v>
      </c>
      <c r="AC77" s="14">
        <f t="shared" ref="AC77:AC78" si="10">Z77/AB77</f>
        <v>95.456997164666888</v>
      </c>
      <c r="AE77" s="14" t="s">
        <v>17</v>
      </c>
      <c r="AF77" s="33">
        <f>(AC77+AC78+AC79)</f>
        <v>897.50495218664253</v>
      </c>
      <c r="AG77" s="61">
        <f>AC89</f>
        <v>897.50495218664253</v>
      </c>
      <c r="AH77" s="1">
        <f>AF77-AG77</f>
        <v>0</v>
      </c>
      <c r="AI77" s="21"/>
      <c r="AJ77" s="1"/>
      <c r="AL77" s="21"/>
      <c r="AM77" s="1"/>
      <c r="AO77" s="1"/>
    </row>
    <row r="78" spans="2:45" ht="18" customHeight="1">
      <c r="E78" s="20" t="s">
        <v>524</v>
      </c>
      <c r="F78" s="20">
        <v>1415</v>
      </c>
      <c r="G78" s="20">
        <f>(G74*F78)/F74</f>
        <v>23.982067525572877</v>
      </c>
      <c r="H78" s="313"/>
      <c r="I78" s="313"/>
      <c r="J78" s="313"/>
      <c r="K78" s="313"/>
      <c r="L78" s="313"/>
      <c r="P78" s="21"/>
      <c r="Q78" s="1"/>
      <c r="R78" s="21"/>
      <c r="S78" s="1"/>
      <c r="Y78" s="7" t="s">
        <v>63</v>
      </c>
      <c r="Z78" s="14">
        <f>AA78*$P$112</f>
        <v>1.1524951178367178</v>
      </c>
      <c r="AA78" s="14">
        <v>2.5000000000000001E-2</v>
      </c>
      <c r="AB78" s="14">
        <f>MW_CO2</f>
        <v>4.4009800000000002E-2</v>
      </c>
      <c r="AC78" s="14">
        <f t="shared" si="10"/>
        <v>26.187238247770217</v>
      </c>
      <c r="AE78" s="14" t="s">
        <v>135</v>
      </c>
      <c r="AF78" s="33">
        <f>(2*AC75)+(2*AC76)+(4*AC79)</f>
        <v>31404.116564962875</v>
      </c>
      <c r="AG78" s="61">
        <f>(2*AC88)+(4*AC89)+(2*AC91)</f>
        <v>31404.116564962875</v>
      </c>
      <c r="AH78" s="1">
        <f t="shared" ref="AH78:AH80" si="11">AF78-AG78</f>
        <v>0</v>
      </c>
      <c r="AI78" s="1"/>
      <c r="AJ78" s="27"/>
      <c r="AL78" s="21"/>
      <c r="AM78" s="1"/>
      <c r="AO78" s="27"/>
    </row>
    <row r="79" spans="2:45" ht="16.95" customHeight="1">
      <c r="H79" s="14"/>
      <c r="I79" s="14"/>
      <c r="J79" s="14"/>
      <c r="K79" s="14"/>
      <c r="L79" s="14"/>
      <c r="M79" s="21"/>
      <c r="N79" s="21"/>
      <c r="O79" s="21"/>
      <c r="P79" s="21"/>
      <c r="Q79" s="1"/>
      <c r="R79" s="1"/>
      <c r="S79" s="27"/>
      <c r="Y79" s="20" t="s">
        <v>64</v>
      </c>
      <c r="Z79" s="14">
        <f>AA79*$P$112</f>
        <v>12.446947272636551</v>
      </c>
      <c r="AA79" s="14">
        <v>0.27</v>
      </c>
      <c r="AB79" s="14">
        <f>MW_CH4</f>
        <v>1.604276E-2</v>
      </c>
      <c r="AC79" s="14">
        <f>Z79/AB79</f>
        <v>775.86071677420546</v>
      </c>
      <c r="AE79" s="14" t="s">
        <v>133</v>
      </c>
      <c r="AF79" s="33">
        <f>AC76</f>
        <v>40.578575518840545</v>
      </c>
      <c r="AG79" s="63">
        <f>AC76</f>
        <v>40.578575518840545</v>
      </c>
      <c r="AH79" s="1">
        <f t="shared" si="11"/>
        <v>0</v>
      </c>
      <c r="AI79" s="27"/>
      <c r="AJ79" s="1"/>
      <c r="AL79" s="1"/>
      <c r="AM79" s="27"/>
      <c r="AN79" s="27"/>
      <c r="AO79" s="1"/>
    </row>
    <row r="80" spans="2:45" ht="16.05" customHeight="1">
      <c r="G80" s="1"/>
      <c r="O80" s="1"/>
      <c r="Q80" s="27"/>
      <c r="R80" s="27"/>
      <c r="S80" s="1"/>
      <c r="Y80" s="62" t="s">
        <v>18</v>
      </c>
      <c r="Z80" s="56">
        <f>SUM(Z75:Z79)</f>
        <v>46.0998047134687</v>
      </c>
      <c r="AA80" s="18">
        <f>SUM(AA75:AA79)</f>
        <v>1</v>
      </c>
      <c r="AB80" s="18">
        <f>SUM(AB75:AB79)</f>
        <v>0.12416072</v>
      </c>
      <c r="AC80" s="18">
        <f>SUM(AC75:AC79)</f>
        <v>15047.841801119668</v>
      </c>
      <c r="AE80" s="14" t="s">
        <v>28</v>
      </c>
      <c r="AF80" s="33">
        <f>AC77+(2*AC78)</f>
        <v>147.83147366020734</v>
      </c>
      <c r="AG80" s="33">
        <f>2*AC90</f>
        <v>147.83147366020734</v>
      </c>
      <c r="AH80" s="1">
        <f t="shared" si="11"/>
        <v>0</v>
      </c>
      <c r="AI80" s="1"/>
      <c r="AL80" s="1"/>
      <c r="AN80" s="1"/>
    </row>
    <row r="81" spans="1:39" ht="16.05" customHeight="1">
      <c r="G81" s="1"/>
      <c r="O81" s="1"/>
      <c r="P81" s="89"/>
      <c r="Y81" s="53"/>
    </row>
    <row r="82" spans="1:39" ht="31.05" customHeight="1">
      <c r="G82" s="1"/>
      <c r="O82" s="27"/>
      <c r="P82" s="89"/>
      <c r="Q82" s="90" t="s">
        <v>603</v>
      </c>
      <c r="Y82" s="53"/>
      <c r="AG82" s="27"/>
      <c r="AL82" s="27"/>
    </row>
    <row r="83" spans="1:39" ht="16.05" customHeight="1">
      <c r="A83" t="s">
        <v>567</v>
      </c>
      <c r="G83" s="1"/>
      <c r="O83" s="27"/>
      <c r="P83" s="27"/>
      <c r="Y83" s="53"/>
    </row>
    <row r="84" spans="1:39" ht="16.05" customHeight="1">
      <c r="G84" s="1"/>
      <c r="Y84" s="53"/>
      <c r="AG84" s="1"/>
      <c r="AI84" s="24"/>
    </row>
    <row r="85" spans="1:39" ht="16.05" customHeight="1">
      <c r="G85" s="21"/>
      <c r="P85" s="1"/>
      <c r="Y85" s="53" t="s">
        <v>604</v>
      </c>
      <c r="AG85" s="24"/>
      <c r="AI85" s="24"/>
      <c r="AL85" s="24"/>
    </row>
    <row r="86" spans="1:39" ht="16.95" customHeight="1">
      <c r="Y86" s="65" t="s">
        <v>104</v>
      </c>
      <c r="Z86" s="14" t="s">
        <v>1</v>
      </c>
      <c r="AA86" s="14" t="s">
        <v>46</v>
      </c>
      <c r="AB86" s="14" t="s">
        <v>5</v>
      </c>
      <c r="AC86" s="14" t="s">
        <v>319</v>
      </c>
      <c r="AD86" s="14" t="s">
        <v>38</v>
      </c>
    </row>
    <row r="87" spans="1:39" ht="19.05" customHeight="1">
      <c r="G87" s="1"/>
      <c r="H87" s="1"/>
      <c r="I87" s="1"/>
      <c r="J87" s="1"/>
      <c r="K87" s="27"/>
      <c r="Y87" s="20" t="s">
        <v>40</v>
      </c>
      <c r="Z87" s="62" t="s">
        <v>10</v>
      </c>
      <c r="AA87" s="62" t="s">
        <v>171</v>
      </c>
      <c r="AB87" s="31" t="s">
        <v>78</v>
      </c>
      <c r="AC87" s="62" t="s">
        <v>41</v>
      </c>
      <c r="AD87" s="62" t="s">
        <v>42</v>
      </c>
    </row>
    <row r="88" spans="1:39" ht="16.95" customHeight="1">
      <c r="B88" s="52" t="s">
        <v>533</v>
      </c>
      <c r="E88" s="60"/>
      <c r="F88" s="24"/>
      <c r="G88" s="81" t="s">
        <v>250</v>
      </c>
      <c r="H88" s="82" t="s">
        <v>306</v>
      </c>
      <c r="I88" s="82" t="s">
        <v>307</v>
      </c>
      <c r="J88" s="83" t="s">
        <v>308</v>
      </c>
      <c r="K88" s="82" t="s">
        <v>309</v>
      </c>
      <c r="L88" s="82" t="s">
        <v>530</v>
      </c>
      <c r="M88" s="82" t="s">
        <v>310</v>
      </c>
      <c r="N88" s="85" t="s">
        <v>384</v>
      </c>
      <c r="X88" s="327" t="s">
        <v>505</v>
      </c>
      <c r="Y88" s="9" t="s">
        <v>65</v>
      </c>
      <c r="Z88" s="53">
        <f>AB88*AC88</f>
        <v>27.953139145643746</v>
      </c>
      <c r="AA88" s="14">
        <f>Z88/$Z$92</f>
        <v>0.60636133535456904</v>
      </c>
      <c r="AB88" s="14">
        <f>MW_H*2</f>
        <v>2.0158800000000003E-3</v>
      </c>
      <c r="AC88" s="14">
        <f>(2*AC79)+AC75-(2*AC89)</f>
        <v>13866.469802589312</v>
      </c>
      <c r="AD88" s="50">
        <f>AC88/$AC$92</f>
        <v>0.93198229871837579</v>
      </c>
      <c r="AG88" s="1"/>
    </row>
    <row r="89" spans="1:39" ht="16.05" customHeight="1">
      <c r="A89" s="316" t="s">
        <v>554</v>
      </c>
      <c r="B89" s="20" t="s">
        <v>17</v>
      </c>
      <c r="C89" s="14">
        <f>B74</f>
        <v>198.80764502323905</v>
      </c>
      <c r="D89" s="14">
        <f>0.978</f>
        <v>0.97799999999999998</v>
      </c>
      <c r="E89" s="14">
        <f>MW_C</f>
        <v>1.2010999999999999E-2</v>
      </c>
      <c r="F89" s="24">
        <f>C89/E89</f>
        <v>16552.130965218472</v>
      </c>
      <c r="G89" s="73" t="s">
        <v>91</v>
      </c>
      <c r="H89" s="73" t="s">
        <v>271</v>
      </c>
      <c r="I89" s="73" t="s">
        <v>171</v>
      </c>
      <c r="J89" s="73" t="s">
        <v>171</v>
      </c>
      <c r="K89" s="73" t="s">
        <v>171</v>
      </c>
      <c r="L89" s="73" t="s">
        <v>171</v>
      </c>
      <c r="M89" s="73" t="s">
        <v>91</v>
      </c>
      <c r="N89" s="73" t="s">
        <v>271</v>
      </c>
      <c r="X89" s="327"/>
      <c r="Y89" s="9" t="s">
        <v>64</v>
      </c>
      <c r="Z89" s="53">
        <f>AB89*AC89</f>
        <v>14.39845654674178</v>
      </c>
      <c r="AA89" s="14">
        <f>Z89/$Z$92</f>
        <v>0.31233226770123534</v>
      </c>
      <c r="AB89" s="14">
        <f>MW_CH4</f>
        <v>1.604276E-2</v>
      </c>
      <c r="AC89" s="14">
        <f>(AC79+AC78+AC77)</f>
        <v>897.50495218664253</v>
      </c>
      <c r="AD89" s="50">
        <f>AC89/$AC$92</f>
        <v>6.0322399309869018E-2</v>
      </c>
      <c r="AG89" s="1"/>
    </row>
    <row r="90" spans="1:39" ht="19.05" customHeight="1">
      <c r="A90" s="316"/>
      <c r="B90" s="20" t="s">
        <v>135</v>
      </c>
      <c r="C90" s="14">
        <f>($C$89*D90)/$D$89</f>
        <v>1.0163990031862937</v>
      </c>
      <c r="D90" s="14">
        <v>5.0000000000000001E-3</v>
      </c>
      <c r="E90" s="14">
        <f>MW_H</f>
        <v>1.0079400000000001E-3</v>
      </c>
      <c r="F90" s="24">
        <f t="shared" ref="F90:F93" si="12">C90/E90</f>
        <v>1008.3923677860722</v>
      </c>
      <c r="G90" s="20">
        <f>phi_anthrocite</f>
        <v>1.0437000000000001</v>
      </c>
      <c r="H90" s="62">
        <f>NCV_dry_anthrocite</f>
        <v>30080</v>
      </c>
      <c r="I90" s="62">
        <f>C90/C89</f>
        <v>5.1124744376278121E-3</v>
      </c>
      <c r="J90" s="62">
        <f>C91/C89</f>
        <v>7.1574642126789375E-3</v>
      </c>
      <c r="K90" s="62">
        <f>C92/C89</f>
        <v>1.0224948875255625E-3</v>
      </c>
      <c r="L90" s="62">
        <f>C93/C89</f>
        <v>9.2024539877300603E-3</v>
      </c>
      <c r="M90" s="62">
        <f>G90+(phi_dry_constant_a_*(I90))+(phi_dry_constant_b*(J90))+(phi_dry_constant_c*(K90))</f>
        <v>1.0451400817995911</v>
      </c>
      <c r="N90" s="62">
        <f>(H90*M90) + (phi_constant_dry_anthracite_d*L90)</f>
        <v>31524.473169734152</v>
      </c>
      <c r="X90" s="327"/>
      <c r="Y90" s="55" t="s">
        <v>23</v>
      </c>
      <c r="Z90" s="53">
        <f>AB90*AC90</f>
        <v>2.3652148796791215</v>
      </c>
      <c r="AA90" s="14">
        <f>Z90/$Z$92</f>
        <v>5.1306396944195518E-2</v>
      </c>
      <c r="AB90" s="14">
        <f>MW_O2</f>
        <v>3.1998800000000001E-2</v>
      </c>
      <c r="AC90" s="14">
        <f>AC78+(AC77/2)</f>
        <v>73.915736830103668</v>
      </c>
      <c r="AD90" s="50">
        <f>AC90/$AC$92</f>
        <v>4.967966562730978E-3</v>
      </c>
      <c r="AG90" s="1"/>
    </row>
    <row r="91" spans="1:39" ht="18" customHeight="1">
      <c r="A91" s="316"/>
      <c r="B91" s="20" t="s">
        <v>28</v>
      </c>
      <c r="C91" s="14">
        <f t="shared" ref="C91:C93" si="13">($C$89*D91)/$D$89</f>
        <v>1.4229586044608113</v>
      </c>
      <c r="D91" s="14">
        <v>7.0000000000000001E-3</v>
      </c>
      <c r="E91" s="14">
        <f>MW_O</f>
        <v>1.59994E-2</v>
      </c>
      <c r="F91" s="24">
        <f t="shared" si="12"/>
        <v>88.938247963099329</v>
      </c>
      <c r="H91" s="76" t="s">
        <v>299</v>
      </c>
      <c r="I91" s="77" t="s">
        <v>287</v>
      </c>
      <c r="J91" s="78" t="s">
        <v>300</v>
      </c>
      <c r="K91" s="78" t="s">
        <v>301</v>
      </c>
      <c r="L91" s="77" t="s">
        <v>550</v>
      </c>
      <c r="M91" s="79" t="s">
        <v>551</v>
      </c>
      <c r="N91" s="80" t="s">
        <v>560</v>
      </c>
      <c r="X91" s="327"/>
      <c r="Y91" s="20" t="s">
        <v>289</v>
      </c>
      <c r="Z91" s="51">
        <f>AB91*AC91</f>
        <v>1.3829941414040612</v>
      </c>
      <c r="AA91" s="58">
        <f>Z91/$Z$92</f>
        <v>2.9999999999999995E-2</v>
      </c>
      <c r="AB91" s="58">
        <f>MW_H2S</f>
        <v>3.4081880000000002E-2</v>
      </c>
      <c r="AC91" s="58">
        <f>AC76</f>
        <v>40.578575518840545</v>
      </c>
      <c r="AD91" s="54">
        <f>AC91/$AC$92</f>
        <v>2.72733540902417E-3</v>
      </c>
      <c r="AG91" s="1"/>
    </row>
    <row r="92" spans="1:39" ht="16.05" customHeight="1">
      <c r="A92" s="316"/>
      <c r="B92" s="20" t="s">
        <v>284</v>
      </c>
      <c r="C92" s="14">
        <f t="shared" si="13"/>
        <v>0.20327980063725876</v>
      </c>
      <c r="D92" s="14">
        <v>1E-3</v>
      </c>
      <c r="E92" s="14">
        <f>MW_N2/2</f>
        <v>1.400674E-2</v>
      </c>
      <c r="F92" s="24">
        <f t="shared" si="12"/>
        <v>14.512998787530771</v>
      </c>
      <c r="H92" s="73">
        <f>F90</f>
        <v>1008.3923677860722</v>
      </c>
      <c r="I92" s="73">
        <f>F89</f>
        <v>16552.130965218472</v>
      </c>
      <c r="J92" s="74">
        <f>F91</f>
        <v>88.938247963099329</v>
      </c>
      <c r="K92" s="74">
        <f>F92</f>
        <v>14.512998787530771</v>
      </c>
      <c r="L92" s="73">
        <f>F93</f>
        <v>57.054768469261155</v>
      </c>
      <c r="M92" s="75">
        <f>SUM(H92:L92)</f>
        <v>17721.029348224434</v>
      </c>
      <c r="N92" s="73">
        <f>((MW_C)+(MW_H*mol_H_coke)+(MW_O*mol_O_coke)+(MW_N2/2 *mol_N_coke)+(MW_S*mol_S_coke))*M92</f>
        <v>217.63525920401193</v>
      </c>
      <c r="X92" s="69"/>
      <c r="Y92" s="53" t="s">
        <v>18</v>
      </c>
      <c r="Z92" s="14">
        <f>SUM(Z88:Z91)</f>
        <v>46.099804713468714</v>
      </c>
      <c r="AA92" s="14">
        <f>SUM(AA88:AA91)</f>
        <v>0.99999999999999989</v>
      </c>
      <c r="AC92" s="14">
        <f>SUM(AC88:AC91)</f>
        <v>14878.469067124899</v>
      </c>
      <c r="AD92" s="14">
        <f>SUM(AD88:AD91)</f>
        <v>1</v>
      </c>
      <c r="AG92" s="1"/>
      <c r="AM92" s="14" t="s">
        <v>606</v>
      </c>
    </row>
    <row r="93" spans="1:39" ht="16.05" customHeight="1">
      <c r="A93" s="316"/>
      <c r="B93" s="20" t="s">
        <v>133</v>
      </c>
      <c r="C93" s="14">
        <f t="shared" si="13"/>
        <v>1.8295182057353285</v>
      </c>
      <c r="D93" s="14">
        <v>8.9999999999999993E-3</v>
      </c>
      <c r="E93" s="14">
        <f>MW_S</f>
        <v>3.2066000000000004E-2</v>
      </c>
      <c r="F93" s="24">
        <f t="shared" si="12"/>
        <v>57.054768469261155</v>
      </c>
      <c r="G93" s="14" t="s">
        <v>556</v>
      </c>
      <c r="H93" s="20">
        <f>mol_Coke/H92</f>
        <v>17.573545689492867</v>
      </c>
      <c r="I93" s="20">
        <f>mol_Coke/I92</f>
        <v>1.0706192082132631</v>
      </c>
      <c r="J93" s="20">
        <f>mol_Coke/J92</f>
        <v>199.25093819676914</v>
      </c>
      <c r="K93" s="20">
        <f>mol_Coke/K92</f>
        <v>1221.0453268589761</v>
      </c>
      <c r="L93" s="20">
        <f>mol_Coke/L92</f>
        <v>310.59681466890572</v>
      </c>
      <c r="X93" s="69"/>
      <c r="Y93" s="53"/>
      <c r="AG93" s="1"/>
      <c r="AM93" s="3" t="s">
        <v>605</v>
      </c>
    </row>
    <row r="94" spans="1:39" ht="16.05" customHeight="1">
      <c r="A94" s="68"/>
      <c r="C94" s="18">
        <f>SUM(C89:C93)</f>
        <v>203.27980063725872</v>
      </c>
      <c r="D94" s="18">
        <f>SUM(D89:D93)</f>
        <v>1</v>
      </c>
      <c r="E94" s="32"/>
      <c r="F94" s="18">
        <f>SUM(F89:F93)</f>
        <v>17721.029348224434</v>
      </c>
      <c r="G94" s="27"/>
      <c r="H94" s="2">
        <f>(H92*$I$93)/mol_Coke</f>
        <v>6.0922208137734024E-2</v>
      </c>
      <c r="I94" s="2">
        <v>1</v>
      </c>
      <c r="J94" s="2">
        <f>(J92*$I$93)/mol_Coke</f>
        <v>5.3732204119208661E-3</v>
      </c>
      <c r="K94" s="2">
        <f>(K92*$I$93)/mol_Coke</f>
        <v>8.7680545894830127E-4</v>
      </c>
      <c r="L94" s="2">
        <f>(L92*$I$93)/mol_Coke</f>
        <v>3.4469742046599429E-3</v>
      </c>
      <c r="X94" s="69"/>
      <c r="Y94" s="53"/>
      <c r="AG94" s="1"/>
    </row>
    <row r="95" spans="1:39" ht="16.95" customHeight="1">
      <c r="F95" s="1"/>
      <c r="G95" s="27"/>
      <c r="H95" s="27"/>
      <c r="I95" s="27"/>
      <c r="J95" s="27"/>
      <c r="O95" s="14" t="s">
        <v>314</v>
      </c>
      <c r="X95" s="69"/>
      <c r="AG95" s="14"/>
    </row>
    <row r="96" spans="1:39" ht="18" customHeight="1">
      <c r="B96" s="52" t="s">
        <v>304</v>
      </c>
      <c r="C96" s="14" t="s">
        <v>1</v>
      </c>
      <c r="D96" s="14" t="s">
        <v>46</v>
      </c>
      <c r="E96" s="14" t="s">
        <v>5</v>
      </c>
      <c r="F96" s="14" t="s">
        <v>319</v>
      </c>
      <c r="G96" s="81" t="s">
        <v>250</v>
      </c>
      <c r="H96" s="82" t="s">
        <v>306</v>
      </c>
      <c r="I96" s="82" t="s">
        <v>307</v>
      </c>
      <c r="J96" s="83" t="s">
        <v>308</v>
      </c>
      <c r="K96" s="82" t="s">
        <v>309</v>
      </c>
      <c r="L96" s="82" t="s">
        <v>529</v>
      </c>
      <c r="M96" s="82" t="s">
        <v>530</v>
      </c>
      <c r="N96" s="82" t="s">
        <v>310</v>
      </c>
      <c r="O96" s="85" t="s">
        <v>312</v>
      </c>
      <c r="P96" s="14"/>
      <c r="X96" s="69"/>
    </row>
    <row r="97" spans="1:38" ht="18" customHeight="1">
      <c r="B97" s="20" t="s">
        <v>40</v>
      </c>
      <c r="C97" s="20" t="s">
        <v>10</v>
      </c>
      <c r="D97" s="20" t="s">
        <v>171</v>
      </c>
      <c r="E97" s="5" t="s">
        <v>78</v>
      </c>
      <c r="F97" s="20" t="s">
        <v>41</v>
      </c>
      <c r="G97" s="73" t="s">
        <v>91</v>
      </c>
      <c r="H97" s="73" t="s">
        <v>271</v>
      </c>
      <c r="I97" s="73" t="s">
        <v>171</v>
      </c>
      <c r="J97" s="73" t="s">
        <v>171</v>
      </c>
      <c r="K97" s="73" t="s">
        <v>171</v>
      </c>
      <c r="L97" s="73" t="s">
        <v>171</v>
      </c>
      <c r="M97" s="73" t="s">
        <v>171</v>
      </c>
      <c r="N97" s="73" t="s">
        <v>91</v>
      </c>
      <c r="O97" s="73" t="s">
        <v>271</v>
      </c>
      <c r="X97" s="87"/>
      <c r="Y97" s="53"/>
    </row>
    <row r="98" spans="1:38" ht="16.05" customHeight="1">
      <c r="A98" s="319" t="s">
        <v>503</v>
      </c>
      <c r="B98" s="20" t="s">
        <v>17</v>
      </c>
      <c r="C98" s="14">
        <f>F98*E98</f>
        <v>231.98040143251399</v>
      </c>
      <c r="D98" s="14">
        <f>C98/$C$104</f>
        <v>0.77685480888281222</v>
      </c>
      <c r="E98" s="14">
        <f>MW_C</f>
        <v>1.2010999999999999E-2</v>
      </c>
      <c r="F98" s="14">
        <f>F89+S109+S111+S110+(10*C107)+(14*C108)+(16*C109)+C114+(24*C110)+(12*C111)+(13*C112)+(18*C113)</f>
        <v>19313.995623388062</v>
      </c>
      <c r="G98" s="20">
        <f>phi_anthrocite</f>
        <v>1.0437000000000001</v>
      </c>
      <c r="H98" s="62">
        <f>NCV_bituminous</f>
        <v>33412</v>
      </c>
      <c r="I98" s="62">
        <f>C99/C98</f>
        <v>0.14584005581192777</v>
      </c>
      <c r="J98" s="62">
        <f>C100/C98</f>
        <v>1.7710452920337294E-2</v>
      </c>
      <c r="K98" s="62">
        <f>C101/C98</f>
        <v>1.3365265485640865E-3</v>
      </c>
      <c r="L98" s="62">
        <f>K114/C98</f>
        <v>0.10885920401367521</v>
      </c>
      <c r="M98" s="62">
        <f>C102/C98</f>
        <v>1.3495583200088705E-2</v>
      </c>
      <c r="N98" s="20">
        <f>G98+(phi_dry_constant_a_*(I98))+(phi_dry_constant_b*(J98))+(phi_dry_constant_c*(K98))</f>
        <v>1.0722814318045075</v>
      </c>
      <c r="O98" s="20">
        <f>(NCV_dry_anthrocite*N98) + (phi_constant_dry_anthracite_d*M98)</f>
        <v>32381.313375674821</v>
      </c>
      <c r="Y98" s="53"/>
    </row>
    <row r="99" spans="1:38" ht="16.95" customHeight="1">
      <c r="A99" s="319"/>
      <c r="B99" s="20" t="s">
        <v>135</v>
      </c>
      <c r="C99" s="14">
        <f t="shared" ref="C99:C102" si="14">F99*E99</f>
        <v>33.83203469219125</v>
      </c>
      <c r="D99" s="14">
        <f t="shared" ref="D99:D103" si="15">C99/$C$104</f>
        <v>0.11329654868523382</v>
      </c>
      <c r="E99" s="14">
        <f>MW_H</f>
        <v>1.0079400000000001E-3</v>
      </c>
      <c r="F99" s="14">
        <f>(2*S108)+(2*S107)+(4*S111)+(F90)+(8*C107)+(10*C108)+(10*C109)+(2*C115)+(26*C110)+(10*C111)+(10*C112)+(12*C113)</f>
        <v>33565.524428231089</v>
      </c>
      <c r="H99" s="76" t="s">
        <v>299</v>
      </c>
      <c r="I99" s="77" t="s">
        <v>287</v>
      </c>
      <c r="J99" s="78" t="s">
        <v>300</v>
      </c>
      <c r="K99" s="78" t="s">
        <v>301</v>
      </c>
      <c r="L99" s="77" t="s">
        <v>550</v>
      </c>
      <c r="M99" s="86" t="s">
        <v>302</v>
      </c>
      <c r="N99" s="1"/>
      <c r="Y99" s="53"/>
    </row>
    <row r="100" spans="1:38" ht="16.05" customHeight="1">
      <c r="A100" s="319"/>
      <c r="B100" s="20" t="s">
        <v>28</v>
      </c>
      <c r="C100" s="14">
        <f t="shared" si="14"/>
        <v>4.1084779780114848</v>
      </c>
      <c r="D100" s="14">
        <f t="shared" si="15"/>
        <v>1.3758450518656672E-2</v>
      </c>
      <c r="E100" s="14">
        <f>MW_O</f>
        <v>1.59994E-2</v>
      </c>
      <c r="F100" s="14">
        <f>(2*S110)+S109+(F91)+(2*C117)</f>
        <v>256.78950323208898</v>
      </c>
      <c r="H100" s="73">
        <f>F99</f>
        <v>33565.524428231089</v>
      </c>
      <c r="I100" s="73">
        <f>F98</f>
        <v>19313.995623388062</v>
      </c>
      <c r="J100" s="74">
        <f>F100</f>
        <v>256.78950323208898</v>
      </c>
      <c r="K100" s="74">
        <f>F101</f>
        <v>22.135626509888038</v>
      </c>
      <c r="L100" s="73">
        <f>F102</f>
        <v>97.6333439881017</v>
      </c>
      <c r="M100" s="75">
        <f>SUM(H100:L100)</f>
        <v>53256.078525349229</v>
      </c>
      <c r="N100" s="1"/>
      <c r="Y100" s="53"/>
    </row>
    <row r="101" spans="1:38" ht="16.05" customHeight="1">
      <c r="A101" s="319"/>
      <c r="B101" s="20" t="s">
        <v>284</v>
      </c>
      <c r="C101" s="14">
        <f t="shared" si="14"/>
        <v>0.31004796526110917</v>
      </c>
      <c r="D101" s="14">
        <f t="shared" si="15"/>
        <v>1.0382870764515581E-3</v>
      </c>
      <c r="E101" s="14">
        <f>MW_N2/2</f>
        <v>1.400674E-2</v>
      </c>
      <c r="F101" s="14">
        <f>(F92)+(2*C116)</f>
        <v>22.135626509888038</v>
      </c>
      <c r="G101" s="14" t="s">
        <v>555</v>
      </c>
      <c r="H101" s="20">
        <f>mol_Coal/H100</f>
        <v>1.5866303128741504</v>
      </c>
      <c r="I101" s="20">
        <f>mol_Coal/mol_C_Coal</f>
        <v>2.7573827582760448</v>
      </c>
      <c r="J101" s="20">
        <f>mol_Coal/J100</f>
        <v>207.39196055539639</v>
      </c>
      <c r="K101" s="20">
        <f>mol_Coal/K100</f>
        <v>2405.8988572814783</v>
      </c>
      <c r="L101" s="20">
        <f>mol_Coal/L100</f>
        <v>545.47018825698933</v>
      </c>
      <c r="M101" s="2" t="s">
        <v>491</v>
      </c>
      <c r="N101" s="27"/>
      <c r="Y101" s="53"/>
    </row>
    <row r="102" spans="1:38">
      <c r="A102" s="67"/>
      <c r="B102" s="20" t="s">
        <v>133</v>
      </c>
      <c r="C102" s="14">
        <f t="shared" si="14"/>
        <v>3.1307108083224695</v>
      </c>
      <c r="D102" s="14">
        <f t="shared" si="15"/>
        <v>1.0484108707667002E-2</v>
      </c>
      <c r="E102" s="14">
        <f>MW_S</f>
        <v>3.2066000000000004E-2</v>
      </c>
      <c r="F102" s="14">
        <f>S108+F93</f>
        <v>97.6333439881017</v>
      </c>
      <c r="H102" s="20">
        <f>(H100*coal_C_coeff)/mol_Coal</f>
        <v>1.7378860947646328</v>
      </c>
      <c r="I102" s="20">
        <v>1</v>
      </c>
      <c r="J102" s="20">
        <f>(J100*coal_C_coeff)/mol_Coal</f>
        <v>1.3295514208418516E-2</v>
      </c>
      <c r="K102" s="20">
        <f>(K100*coal_C_coeff)/mol_Coal</f>
        <v>1.1460925507864959E-3</v>
      </c>
      <c r="L102" s="20">
        <f>(L100*coal_C_coeff)/mol_Coal</f>
        <v>5.0550567522068676E-3</v>
      </c>
      <c r="M102" s="20">
        <f>(MW_C+(MW_H*mol_H_Coal)+((MW_N2/2)*mol_N_Coal)+(MW_O*mol_O_Coal)+(MW_S*mol_S_coal))*mol_Coal</f>
        <v>753.76276356260666</v>
      </c>
      <c r="Y102" s="65" t="s">
        <v>358</v>
      </c>
      <c r="AG102" s="52" t="s">
        <v>559</v>
      </c>
    </row>
    <row r="103" spans="1:38">
      <c r="B103" s="20" t="s">
        <v>297</v>
      </c>
      <c r="C103" s="14">
        <f>G76</f>
        <v>25.253201846716316</v>
      </c>
      <c r="D103" s="14">
        <f t="shared" si="15"/>
        <v>8.4567796129178724E-2</v>
      </c>
      <c r="E103" s="14">
        <f>J114</f>
        <v>0.57429051399999997</v>
      </c>
      <c r="F103" s="14">
        <f>I114</f>
        <v>331.64065710187856</v>
      </c>
      <c r="H103" s="326" t="s">
        <v>504</v>
      </c>
      <c r="I103" s="326"/>
      <c r="J103" s="326"/>
      <c r="K103" s="326"/>
      <c r="Y103" s="53">
        <v>0.7</v>
      </c>
      <c r="AG103" s="14">
        <v>0.3</v>
      </c>
    </row>
    <row r="104" spans="1:38" ht="16.95" customHeight="1">
      <c r="B104" s="14" t="s">
        <v>18</v>
      </c>
      <c r="C104" s="14">
        <f>SUM(C98:C103)</f>
        <v>298.61487472301661</v>
      </c>
      <c r="D104" s="14">
        <f>SUM(D98:D103)</f>
        <v>1</v>
      </c>
      <c r="E104" s="14">
        <f>SUM(E98:E103)</f>
        <v>0.64938159399999995</v>
      </c>
      <c r="Y104" s="65" t="s">
        <v>104</v>
      </c>
      <c r="Z104" s="14" t="s">
        <v>1</v>
      </c>
      <c r="AA104" s="14" t="s">
        <v>46</v>
      </c>
      <c r="AB104" s="14" t="s">
        <v>5</v>
      </c>
      <c r="AC104" s="14" t="s">
        <v>319</v>
      </c>
      <c r="AD104" s="14" t="s">
        <v>38</v>
      </c>
      <c r="AG104" s="52" t="s">
        <v>104</v>
      </c>
      <c r="AH104" s="14" t="s">
        <v>1</v>
      </c>
      <c r="AI104" s="14" t="s">
        <v>46</v>
      </c>
      <c r="AJ104" s="14" t="s">
        <v>5</v>
      </c>
      <c r="AK104" s="14" t="s">
        <v>319</v>
      </c>
      <c r="AL104" s="14" t="s">
        <v>38</v>
      </c>
    </row>
    <row r="105" spans="1:38" ht="18" customHeight="1">
      <c r="C105" s="14" t="s">
        <v>284</v>
      </c>
      <c r="D105" s="14" t="s">
        <v>5</v>
      </c>
      <c r="E105" s="14" t="s">
        <v>1</v>
      </c>
      <c r="F105" s="14" t="s">
        <v>46</v>
      </c>
      <c r="I105" s="14" t="s">
        <v>284</v>
      </c>
      <c r="J105" s="14" t="s">
        <v>5</v>
      </c>
      <c r="K105" s="14" t="s">
        <v>1</v>
      </c>
      <c r="L105" s="14" t="s">
        <v>46</v>
      </c>
      <c r="P105" s="14" t="s">
        <v>1</v>
      </c>
      <c r="Q105" s="14" t="s">
        <v>46</v>
      </c>
      <c r="R105" s="14" t="s">
        <v>5</v>
      </c>
      <c r="S105" s="14" t="s">
        <v>319</v>
      </c>
      <c r="Y105" s="20" t="s">
        <v>40</v>
      </c>
      <c r="Z105" s="62" t="s">
        <v>10</v>
      </c>
      <c r="AA105" s="62" t="s">
        <v>171</v>
      </c>
      <c r="AB105" s="31" t="s">
        <v>78</v>
      </c>
      <c r="AC105" s="62" t="s">
        <v>41</v>
      </c>
      <c r="AD105" s="62" t="s">
        <v>42</v>
      </c>
      <c r="AG105" s="20" t="s">
        <v>40</v>
      </c>
      <c r="AH105" s="62" t="s">
        <v>10</v>
      </c>
      <c r="AI105" s="62" t="s">
        <v>171</v>
      </c>
      <c r="AJ105" s="31" t="s">
        <v>78</v>
      </c>
      <c r="AK105" s="62" t="s">
        <v>41</v>
      </c>
      <c r="AL105" s="62" t="s">
        <v>42</v>
      </c>
    </row>
    <row r="106" spans="1:38" ht="18" customHeight="1">
      <c r="B106" s="52" t="s">
        <v>531</v>
      </c>
      <c r="C106" s="20" t="s">
        <v>12</v>
      </c>
      <c r="D106" s="5" t="s">
        <v>78</v>
      </c>
      <c r="E106" s="20" t="s">
        <v>10</v>
      </c>
      <c r="F106" s="20" t="s">
        <v>171</v>
      </c>
      <c r="H106" s="52" t="s">
        <v>532</v>
      </c>
      <c r="I106" s="20" t="s">
        <v>12</v>
      </c>
      <c r="J106" s="5" t="s">
        <v>78</v>
      </c>
      <c r="K106" s="20" t="s">
        <v>10</v>
      </c>
      <c r="L106" s="20" t="s">
        <v>171</v>
      </c>
      <c r="N106" s="52" t="s">
        <v>534</v>
      </c>
      <c r="O106" s="20" t="s">
        <v>40</v>
      </c>
      <c r="P106" s="20" t="s">
        <v>10</v>
      </c>
      <c r="Q106" s="20" t="s">
        <v>171</v>
      </c>
      <c r="R106" s="5" t="s">
        <v>78</v>
      </c>
      <c r="S106" s="20" t="s">
        <v>41</v>
      </c>
      <c r="Y106" s="9" t="s">
        <v>65</v>
      </c>
      <c r="Z106" s="53">
        <f>AA106*$Z$110</f>
        <v>19.567197401950619</v>
      </c>
      <c r="AA106" s="14">
        <f>AA88</f>
        <v>0.60636133535456904</v>
      </c>
      <c r="AB106" s="14">
        <f>MW_H*2</f>
        <v>2.0158800000000003E-3</v>
      </c>
      <c r="AC106" s="14">
        <f>Z106/AB106</f>
        <v>9706.528861812516</v>
      </c>
      <c r="AD106" s="50">
        <f>AC106/$AC$110</f>
        <v>0.9319822987183759</v>
      </c>
      <c r="AG106" s="9" t="s">
        <v>65</v>
      </c>
      <c r="AH106" s="53">
        <f>AI106*$AH$110</f>
        <v>8.3859417436931238</v>
      </c>
      <c r="AI106" s="14">
        <f>AA88</f>
        <v>0.60636133535456904</v>
      </c>
      <c r="AJ106" s="14">
        <f>MW_H*2</f>
        <v>2.0158800000000003E-3</v>
      </c>
      <c r="AK106" s="14">
        <f>AH106/AJ106</f>
        <v>4159.9409407767935</v>
      </c>
      <c r="AL106" s="50">
        <f>AK106/$AK$110</f>
        <v>0.93198229871837568</v>
      </c>
    </row>
    <row r="107" spans="1:38" ht="16.95" customHeight="1">
      <c r="A107" s="14" t="s">
        <v>535</v>
      </c>
      <c r="B107" s="20" t="s">
        <v>525</v>
      </c>
      <c r="C107" s="14">
        <f>E107/D107</f>
        <v>37.42125132488033</v>
      </c>
      <c r="D107" s="14">
        <f>MW_C10H8</f>
        <v>0.12817351999999999</v>
      </c>
      <c r="E107" s="14">
        <f>F107*$E$118</f>
        <v>4.7964135051145753</v>
      </c>
      <c r="F107" s="14">
        <v>0.2</v>
      </c>
      <c r="G107" s="321">
        <f>SUM(F107:F113)</f>
        <v>0.3640000000000001</v>
      </c>
      <c r="H107" s="22" t="s">
        <v>237</v>
      </c>
      <c r="I107" s="14">
        <f>K107/J107</f>
        <v>74.302330282824585</v>
      </c>
      <c r="J107" s="14">
        <f>MW_Al2O3</f>
        <v>0.10196127799999999</v>
      </c>
      <c r="K107" s="14">
        <f t="shared" ref="K107:K113" si="16">L107*$K$114</f>
        <v>7.5759605540148947</v>
      </c>
      <c r="L107" s="14">
        <v>0.3</v>
      </c>
      <c r="N107" s="316" t="s">
        <v>553</v>
      </c>
      <c r="O107" s="20" t="s">
        <v>65</v>
      </c>
      <c r="P107" s="14">
        <f>Q107*$P$112</f>
        <v>28.443579508210192</v>
      </c>
      <c r="Q107" s="18">
        <v>0.61699999999999999</v>
      </c>
      <c r="R107" s="18">
        <f>MW_H*2</f>
        <v>2.0158800000000003E-3</v>
      </c>
      <c r="S107" s="18">
        <f>P107/R107</f>
        <v>14109.758273414185</v>
      </c>
      <c r="Y107" s="9" t="s">
        <v>64</v>
      </c>
      <c r="Z107" s="53">
        <f>AA107*$Z$110</f>
        <v>10.078919582719246</v>
      </c>
      <c r="AA107" s="14">
        <f>AA89</f>
        <v>0.31233226770123534</v>
      </c>
      <c r="AB107" s="14">
        <f>MW_CH4</f>
        <v>1.604276E-2</v>
      </c>
      <c r="AC107" s="14">
        <f t="shared" ref="AC107:AC109" si="17">Z107/AB107</f>
        <v>628.25346653064969</v>
      </c>
      <c r="AD107" s="50">
        <f>AC107/$AC$110</f>
        <v>6.0322399309869025E-2</v>
      </c>
      <c r="AG107" s="9" t="s">
        <v>64</v>
      </c>
      <c r="AH107" s="53">
        <f>AI107*$AH$110</f>
        <v>4.3195369640225341</v>
      </c>
      <c r="AI107" s="14">
        <f>AA89</f>
        <v>0.31233226770123534</v>
      </c>
      <c r="AJ107" s="14">
        <f>MW_CH4</f>
        <v>1.604276E-2</v>
      </c>
      <c r="AK107" s="14">
        <f t="shared" ref="AK107:AK109" si="18">AH107/AJ107</f>
        <v>269.25148565599272</v>
      </c>
      <c r="AL107" s="50">
        <f>AK107/$AK$110</f>
        <v>6.0322399309869004E-2</v>
      </c>
    </row>
    <row r="108" spans="1:38" ht="18" customHeight="1">
      <c r="A108" s="14" t="s">
        <v>538</v>
      </c>
      <c r="B108" s="20" t="s">
        <v>526</v>
      </c>
      <c r="C108" s="14">
        <f t="shared" ref="C108:C113" si="19">E108/D108</f>
        <v>6.727714201034396</v>
      </c>
      <c r="D108" s="14">
        <f>MW_C14H10</f>
        <v>0.17823339999999999</v>
      </c>
      <c r="E108" s="14">
        <f>F108*$E$118</f>
        <v>1.1991033762786438</v>
      </c>
      <c r="F108" s="14">
        <v>0.05</v>
      </c>
      <c r="G108" s="321"/>
      <c r="H108" s="22" t="s">
        <v>113</v>
      </c>
      <c r="I108" s="14">
        <f t="shared" ref="I108:I113" si="20">K108/J108</f>
        <v>22.516380793970754</v>
      </c>
      <c r="J108" s="14">
        <f>MW_CaO</f>
        <v>5.6077400000000006E-2</v>
      </c>
      <c r="K108" s="14">
        <f t="shared" si="16"/>
        <v>1.2626600923358158</v>
      </c>
      <c r="L108" s="14">
        <v>0.05</v>
      </c>
      <c r="N108" s="316"/>
      <c r="O108" s="20" t="s">
        <v>289</v>
      </c>
      <c r="P108" s="14">
        <f>Q108*$P$112</f>
        <v>1.3829941414040612</v>
      </c>
      <c r="Q108" s="14">
        <v>0.03</v>
      </c>
      <c r="R108" s="14">
        <f>MW_H2S</f>
        <v>3.4081880000000002E-2</v>
      </c>
      <c r="S108" s="14">
        <f>P108/R108</f>
        <v>40.578575518840545</v>
      </c>
      <c r="Y108" s="55" t="s">
        <v>23</v>
      </c>
      <c r="Z108" s="53">
        <f>AA108*$Z$110</f>
        <v>1.6556504157753846</v>
      </c>
      <c r="AA108" s="14">
        <f>AA90</f>
        <v>5.1306396944195518E-2</v>
      </c>
      <c r="AB108" s="14">
        <f>MW_O2</f>
        <v>3.1998800000000001E-2</v>
      </c>
      <c r="AC108" s="14">
        <f t="shared" si="17"/>
        <v>51.741015781072555</v>
      </c>
      <c r="AD108" s="50">
        <f>AC108/$AC$110</f>
        <v>4.967966562730978E-3</v>
      </c>
      <c r="AG108" s="55" t="s">
        <v>23</v>
      </c>
      <c r="AH108" s="53">
        <f>AI108*$AH$110</f>
        <v>0.7095644639037364</v>
      </c>
      <c r="AI108" s="14">
        <f>AA90</f>
        <v>5.1306396944195518E-2</v>
      </c>
      <c r="AJ108" s="14">
        <f>MW_O2</f>
        <v>3.1998800000000001E-2</v>
      </c>
      <c r="AK108" s="14">
        <f t="shared" si="18"/>
        <v>22.174721049031099</v>
      </c>
      <c r="AL108" s="50">
        <f>AK108/$AK$110</f>
        <v>4.9679665627309771E-3</v>
      </c>
    </row>
    <row r="109" spans="1:38" ht="16.95" customHeight="1">
      <c r="A109" s="14" t="s">
        <v>539</v>
      </c>
      <c r="B109" s="20" t="s">
        <v>527</v>
      </c>
      <c r="C109" s="14">
        <f t="shared" si="19"/>
        <v>3.9129151970424774</v>
      </c>
      <c r="D109" s="14">
        <f>MW_C16H10</f>
        <v>0.20225539999999997</v>
      </c>
      <c r="E109" s="14">
        <f>F109*$E$118</f>
        <v>0.79140822834390501</v>
      </c>
      <c r="F109" s="14">
        <v>3.3000000000000002E-2</v>
      </c>
      <c r="G109" s="321"/>
      <c r="H109" s="22" t="s">
        <v>132</v>
      </c>
      <c r="I109" s="14">
        <f t="shared" si="20"/>
        <v>12.531238200651201</v>
      </c>
      <c r="J109" s="14">
        <f>MW_MgO</f>
        <v>4.0304400000000004E-2</v>
      </c>
      <c r="K109" s="14">
        <f t="shared" si="16"/>
        <v>0.50506403693432633</v>
      </c>
      <c r="L109" s="14">
        <v>0.02</v>
      </c>
      <c r="N109" s="316"/>
      <c r="O109" s="20" t="s">
        <v>112</v>
      </c>
      <c r="P109" s="14">
        <f>Q109*$P$112</f>
        <v>2.6737886733811851</v>
      </c>
      <c r="Q109" s="14">
        <v>5.8000000000000003E-2</v>
      </c>
      <c r="R109" s="14">
        <f>MW_CO</f>
        <v>2.8010399999999998E-2</v>
      </c>
      <c r="S109" s="14">
        <f t="shared" ref="S109:S110" si="21">P109/R109</f>
        <v>95.456997164666888</v>
      </c>
      <c r="Y109" s="20" t="s">
        <v>289</v>
      </c>
      <c r="Z109" s="53">
        <f>AA109*$Z$110</f>
        <v>0.96809589898284276</v>
      </c>
      <c r="AA109" s="14">
        <f>AA91</f>
        <v>2.9999999999999995E-2</v>
      </c>
      <c r="AB109" s="58">
        <f>MW_H2S</f>
        <v>3.4081880000000002E-2</v>
      </c>
      <c r="AC109" s="14">
        <f t="shared" si="17"/>
        <v>28.405002863188379</v>
      </c>
      <c r="AD109" s="50">
        <f>AC109/$AC$110</f>
        <v>2.7273354090241704E-3</v>
      </c>
      <c r="AG109" s="20" t="s">
        <v>289</v>
      </c>
      <c r="AH109" s="53">
        <f>AI109*$AH$110</f>
        <v>0.41489824242121831</v>
      </c>
      <c r="AI109" s="14">
        <f>AA91</f>
        <v>2.9999999999999995E-2</v>
      </c>
      <c r="AJ109" s="58">
        <f>MW_H2S</f>
        <v>3.4081880000000002E-2</v>
      </c>
      <c r="AK109" s="14">
        <f t="shared" si="18"/>
        <v>12.173572655652162</v>
      </c>
      <c r="AL109" s="50">
        <f>AK109/$AK$110</f>
        <v>2.7273354090241691E-3</v>
      </c>
    </row>
    <row r="110" spans="1:38" ht="18" customHeight="1">
      <c r="A110" s="14" t="s">
        <v>537</v>
      </c>
      <c r="B110" s="20" t="s">
        <v>536</v>
      </c>
      <c r="C110" s="14">
        <f t="shared" si="19"/>
        <v>1.6014968466894075</v>
      </c>
      <c r="D110" s="14">
        <f>MW_C24H26</f>
        <v>0.31447043999999996</v>
      </c>
      <c r="E110" s="14">
        <f t="shared" ref="E110:E117" si="22">F110*$E$118</f>
        <v>0.50362341803703048</v>
      </c>
      <c r="F110" s="14">
        <v>2.1000000000000001E-2</v>
      </c>
      <c r="G110" s="321"/>
      <c r="H110" s="22" t="s">
        <v>238</v>
      </c>
      <c r="I110" s="14">
        <f t="shared" si="20"/>
        <v>4.0744813442289995</v>
      </c>
      <c r="J110" s="14">
        <f>MW_Na2O</f>
        <v>6.1978936000000005E-2</v>
      </c>
      <c r="K110" s="14">
        <f t="shared" si="16"/>
        <v>0.25253201846716317</v>
      </c>
      <c r="L110" s="14">
        <v>0.01</v>
      </c>
      <c r="N110" s="316"/>
      <c r="O110" s="7" t="s">
        <v>63</v>
      </c>
      <c r="P110" s="14">
        <f>Q110*$P$112</f>
        <v>1.1524951178367178</v>
      </c>
      <c r="Q110" s="14">
        <v>2.5000000000000001E-2</v>
      </c>
      <c r="R110" s="14">
        <f>MW_CO2</f>
        <v>4.4009800000000002E-2</v>
      </c>
      <c r="S110" s="14">
        <f t="shared" si="21"/>
        <v>26.187238247770217</v>
      </c>
      <c r="Y110" s="53" t="s">
        <v>18</v>
      </c>
      <c r="Z110" s="18">
        <f>Z92*Y103</f>
        <v>32.269863299428096</v>
      </c>
      <c r="AA110" s="18">
        <f>SUM(AA105:AA109)</f>
        <v>0.99999999999999989</v>
      </c>
      <c r="AB110" s="18"/>
      <c r="AC110" s="18">
        <f>SUM(AC106:AC109)</f>
        <v>10414.928346987426</v>
      </c>
      <c r="AD110" s="18">
        <f>SUM(AD105:AD109)</f>
        <v>1.0000000000000002</v>
      </c>
      <c r="AG110" s="14" t="s">
        <v>18</v>
      </c>
      <c r="AH110" s="18">
        <f>AG103*Z92</f>
        <v>13.829941414040613</v>
      </c>
      <c r="AI110" s="18">
        <f>SUM(AI105:AI109)</f>
        <v>0.99999999999999989</v>
      </c>
      <c r="AJ110" s="18"/>
      <c r="AK110" s="18">
        <f>SUM(AK105:AK109)</f>
        <v>4463.5407201374701</v>
      </c>
      <c r="AL110" s="18">
        <f>SUM(AL105:AL109)</f>
        <v>0.99999999999999989</v>
      </c>
    </row>
    <row r="111" spans="1:38" ht="18" customHeight="1">
      <c r="A111" s="14" t="s">
        <v>540</v>
      </c>
      <c r="B111" s="20" t="s">
        <v>543</v>
      </c>
      <c r="C111" s="14">
        <f t="shared" si="19"/>
        <v>3.1102846515332692</v>
      </c>
      <c r="D111" s="14">
        <f>MW_C12H10</f>
        <v>0.1542114</v>
      </c>
      <c r="E111" s="14">
        <f t="shared" si="22"/>
        <v>0.47964135051145756</v>
      </c>
      <c r="F111" s="14">
        <v>0.02</v>
      </c>
      <c r="G111" s="321"/>
      <c r="H111" s="5" t="s">
        <v>14</v>
      </c>
      <c r="I111" s="14">
        <f t="shared" si="20"/>
        <v>23.721103231218382</v>
      </c>
      <c r="J111" s="14">
        <f>MW_Fe2O3</f>
        <v>0.1596882</v>
      </c>
      <c r="K111" s="14">
        <f t="shared" si="16"/>
        <v>3.7879802770074473</v>
      </c>
      <c r="L111" s="14">
        <v>0.15</v>
      </c>
      <c r="N111" s="316"/>
      <c r="O111" s="20" t="s">
        <v>64</v>
      </c>
      <c r="P111" s="14">
        <f>Q111*$P$112</f>
        <v>12.446947272636551</v>
      </c>
      <c r="Q111" s="14">
        <v>0.27</v>
      </c>
      <c r="R111" s="14">
        <f>MW_CH4</f>
        <v>1.604276E-2</v>
      </c>
      <c r="S111" s="14">
        <f>P111/R111</f>
        <v>775.86071677420546</v>
      </c>
    </row>
    <row r="112" spans="1:38" ht="18" customHeight="1">
      <c r="A112" s="14" t="s">
        <v>541</v>
      </c>
      <c r="B112" s="20" t="s">
        <v>545</v>
      </c>
      <c r="C112" s="14">
        <f t="shared" si="19"/>
        <v>2.8855397979541721</v>
      </c>
      <c r="D112" s="14">
        <f>MW_C13H10</f>
        <v>0.16622239999999999</v>
      </c>
      <c r="E112" s="14">
        <f t="shared" si="22"/>
        <v>0.47964135051145756</v>
      </c>
      <c r="F112" s="14">
        <v>0.02</v>
      </c>
      <c r="G112" s="321"/>
      <c r="H112" s="5" t="s">
        <v>16</v>
      </c>
      <c r="I112" s="14">
        <f t="shared" si="20"/>
        <v>189.13328158973877</v>
      </c>
      <c r="J112" s="14">
        <f>MW_SIO2</f>
        <v>6.00843E-2</v>
      </c>
      <c r="K112" s="14">
        <f t="shared" si="16"/>
        <v>11.363940831022342</v>
      </c>
      <c r="L112" s="14">
        <v>0.45</v>
      </c>
      <c r="N112" s="316"/>
      <c r="O112" s="20" t="s">
        <v>18</v>
      </c>
      <c r="P112" s="56">
        <f>G75</f>
        <v>46.099804713468707</v>
      </c>
      <c r="Q112" s="18">
        <f>SUM(Q107:Q111)</f>
        <v>1</v>
      </c>
      <c r="R112" s="18">
        <f>SUM(R107:R111)</f>
        <v>0.12416072</v>
      </c>
      <c r="S112" s="18">
        <f>SUM(S107:S111)</f>
        <v>15047.841801119668</v>
      </c>
    </row>
    <row r="113" spans="1:31" ht="18" customHeight="1">
      <c r="A113" s="14" t="s">
        <v>542</v>
      </c>
      <c r="B113" s="22" t="s">
        <v>546</v>
      </c>
      <c r="C113" s="14">
        <f t="shared" si="19"/>
        <v>2.10098760029843</v>
      </c>
      <c r="D113" s="14">
        <f>MW_C18H12</f>
        <v>0.22829327999999999</v>
      </c>
      <c r="E113" s="14">
        <f t="shared" si="22"/>
        <v>0.47964135051145756</v>
      </c>
      <c r="F113" s="14">
        <v>0.02</v>
      </c>
      <c r="G113" s="321"/>
      <c r="H113" s="5" t="s">
        <v>528</v>
      </c>
      <c r="I113" s="14">
        <f t="shared" si="20"/>
        <v>5.3618416592458953</v>
      </c>
      <c r="J113" s="14">
        <f>MW_K2O</f>
        <v>9.4196000000000002E-2</v>
      </c>
      <c r="K113" s="14">
        <f t="shared" si="16"/>
        <v>0.50506403693432633</v>
      </c>
      <c r="L113" s="14">
        <v>0.02</v>
      </c>
    </row>
    <row r="114" spans="1:31">
      <c r="A114" s="321" t="s">
        <v>547</v>
      </c>
      <c r="B114" s="20" t="s">
        <v>17</v>
      </c>
      <c r="C114" s="14">
        <f>E114/D114</f>
        <v>1182.263416449264</v>
      </c>
      <c r="D114" s="14">
        <f>MW_C</f>
        <v>1.2010999999999999E-2</v>
      </c>
      <c r="E114" s="14">
        <f t="shared" si="22"/>
        <v>14.200165894972109</v>
      </c>
      <c r="F114" s="14">
        <f>G114*(1-$G$107)</f>
        <v>0.59211599999999998</v>
      </c>
      <c r="G114" s="14">
        <v>0.93100000000000005</v>
      </c>
      <c r="I114" s="14">
        <f>SUM(I107:I113)</f>
        <v>331.64065710187856</v>
      </c>
      <c r="J114" s="14">
        <f>SUM(J107:J113)</f>
        <v>0.57429051399999997</v>
      </c>
      <c r="K114" s="14">
        <f>G76</f>
        <v>25.253201846716316</v>
      </c>
      <c r="L114" s="14">
        <f>SUM(L107:L113)</f>
        <v>1</v>
      </c>
    </row>
    <row r="115" spans="1:31" ht="16.95" customHeight="1">
      <c r="A115" s="321"/>
      <c r="B115" s="20" t="s">
        <v>65</v>
      </c>
      <c r="C115" s="14">
        <f>E115/D115</f>
        <v>310.21508859497499</v>
      </c>
      <c r="D115" s="14">
        <f>MW_H*2</f>
        <v>2.0158800000000003E-3</v>
      </c>
      <c r="E115" s="14">
        <f t="shared" si="22"/>
        <v>0.6253563927968383</v>
      </c>
      <c r="F115" s="14">
        <f>G115*(1-$G$107)</f>
        <v>2.6075999999999998E-2</v>
      </c>
      <c r="G115" s="14">
        <v>4.1000000000000002E-2</v>
      </c>
    </row>
    <row r="116" spans="1:31" ht="18" customHeight="1">
      <c r="A116" s="321"/>
      <c r="B116" s="7" t="s">
        <v>66</v>
      </c>
      <c r="C116" s="14">
        <f>E116/D116</f>
        <v>3.8113138611786335</v>
      </c>
      <c r="D116" s="14">
        <f>MW_N2</f>
        <v>2.801348E-2</v>
      </c>
      <c r="E116" s="14">
        <f t="shared" si="22"/>
        <v>0.10676816462385043</v>
      </c>
      <c r="F116" s="14">
        <f>G116*(1-$G$107)</f>
        <v>4.4519999999999994E-3</v>
      </c>
      <c r="G116" s="14">
        <v>7.0000000000000001E-3</v>
      </c>
    </row>
    <row r="117" spans="1:31" ht="18" customHeight="1">
      <c r="A117" s="321"/>
      <c r="B117" s="7" t="s">
        <v>23</v>
      </c>
      <c r="C117" s="14">
        <f>E117/D117</f>
        <v>10.009890804391143</v>
      </c>
      <c r="D117" s="14">
        <f>MW_O2</f>
        <v>3.1998800000000001E-2</v>
      </c>
      <c r="E117" s="14">
        <f t="shared" si="22"/>
        <v>0.3203044938715513</v>
      </c>
      <c r="F117" s="14">
        <f>G117*(1-$G$107)</f>
        <v>1.3355999999999998E-2</v>
      </c>
      <c r="G117" s="14">
        <v>2.1000000000000001E-2</v>
      </c>
    </row>
    <row r="118" spans="1:31">
      <c r="C118" s="14">
        <f>SUM(C107:C117)</f>
        <v>1564.0598993292413</v>
      </c>
      <c r="E118" s="14">
        <f>G78</f>
        <v>23.982067525572877</v>
      </c>
      <c r="F118" s="14">
        <f>SUM(F107:F117)</f>
        <v>1</v>
      </c>
    </row>
    <row r="119" spans="1:31" ht="16.95" customHeight="1">
      <c r="B119" s="52"/>
      <c r="E119" s="14"/>
      <c r="H119" s="52"/>
      <c r="K119" s="14"/>
    </row>
    <row r="120" spans="1:31" ht="16.05" customHeight="1">
      <c r="D120" s="1"/>
      <c r="J120" s="1"/>
      <c r="O120" s="57"/>
    </row>
    <row r="121" spans="1:31" ht="16.05" customHeight="1">
      <c r="H121" s="24"/>
      <c r="I121" s="57"/>
      <c r="J121" s="57"/>
      <c r="K121" s="57"/>
    </row>
    <row r="122" spans="1:31" ht="16.05" customHeight="1">
      <c r="B122" s="24"/>
      <c r="I122" s="57"/>
      <c r="J122" s="57"/>
      <c r="K122" s="57"/>
    </row>
    <row r="123" spans="1:31" ht="16.05" customHeight="1">
      <c r="B123" s="24"/>
      <c r="H123" s="24"/>
      <c r="I123" s="57"/>
      <c r="J123" s="57"/>
      <c r="K123" s="57"/>
    </row>
    <row r="127" spans="1:31" ht="16.05" customHeight="1">
      <c r="D127" s="24"/>
      <c r="AE127" s="3"/>
    </row>
    <row r="136" spans="4:19">
      <c r="M136" s="3"/>
    </row>
    <row r="143" spans="4:19">
      <c r="D143" s="313" t="s">
        <v>557</v>
      </c>
      <c r="E143" s="313"/>
      <c r="F143" s="313"/>
      <c r="G143" s="313"/>
      <c r="H143" s="313"/>
      <c r="I143" s="313"/>
      <c r="J143" s="313"/>
      <c r="K143" s="313"/>
      <c r="L143" s="313"/>
      <c r="M143" s="313"/>
      <c r="N143" s="313"/>
      <c r="O143" s="313"/>
      <c r="P143" s="313"/>
      <c r="Q143" s="313"/>
      <c r="R143" s="313"/>
      <c r="S143" s="313"/>
    </row>
    <row r="155" spans="1:30">
      <c r="D155" s="14" t="s">
        <v>558</v>
      </c>
    </row>
    <row r="157" spans="1:30" ht="16.05" customHeight="1">
      <c r="A157" s="42"/>
      <c r="B157" s="42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  <c r="AD157" s="42"/>
    </row>
    <row r="158" spans="1:30">
      <c r="C158" s="328" t="s">
        <v>506</v>
      </c>
      <c r="D158" s="328"/>
      <c r="E158" s="328"/>
      <c r="F158" s="328"/>
      <c r="G158" s="328"/>
    </row>
    <row r="159" spans="1:30">
      <c r="B159" s="52" t="s">
        <v>358</v>
      </c>
      <c r="C159" s="320"/>
      <c r="D159" s="320"/>
      <c r="E159" s="320"/>
      <c r="F159" s="320"/>
      <c r="G159" s="320"/>
    </row>
    <row r="160" spans="1:30">
      <c r="B160" s="14">
        <v>0.7</v>
      </c>
      <c r="I160" s="20" t="s">
        <v>264</v>
      </c>
    </row>
    <row r="161" spans="2:14" ht="18" customHeight="1">
      <c r="B161" s="52" t="s">
        <v>103</v>
      </c>
      <c r="C161" s="14" t="s">
        <v>1</v>
      </c>
      <c r="D161" s="14" t="s">
        <v>46</v>
      </c>
      <c r="E161" s="14" t="s">
        <v>5</v>
      </c>
      <c r="F161" s="14" t="s">
        <v>319</v>
      </c>
      <c r="I161" s="5" t="s">
        <v>83</v>
      </c>
      <c r="K161" s="52" t="s">
        <v>104</v>
      </c>
      <c r="L161" s="14" t="s">
        <v>1</v>
      </c>
      <c r="M161" s="14" t="s">
        <v>5</v>
      </c>
      <c r="N161" s="14" t="s">
        <v>319</v>
      </c>
    </row>
    <row r="162" spans="2:14" ht="18" customHeight="1">
      <c r="B162" s="20" t="s">
        <v>40</v>
      </c>
      <c r="C162" s="62" t="s">
        <v>10</v>
      </c>
      <c r="D162" s="62" t="s">
        <v>171</v>
      </c>
      <c r="E162" s="31" t="s">
        <v>78</v>
      </c>
      <c r="F162" s="56" t="s">
        <v>41</v>
      </c>
      <c r="I162" s="20">
        <f>L167-(C167+C172)</f>
        <v>0</v>
      </c>
      <c r="K162" s="20" t="s">
        <v>40</v>
      </c>
      <c r="L162" s="62" t="s">
        <v>10</v>
      </c>
      <c r="M162" s="31" t="s">
        <v>78</v>
      </c>
      <c r="N162" s="56" t="s">
        <v>41</v>
      </c>
    </row>
    <row r="163" spans="2:14" ht="16.95" customHeight="1">
      <c r="B163" s="9" t="s">
        <v>65</v>
      </c>
      <c r="C163" s="53">
        <f>H2_to_BF</f>
        <v>19.567197401950619</v>
      </c>
      <c r="D163" s="14">
        <f>C163/$C$167</f>
        <v>0.60636133535456904</v>
      </c>
      <c r="E163" s="14">
        <f>MW_H*2</f>
        <v>2.0158800000000003E-3</v>
      </c>
      <c r="F163" s="14">
        <f>C163/E163</f>
        <v>9706.528861812516</v>
      </c>
      <c r="K163" s="9" t="s">
        <v>67</v>
      </c>
      <c r="L163" s="53">
        <f>N163*M163</f>
        <v>198.01388357465549</v>
      </c>
      <c r="M163" s="14">
        <f>MW_H2O</f>
        <v>1.8015280000000002E-2</v>
      </c>
      <c r="N163" s="14">
        <f>(2*F164)+F163+F166</f>
        <v>10991.440797737003</v>
      </c>
    </row>
    <row r="164" spans="2:14" ht="18" customHeight="1">
      <c r="B164" s="9" t="s">
        <v>64</v>
      </c>
      <c r="C164" s="53">
        <f>CH4_to_BF</f>
        <v>10.078919582719246</v>
      </c>
      <c r="D164" s="14">
        <f t="shared" ref="D164:D166" si="23">C164/$C$167</f>
        <v>0.31233226770123534</v>
      </c>
      <c r="E164" s="14">
        <f>MW_CH4</f>
        <v>1.604276E-2</v>
      </c>
      <c r="F164" s="14">
        <f t="shared" ref="F164:F166" si="24">C164/E164</f>
        <v>628.25346653064969</v>
      </c>
      <c r="K164" s="55" t="s">
        <v>63</v>
      </c>
      <c r="L164" s="53">
        <f>N164*M164</f>
        <v>27.649309411320587</v>
      </c>
      <c r="M164" s="14">
        <f>MW_CO2</f>
        <v>4.4009800000000002E-2</v>
      </c>
      <c r="N164" s="14">
        <f>F164</f>
        <v>628.25346653064969</v>
      </c>
    </row>
    <row r="165" spans="2:14" ht="18" customHeight="1">
      <c r="B165" s="55" t="s">
        <v>23</v>
      </c>
      <c r="C165" s="53">
        <f>O2_to_BF_from_coke</f>
        <v>1.6556504157753846</v>
      </c>
      <c r="D165" s="14">
        <f t="shared" si="23"/>
        <v>5.1306396944195518E-2</v>
      </c>
      <c r="E165" s="14">
        <f>MW_O2</f>
        <v>3.1998800000000001E-2</v>
      </c>
      <c r="F165" s="14">
        <f t="shared" si="24"/>
        <v>51.741015781072555</v>
      </c>
      <c r="K165" s="7" t="s">
        <v>561</v>
      </c>
      <c r="L165" s="53">
        <f>M165*N165</f>
        <v>1.8197608274295911</v>
      </c>
      <c r="M165" s="14">
        <f>MW_SO2</f>
        <v>6.4064800000000005E-2</v>
      </c>
      <c r="N165" s="14">
        <f>F166</f>
        <v>28.405002863188379</v>
      </c>
    </row>
    <row r="166" spans="2:14" ht="18" customHeight="1">
      <c r="B166" s="20" t="s">
        <v>289</v>
      </c>
      <c r="C166" s="53">
        <f>H2S_to_BF</f>
        <v>0.96809589898284276</v>
      </c>
      <c r="D166" s="14">
        <f t="shared" si="23"/>
        <v>2.9999999999999995E-2</v>
      </c>
      <c r="E166" s="58">
        <f>MW_H2S</f>
        <v>3.4081880000000002E-2</v>
      </c>
      <c r="F166" s="14">
        <f t="shared" si="24"/>
        <v>28.405002863188379</v>
      </c>
      <c r="K166" s="7" t="s">
        <v>66</v>
      </c>
      <c r="L166" s="53">
        <f>N166*M166</f>
        <v>642.5843627186531</v>
      </c>
      <c r="M166" s="14">
        <f>MW_N2</f>
        <v>2.801348E-2</v>
      </c>
      <c r="N166" s="14">
        <f>F171</f>
        <v>22938.398325329559</v>
      </c>
    </row>
    <row r="167" spans="2:14">
      <c r="B167" s="14" t="s">
        <v>18</v>
      </c>
      <c r="C167" s="18">
        <f>SUM(C163:C166)</f>
        <v>32.269863299428096</v>
      </c>
      <c r="D167" s="18">
        <f>SUM(D162:D166)</f>
        <v>0.99999999999999989</v>
      </c>
      <c r="E167" s="18"/>
      <c r="F167" s="18">
        <f>SUM(F163:F166)</f>
        <v>10414.928346987426</v>
      </c>
      <c r="K167" s="14" t="s">
        <v>18</v>
      </c>
      <c r="L167" s="18">
        <f>SUM(L163:L166)</f>
        <v>870.06731653205884</v>
      </c>
      <c r="M167" s="18">
        <f>SUM(M163:M166)</f>
        <v>0.15410336000000002</v>
      </c>
      <c r="N167" s="18">
        <f>SUM(N163:N166)</f>
        <v>34586.4975924604</v>
      </c>
    </row>
    <row r="169" spans="2:14">
      <c r="B169" s="52" t="s">
        <v>103</v>
      </c>
    </row>
    <row r="170" spans="2:14" ht="18" customHeight="1">
      <c r="B170" s="55" t="s">
        <v>23</v>
      </c>
      <c r="C170" s="53">
        <f>F170*E170</f>
        <v>195.21309051397753</v>
      </c>
      <c r="D170" s="14">
        <f>C170/$C$172</f>
        <v>0.23300750051310176</v>
      </c>
      <c r="E170" s="14">
        <f>MW_O2</f>
        <v>3.1998800000000001E-2</v>
      </c>
      <c r="F170" s="14">
        <f>(N163/2)+N165+N164-F165</f>
        <v>6100.6378524812662</v>
      </c>
      <c r="I170" s="14" t="s">
        <v>103</v>
      </c>
      <c r="J170" s="14" t="s">
        <v>104</v>
      </c>
    </row>
    <row r="171" spans="2:14" ht="18" customHeight="1">
      <c r="B171" s="7" t="s">
        <v>66</v>
      </c>
      <c r="C171" s="53">
        <f>F171*E171</f>
        <v>642.5843627186531</v>
      </c>
      <c r="D171" s="14">
        <f>C171/$C$172</f>
        <v>0.76699249948689818</v>
      </c>
      <c r="E171" s="14">
        <f>MW_N2</f>
        <v>2.801348E-2</v>
      </c>
      <c r="F171" s="14">
        <f>3.76*F170</f>
        <v>22938.398325329559</v>
      </c>
      <c r="H171" s="14" t="s">
        <v>17</v>
      </c>
      <c r="I171" s="33">
        <f>F164</f>
        <v>628.25346653064969</v>
      </c>
      <c r="J171" s="33">
        <f>N164</f>
        <v>628.25346653064969</v>
      </c>
      <c r="K171" s="14">
        <f>I171-J171</f>
        <v>0</v>
      </c>
    </row>
    <row r="172" spans="2:14">
      <c r="B172" s="14" t="s">
        <v>18</v>
      </c>
      <c r="C172" s="18">
        <f>SUM(C170:C171)</f>
        <v>837.79745323263069</v>
      </c>
      <c r="D172" s="18">
        <f>SUM(D170:D171)</f>
        <v>1</v>
      </c>
      <c r="E172" s="18">
        <f>SUM(E170:E171)</f>
        <v>6.0012280000000001E-2</v>
      </c>
      <c r="F172" s="18">
        <f>SUM(F170:F171)</f>
        <v>29039.036177810827</v>
      </c>
      <c r="H172" s="14" t="s">
        <v>135</v>
      </c>
      <c r="I172" s="33">
        <f>(2*F163)+(4*F164)+(2*F166)</f>
        <v>21982.881595474006</v>
      </c>
      <c r="J172" s="33">
        <f>2*N163</f>
        <v>21982.881595474006</v>
      </c>
      <c r="K172" s="14">
        <f t="shared" ref="K172:K175" si="25">I172-J172</f>
        <v>0</v>
      </c>
    </row>
    <row r="173" spans="2:14">
      <c r="H173" s="14" t="s">
        <v>28</v>
      </c>
      <c r="I173" s="33">
        <f>2*F165 +2*F170</f>
        <v>12304.757736524678</v>
      </c>
      <c r="J173" s="33">
        <f>N163+(2*N164)+(2*N165)</f>
        <v>12304.757736524678</v>
      </c>
      <c r="K173" s="14">
        <f t="shared" si="25"/>
        <v>0</v>
      </c>
    </row>
    <row r="174" spans="2:14">
      <c r="H174" s="14" t="s">
        <v>284</v>
      </c>
      <c r="I174" s="33">
        <f>F171*2</f>
        <v>45876.796650659118</v>
      </c>
      <c r="J174" s="33">
        <f>2*N166</f>
        <v>45876.796650659118</v>
      </c>
      <c r="K174" s="14">
        <f t="shared" si="25"/>
        <v>0</v>
      </c>
    </row>
    <row r="175" spans="2:14">
      <c r="H175" s="14" t="s">
        <v>133</v>
      </c>
      <c r="I175" s="33">
        <f>F166</f>
        <v>28.405002863188379</v>
      </c>
      <c r="J175" s="33">
        <f>N165</f>
        <v>28.405002863188379</v>
      </c>
      <c r="K175" s="14">
        <f t="shared" si="25"/>
        <v>0</v>
      </c>
    </row>
    <row r="176" spans="2:14">
      <c r="I176" s="33">
        <f>SUM(I171:I175)</f>
        <v>80821.094452051635</v>
      </c>
      <c r="J176" s="33">
        <f>SUM(J171:J175)</f>
        <v>80821.094452051635</v>
      </c>
    </row>
    <row r="178" spans="1:21" ht="16.05" customHeight="1">
      <c r="A178" s="42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</row>
    <row r="180" spans="1:21">
      <c r="B180" s="320" t="s">
        <v>563</v>
      </c>
      <c r="C180" s="320"/>
      <c r="D180" s="320"/>
      <c r="E180" s="320"/>
      <c r="F180" s="320"/>
      <c r="G180" s="320"/>
    </row>
    <row r="181" spans="1:21">
      <c r="B181" s="320"/>
      <c r="C181" s="320"/>
      <c r="D181" s="320"/>
      <c r="E181" s="320"/>
      <c r="F181" s="320"/>
      <c r="G181" s="320"/>
    </row>
    <row r="182" spans="1:21">
      <c r="B182" s="320"/>
      <c r="C182" s="320"/>
      <c r="D182" s="320"/>
      <c r="E182" s="320"/>
      <c r="F182" s="320"/>
      <c r="G182" s="320"/>
    </row>
    <row r="185" spans="1:21">
      <c r="I185" s="20" t="s">
        <v>264</v>
      </c>
    </row>
    <row r="186" spans="1:21" ht="18" customHeight="1">
      <c r="B186" s="52"/>
      <c r="I186" s="5" t="s">
        <v>83</v>
      </c>
    </row>
    <row r="187" spans="1:21">
      <c r="I187" s="20">
        <f>C195+C200-(H2O_out_BF_from_coke+SO2_out_BF_from_coke+N2_out_BF_from_coke)</f>
        <v>0</v>
      </c>
    </row>
    <row r="188" spans="1:21" ht="16.95" customHeight="1">
      <c r="B188" s="52" t="s">
        <v>103</v>
      </c>
      <c r="C188" s="14" t="s">
        <v>1</v>
      </c>
      <c r="D188" s="14" t="s">
        <v>46</v>
      </c>
      <c r="E188" s="14" t="s">
        <v>5</v>
      </c>
      <c r="F188" s="14" t="s">
        <v>319</v>
      </c>
      <c r="L188" s="52" t="s">
        <v>104</v>
      </c>
      <c r="M188" s="14" t="s">
        <v>1</v>
      </c>
      <c r="N188" s="14" t="s">
        <v>46</v>
      </c>
      <c r="O188" s="14" t="s">
        <v>5</v>
      </c>
      <c r="P188" s="14" t="s">
        <v>319</v>
      </c>
    </row>
    <row r="189" spans="1:21" ht="18" customHeight="1">
      <c r="B189" s="20" t="s">
        <v>40</v>
      </c>
      <c r="C189" s="20" t="s">
        <v>10</v>
      </c>
      <c r="D189" s="20" t="s">
        <v>171</v>
      </c>
      <c r="E189" s="5" t="s">
        <v>78</v>
      </c>
      <c r="F189" s="9" t="s">
        <v>41</v>
      </c>
      <c r="L189" s="20" t="s">
        <v>40</v>
      </c>
      <c r="M189" s="20" t="s">
        <v>10</v>
      </c>
      <c r="N189" s="20" t="s">
        <v>171</v>
      </c>
      <c r="O189" s="5" t="s">
        <v>78</v>
      </c>
      <c r="P189" s="9" t="s">
        <v>41</v>
      </c>
    </row>
    <row r="190" spans="1:21" ht="16.95" customHeight="1">
      <c r="B190" s="70" t="s">
        <v>17</v>
      </c>
      <c r="C190" s="59">
        <f>C89</f>
        <v>198.80764502323905</v>
      </c>
      <c r="D190" s="59">
        <f>0.978</f>
        <v>0.97799999999999998</v>
      </c>
      <c r="E190" s="59">
        <f>MW_C</f>
        <v>1.2010999999999999E-2</v>
      </c>
      <c r="F190" s="59">
        <f>C190/E190</f>
        <v>16552.130965218472</v>
      </c>
      <c r="G190" s="59"/>
      <c r="L190" s="9" t="s">
        <v>67</v>
      </c>
      <c r="M190" s="53">
        <f t="shared" ref="M190:M191" si="26">O190*P190</f>
        <v>9.0832354277645369</v>
      </c>
      <c r="N190" s="14">
        <f>M190/$M$194</f>
        <v>1.1807496270128203E-2</v>
      </c>
      <c r="O190" s="14">
        <f>MW_H2O</f>
        <v>1.8015280000000002E-2</v>
      </c>
      <c r="P190" s="14">
        <f>F191/2</f>
        <v>504.19618389303611</v>
      </c>
    </row>
    <row r="191" spans="1:21" ht="18" customHeight="1">
      <c r="B191" s="20" t="s">
        <v>135</v>
      </c>
      <c r="C191" s="14">
        <f t="shared" ref="C191:C194" si="27">C90</f>
        <v>1.0163990031862937</v>
      </c>
      <c r="D191" s="14">
        <v>5.0000000000000001E-3</v>
      </c>
      <c r="E191" s="14">
        <f>MW_H</f>
        <v>1.0079400000000001E-3</v>
      </c>
      <c r="F191" s="14">
        <f>C191/E191</f>
        <v>1008.3923677860722</v>
      </c>
      <c r="K191" s="14" t="s">
        <v>565</v>
      </c>
      <c r="L191" s="71" t="s">
        <v>564</v>
      </c>
      <c r="M191" s="72">
        <f t="shared" si="26"/>
        <v>728.45597335307195</v>
      </c>
      <c r="N191" s="59">
        <f t="shared" ref="N191:N193" si="28">M191/$M$194</f>
        <v>0.94693584204894343</v>
      </c>
      <c r="O191" s="59">
        <f>MW_CO2</f>
        <v>4.4009800000000002E-2</v>
      </c>
      <c r="P191" s="59">
        <f>F190</f>
        <v>16552.130965218472</v>
      </c>
      <c r="Q191" s="59"/>
    </row>
    <row r="192" spans="1:21" ht="18" customHeight="1">
      <c r="B192" s="20" t="s">
        <v>28</v>
      </c>
      <c r="C192" s="14">
        <f t="shared" si="27"/>
        <v>1.4229586044608113</v>
      </c>
      <c r="D192" s="14">
        <v>7.0000000000000001E-3</v>
      </c>
      <c r="E192" s="14">
        <f>MW_O</f>
        <v>1.59994E-2</v>
      </c>
      <c r="F192" s="14">
        <f>C192/E192</f>
        <v>88.938247963099329</v>
      </c>
      <c r="L192" s="7" t="s">
        <v>561</v>
      </c>
      <c r="M192" s="53">
        <f>O192*P192</f>
        <v>3.6552023310295225</v>
      </c>
      <c r="N192" s="14">
        <f t="shared" si="28"/>
        <v>4.751477403995545E-3</v>
      </c>
      <c r="O192" s="14">
        <f>MW_SO2</f>
        <v>6.4064800000000005E-2</v>
      </c>
      <c r="P192" s="14">
        <f>F194</f>
        <v>57.054768469261155</v>
      </c>
    </row>
    <row r="193" spans="1:101" ht="18" customHeight="1">
      <c r="B193" s="20" t="s">
        <v>284</v>
      </c>
      <c r="C193" s="14">
        <f t="shared" si="27"/>
        <v>0.20327980063725876</v>
      </c>
      <c r="D193" s="14">
        <v>1E-3</v>
      </c>
      <c r="E193" s="14">
        <f>MW_N2/2</f>
        <v>1.400674E-2</v>
      </c>
      <c r="F193" s="14">
        <f>C193/E193</f>
        <v>14.512998787530771</v>
      </c>
      <c r="L193" s="7" t="s">
        <v>66</v>
      </c>
      <c r="M193" s="53">
        <f>O193*P193</f>
        <v>28.082599014677367</v>
      </c>
      <c r="N193" s="14">
        <f t="shared" si="28"/>
        <v>3.6505184276932799E-2</v>
      </c>
      <c r="O193" s="14">
        <f>MW_N2</f>
        <v>2.801348E-2</v>
      </c>
      <c r="P193" s="14">
        <f>(F193/2)+F199</f>
        <v>1002.4673483864684</v>
      </c>
    </row>
    <row r="194" spans="1:101">
      <c r="B194" s="20" t="s">
        <v>133</v>
      </c>
      <c r="C194" s="14">
        <f t="shared" si="27"/>
        <v>1.8295182057353285</v>
      </c>
      <c r="D194" s="14">
        <v>8.9999999999999993E-3</v>
      </c>
      <c r="E194" s="14">
        <f>MW_S</f>
        <v>3.2066000000000004E-2</v>
      </c>
      <c r="F194" s="14">
        <f>C194/E194</f>
        <v>57.054768469261155</v>
      </c>
      <c r="L194" s="14" t="s">
        <v>18</v>
      </c>
      <c r="M194" s="18">
        <f>SUM(M190:M193)</f>
        <v>769.27701012654336</v>
      </c>
      <c r="N194" s="18">
        <f>SUM(N190:N193)</f>
        <v>1</v>
      </c>
      <c r="O194" s="18"/>
      <c r="P194" s="18">
        <f>SUM(P190:P193)</f>
        <v>18115.849265967237</v>
      </c>
    </row>
    <row r="195" spans="1:101">
      <c r="B195" s="14" t="s">
        <v>18</v>
      </c>
      <c r="C195" s="18">
        <f>SUM(C191:C194)</f>
        <v>4.4721556140196927</v>
      </c>
      <c r="D195" s="18">
        <f>SUM(D190:D194)</f>
        <v>1</v>
      </c>
      <c r="E195" s="18">
        <f>SUM(E190:E194)</f>
        <v>7.5091080000000004E-2</v>
      </c>
      <c r="F195" s="18">
        <f>SUM(F191:F194)</f>
        <v>1168.8983830059635</v>
      </c>
    </row>
    <row r="197" spans="1:101">
      <c r="G197" s="14" t="s">
        <v>28</v>
      </c>
    </row>
    <row r="198" spans="1:101" ht="18" customHeight="1">
      <c r="B198" s="55" t="s">
        <v>23</v>
      </c>
      <c r="C198" s="14">
        <f>E198*F198</f>
        <v>8.4695619454116251</v>
      </c>
      <c r="D198" s="14">
        <f>C198/C200</f>
        <v>0.23300750051310176</v>
      </c>
      <c r="E198" s="14">
        <f>MW_O2</f>
        <v>3.1998800000000001E-2</v>
      </c>
      <c r="F198" s="14">
        <f>G198/2</f>
        <v>264.68373643422956</v>
      </c>
      <c r="G198" s="14">
        <f>P190+(2*P192)-F192</f>
        <v>529.36747286845912</v>
      </c>
      <c r="I198" s="14" t="s">
        <v>103</v>
      </c>
      <c r="J198" s="14" t="s">
        <v>104</v>
      </c>
    </row>
    <row r="199" spans="1:101" ht="18" customHeight="1">
      <c r="B199" s="7" t="s">
        <v>66</v>
      </c>
      <c r="C199" s="14">
        <f>E199*F199</f>
        <v>27.879319214040109</v>
      </c>
      <c r="D199" s="14">
        <f>C199/C200</f>
        <v>0.76699249948689818</v>
      </c>
      <c r="E199" s="14">
        <f>MW_N2</f>
        <v>2.801348E-2</v>
      </c>
      <c r="F199" s="14">
        <f>N2_molcoeff*F198</f>
        <v>995.21084899270306</v>
      </c>
      <c r="H199" s="14" t="s">
        <v>17</v>
      </c>
      <c r="I199" s="33">
        <f>F190</f>
        <v>16552.130965218472</v>
      </c>
      <c r="J199" s="33">
        <f>P191</f>
        <v>16552.130965218472</v>
      </c>
      <c r="K199" s="14">
        <f>I199-J199</f>
        <v>0</v>
      </c>
      <c r="CV199" s="14" t="e">
        <f>#REF!</f>
        <v>#REF!</v>
      </c>
      <c r="CW199" s="14" t="e">
        <f>#REF!</f>
        <v>#REF!</v>
      </c>
    </row>
    <row r="200" spans="1:101">
      <c r="C200" s="14">
        <f>SUM(C198:C199)</f>
        <v>36.348881159451736</v>
      </c>
      <c r="D200" s="14">
        <f>SUM(D198:D199)</f>
        <v>1</v>
      </c>
      <c r="F200" s="14">
        <f>SUM(F198:F199)</f>
        <v>1259.8945854269327</v>
      </c>
      <c r="H200" s="14" t="s">
        <v>135</v>
      </c>
      <c r="I200" s="33">
        <f>F191</f>
        <v>1008.3923677860722</v>
      </c>
      <c r="J200" s="33">
        <f>(2*P190)</f>
        <v>1008.3923677860722</v>
      </c>
      <c r="K200" s="14">
        <f t="shared" ref="K200:K203" si="29">I200-J200</f>
        <v>0</v>
      </c>
    </row>
    <row r="201" spans="1:101" ht="21" customHeight="1">
      <c r="H201" s="14" t="s">
        <v>28</v>
      </c>
      <c r="I201" s="33">
        <f>F192+(F198*2)</f>
        <v>618.30572083155846</v>
      </c>
      <c r="J201" s="33">
        <f>P190+(2*P192)</f>
        <v>618.30572083155846</v>
      </c>
      <c r="K201" s="14">
        <f t="shared" si="29"/>
        <v>0</v>
      </c>
      <c r="CE201" s="14">
        <f>(mol_H_Coal*Ore_to_PI!BT210)+(4*Ore_to_PI!BT248)</f>
        <v>143448.78521994207</v>
      </c>
      <c r="CF201" s="14" t="e">
        <f>(2*CO217)+(2*CO218)+(2*CO234)+(mol_H_coke*mol_C_to_BF)+(4*CO221)+(8*CO250)+(10*CO251)+(10*CO252)+(26*CO253)+(10*CO254)+(10*CO255)+(12*CO256)+(2*CO258)</f>
        <v>#DIV/0!</v>
      </c>
      <c r="CJ201" s="313"/>
    </row>
    <row r="202" spans="1:101">
      <c r="H202" s="14" t="s">
        <v>284</v>
      </c>
      <c r="I202" s="33">
        <f>F193+(2*F199)</f>
        <v>2004.9346967729368</v>
      </c>
      <c r="J202" s="33">
        <f>P193*2</f>
        <v>2004.9346967729368</v>
      </c>
      <c r="K202" s="14">
        <f t="shared" si="29"/>
        <v>0</v>
      </c>
      <c r="CE202" s="14" t="e">
        <f>(3*#REF!)+(#REF!)+#REF!+#REF!+(3*#REF!)+(2*#REF!)+(mol_O_Coal*Ore_to_PI!BT210)+(2*BT218)+#REF!</f>
        <v>#REF!</v>
      </c>
      <c r="CF202" s="14" t="e">
        <f>(3*CO201)+CO202+CO203+CO204+(3*CO205)+(2*CO206)+CO219+(2*CO220)+(2*CO235) +CO234+CO207+(mol_O_coke*mol_C_to_BF)+(2*CO260)</f>
        <v>#DIV/0!</v>
      </c>
      <c r="CJ202" s="313"/>
    </row>
    <row r="203" spans="1:101">
      <c r="H203" s="14" t="s">
        <v>133</v>
      </c>
      <c r="I203" s="33">
        <f>F194</f>
        <v>57.054768469261155</v>
      </c>
      <c r="J203" s="33">
        <f>P192</f>
        <v>57.054768469261155</v>
      </c>
      <c r="K203" s="14">
        <f t="shared" si="29"/>
        <v>0</v>
      </c>
      <c r="CE203" s="14">
        <f>(mol_N_Coal*Ore_to_PI!BT210)+(2*BT219)</f>
        <v>61.036394882003421</v>
      </c>
      <c r="CF203" s="14">
        <f>(mol_N_coke*mol_C_to_BF)+(2*CO236)+(2*CO259)</f>
        <v>15.53789527070624</v>
      </c>
      <c r="CJ203" s="313"/>
    </row>
    <row r="204" spans="1:101">
      <c r="H204" s="14" t="s">
        <v>607</v>
      </c>
      <c r="I204" s="14">
        <f>SUM(I199:I203)</f>
        <v>20240.818519078301</v>
      </c>
      <c r="J204" s="14">
        <f>SUM(J199:J203)</f>
        <v>20240.818519078301</v>
      </c>
      <c r="CG204" s="14">
        <f>CE204-CF204</f>
        <v>0</v>
      </c>
      <c r="CJ204" s="313"/>
    </row>
    <row r="205" spans="1:101">
      <c r="CJ205" s="313"/>
    </row>
    <row r="206" spans="1:101" ht="16.05" customHeight="1">
      <c r="A206" s="42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CJ206" s="313"/>
    </row>
    <row r="208" spans="1:101" ht="18" customHeight="1">
      <c r="B208" s="320" t="s">
        <v>392</v>
      </c>
      <c r="C208" s="320"/>
      <c r="D208" s="320"/>
      <c r="E208" s="320"/>
      <c r="G208" s="7" t="s">
        <v>66</v>
      </c>
      <c r="H208" s="7" t="s">
        <v>23</v>
      </c>
      <c r="J208" s="318" t="s">
        <v>69</v>
      </c>
      <c r="K208" s="318"/>
      <c r="L208" s="318"/>
      <c r="M208" s="318"/>
      <c r="N208" s="318"/>
      <c r="O208" s="318"/>
    </row>
    <row r="209" spans="1:88" ht="18" customHeight="1">
      <c r="B209" s="320"/>
      <c r="C209" s="320"/>
      <c r="D209" s="320"/>
      <c r="E209" s="320"/>
      <c r="G209" s="20">
        <v>3.76</v>
      </c>
      <c r="H209" s="20">
        <v>2</v>
      </c>
      <c r="J209" s="318" t="s">
        <v>394</v>
      </c>
      <c r="K209" s="318"/>
      <c r="L209" s="318"/>
      <c r="M209" s="20"/>
      <c r="N209" s="317" t="s">
        <v>74</v>
      </c>
      <c r="O209" s="317"/>
    </row>
    <row r="210" spans="1:88">
      <c r="B210" s="320"/>
      <c r="C210" s="320"/>
      <c r="D210" s="320"/>
      <c r="E210" s="320"/>
      <c r="J210" s="318" t="str">
        <f>_xlfn.CONCAT(G215," ",B215," ","+"," ",G216," ","("," ",B216," ","+"," ",G217," ",B217," ",")"," ","--&gt;"," ",M215," ",H215," ","+"," ",M216," ",H216," ","+"," ",M217," ",H217)</f>
        <v>1 C12H23 + 17.75 ( O2 + 3.76 N2 ) --&gt; 12 CO2 + 11.5 H2O + 66.74 N2</v>
      </c>
      <c r="K210" s="318"/>
      <c r="L210" s="318"/>
      <c r="M210" s="318"/>
      <c r="N210" s="318"/>
      <c r="O210" s="318"/>
      <c r="CD210" s="14" t="s">
        <v>133</v>
      </c>
      <c r="CE210" s="33" t="e">
        <f>mol_S_coal*#REF!</f>
        <v>#REF!</v>
      </c>
      <c r="CF210" s="33">
        <f>(mol_S_coke*mol_C_to_BF)+CO218</f>
        <v>61.083931043351427</v>
      </c>
    </row>
    <row r="211" spans="1:88">
      <c r="B211" s="313" t="s">
        <v>507</v>
      </c>
      <c r="C211" s="313"/>
      <c r="D211" s="313"/>
      <c r="E211" s="313"/>
    </row>
    <row r="213" spans="1:88" ht="16.95" customHeight="1">
      <c r="C213" s="14" t="s">
        <v>1</v>
      </c>
      <c r="D213" s="14" t="s">
        <v>5</v>
      </c>
      <c r="E213" s="14" t="s">
        <v>319</v>
      </c>
      <c r="H213" s="52" t="s">
        <v>303</v>
      </c>
      <c r="I213" s="14" t="s">
        <v>1</v>
      </c>
      <c r="J213" s="14" t="s">
        <v>5</v>
      </c>
      <c r="K213" s="14" t="s">
        <v>319</v>
      </c>
    </row>
    <row r="214" spans="1:88" ht="18" customHeight="1">
      <c r="B214" s="52" t="s">
        <v>393</v>
      </c>
      <c r="C214" s="20" t="s">
        <v>10</v>
      </c>
      <c r="D214" s="5" t="s">
        <v>78</v>
      </c>
      <c r="E214" s="20" t="s">
        <v>41</v>
      </c>
      <c r="F214" s="14" t="s">
        <v>43</v>
      </c>
      <c r="H214" s="20" t="s">
        <v>40</v>
      </c>
      <c r="I214" s="20" t="s">
        <v>10</v>
      </c>
      <c r="J214" s="5" t="s">
        <v>78</v>
      </c>
      <c r="K214" s="20" t="s">
        <v>41</v>
      </c>
      <c r="L214" s="14" t="s">
        <v>43</v>
      </c>
    </row>
    <row r="215" spans="1:88" ht="18" customHeight="1">
      <c r="B215" s="22" t="s">
        <v>389</v>
      </c>
      <c r="C215" s="14">
        <f>Ore_to_PI!L226</f>
        <v>0.51237375403207552</v>
      </c>
      <c r="D215" s="14">
        <f>MW_C12H23</f>
        <v>0.16731462</v>
      </c>
      <c r="E215" s="14">
        <f>C215/D215</f>
        <v>3.0623370153312099</v>
      </c>
      <c r="F215" s="59" t="s">
        <v>32</v>
      </c>
      <c r="G215" s="14">
        <v>1</v>
      </c>
      <c r="H215" s="7" t="s">
        <v>63</v>
      </c>
      <c r="I215" s="14">
        <f>J215*K215</f>
        <v>1.617274074927882</v>
      </c>
      <c r="J215" s="14">
        <f>MW_CO2</f>
        <v>4.4009800000000002E-2</v>
      </c>
      <c r="K215" s="14">
        <f>M215*E215</f>
        <v>36.748044183974521</v>
      </c>
      <c r="L215" s="59" t="s">
        <v>34</v>
      </c>
      <c r="M215" s="14">
        <f>12*G215</f>
        <v>12</v>
      </c>
    </row>
    <row r="216" spans="1:88" ht="18" customHeight="1">
      <c r="B216" s="7" t="s">
        <v>23</v>
      </c>
      <c r="C216" s="14">
        <f>E216*D216</f>
        <v>1.7393421969297009</v>
      </c>
      <c r="D216" s="14">
        <f>MW_O2</f>
        <v>3.1998800000000001E-2</v>
      </c>
      <c r="E216" s="14">
        <f>E215*G216</f>
        <v>54.356482022128979</v>
      </c>
      <c r="F216" s="59" t="s">
        <v>33</v>
      </c>
      <c r="G216" s="14">
        <f>((2*M215)+M216)/2</f>
        <v>17.75</v>
      </c>
      <c r="H216" s="20" t="s">
        <v>67</v>
      </c>
      <c r="I216" s="14">
        <f t="shared" ref="I216:I217" si="30">J216*K216</f>
        <v>0.63444187603389457</v>
      </c>
      <c r="J216" s="14">
        <f>MW_H2O</f>
        <v>1.8015280000000002E-2</v>
      </c>
      <c r="K216" s="14">
        <f>M216*E215</f>
        <v>35.216875676308916</v>
      </c>
      <c r="L216" s="59" t="s">
        <v>35</v>
      </c>
      <c r="M216" s="14">
        <f>(23/2)*G215</f>
        <v>11.5</v>
      </c>
      <c r="BK216" s="313"/>
      <c r="BL216" s="313"/>
      <c r="BM216" s="313"/>
      <c r="BN216" s="313"/>
    </row>
    <row r="217" spans="1:88" ht="18" customHeight="1">
      <c r="B217" s="7" t="s">
        <v>66</v>
      </c>
      <c r="C217" s="14">
        <f>E217*D217</f>
        <v>5.725405474709734</v>
      </c>
      <c r="D217" s="14">
        <f>MW_N2</f>
        <v>2.801348E-2</v>
      </c>
      <c r="E217" s="14">
        <f>E216*G217</f>
        <v>204.38037240320494</v>
      </c>
      <c r="F217" s="59" t="s">
        <v>154</v>
      </c>
      <c r="G217" s="14">
        <v>3.76</v>
      </c>
      <c r="H217" s="7" t="s">
        <v>66</v>
      </c>
      <c r="I217" s="14">
        <f t="shared" si="30"/>
        <v>5.725405474709734</v>
      </c>
      <c r="J217" s="14">
        <f>MW_N2</f>
        <v>2.801348E-2</v>
      </c>
      <c r="K217" s="14">
        <f>E217</f>
        <v>204.38037240320494</v>
      </c>
      <c r="L217" s="59" t="s">
        <v>36</v>
      </c>
      <c r="M217" s="14">
        <f>G216*G217</f>
        <v>66.739999999999995</v>
      </c>
      <c r="BK217" s="313"/>
      <c r="BL217" s="313"/>
      <c r="BM217" s="313"/>
      <c r="BN217" s="313"/>
      <c r="CJ217" s="313"/>
    </row>
    <row r="218" spans="1:88" ht="22.05" customHeight="1">
      <c r="B218" s="14" t="s">
        <v>18</v>
      </c>
      <c r="C218" s="18">
        <f>SUM(C215:C217)</f>
        <v>7.9771214256715108</v>
      </c>
      <c r="D218" s="18"/>
      <c r="E218" s="18">
        <f>SUM(E215:E217)</f>
        <v>261.79919144066514</v>
      </c>
      <c r="I218" s="18">
        <f>SUM(I215:I217)</f>
        <v>7.9771214256715108</v>
      </c>
      <c r="J218" s="18"/>
      <c r="K218" s="18">
        <f>SUM(K215:K217)</f>
        <v>276.34529226348837</v>
      </c>
      <c r="BO218" s="313"/>
      <c r="BQ218" s="14" t="e">
        <f>BS218*BT218</f>
        <v>#DIV/0!</v>
      </c>
      <c r="BT218" s="14" t="e">
        <f>O2_Naturalgas_molcoeff*BT230</f>
        <v>#DIV/0!</v>
      </c>
      <c r="CJ218" s="313"/>
    </row>
    <row r="219" spans="1:88">
      <c r="BO219" s="313"/>
      <c r="BQ219" s="14">
        <f>N2_for_coke_oven_comb</f>
        <v>0</v>
      </c>
      <c r="CJ219" s="313"/>
    </row>
    <row r="220" spans="1:88">
      <c r="CJ220" s="313"/>
    </row>
    <row r="221" spans="1:88">
      <c r="C221" s="14" t="s">
        <v>284</v>
      </c>
      <c r="E221" s="14" t="s">
        <v>284</v>
      </c>
      <c r="G221" s="14" t="s">
        <v>284</v>
      </c>
      <c r="J221" s="14" t="s">
        <v>493</v>
      </c>
      <c r="K221" s="14" t="s">
        <v>496</v>
      </c>
      <c r="L221" s="14" t="s">
        <v>306</v>
      </c>
      <c r="M221" s="14" t="s">
        <v>39</v>
      </c>
      <c r="N221" s="21" t="s">
        <v>34</v>
      </c>
      <c r="O221" s="14" t="s">
        <v>494</v>
      </c>
      <c r="P221" s="14" t="s">
        <v>495</v>
      </c>
      <c r="CJ221" s="313"/>
    </row>
    <row r="222" spans="1:88">
      <c r="C222" s="14" t="s">
        <v>12</v>
      </c>
      <c r="E222" s="14" t="s">
        <v>12</v>
      </c>
      <c r="G222" s="14" t="s">
        <v>12</v>
      </c>
      <c r="J222" s="20" t="s">
        <v>91</v>
      </c>
      <c r="K222" s="20" t="s">
        <v>91</v>
      </c>
      <c r="L222" s="20" t="s">
        <v>271</v>
      </c>
      <c r="M222" s="20" t="s">
        <v>171</v>
      </c>
      <c r="N222" s="20" t="s">
        <v>171</v>
      </c>
      <c r="O222" s="20" t="s">
        <v>91</v>
      </c>
      <c r="P222" s="20" t="s">
        <v>271</v>
      </c>
    </row>
    <row r="223" spans="1:88" ht="18" customHeight="1">
      <c r="A223" s="316" t="s">
        <v>608</v>
      </c>
      <c r="B223" s="20" t="s">
        <v>135</v>
      </c>
      <c r="C223" s="14">
        <f>23*C225</f>
        <v>70.433751352617833</v>
      </c>
      <c r="D223" s="5" t="s">
        <v>233</v>
      </c>
      <c r="E223" s="14">
        <f>E225</f>
        <v>36.748044183974521</v>
      </c>
      <c r="F223" s="5" t="s">
        <v>233</v>
      </c>
      <c r="G223" s="14">
        <f>G224/2</f>
        <v>17.608437838154458</v>
      </c>
      <c r="J223" s="14">
        <v>1.0401</v>
      </c>
      <c r="K223" s="14">
        <v>0.17280000000000001</v>
      </c>
      <c r="L223" s="14">
        <f>LHV_Diesel</f>
        <v>42600</v>
      </c>
      <c r="M223" s="14">
        <f>C229/C231</f>
        <v>0.13855704898950252</v>
      </c>
      <c r="N223" s="14">
        <f>C230/C231</f>
        <v>0.86144295101049739</v>
      </c>
      <c r="O223" s="14">
        <f>J223+(K223*(M223/N223))</f>
        <v>1.0678936664724004</v>
      </c>
      <c r="P223" s="14">
        <f>O223*L223</f>
        <v>45492.270191724252</v>
      </c>
    </row>
    <row r="224" spans="1:88">
      <c r="A224" s="316"/>
      <c r="B224" s="20" t="s">
        <v>17</v>
      </c>
      <c r="C224" s="14">
        <f>12*C225</f>
        <v>36.748044183974521</v>
      </c>
      <c r="D224" s="20" t="s">
        <v>17</v>
      </c>
      <c r="E224" s="14">
        <f>E225</f>
        <v>36.748044183974521</v>
      </c>
      <c r="F224" s="20" t="s">
        <v>28</v>
      </c>
      <c r="G224" s="14">
        <f>G225</f>
        <v>35.216875676308916</v>
      </c>
    </row>
    <row r="225" spans="1:94" ht="18" customHeight="1">
      <c r="A225" s="316"/>
      <c r="B225" s="22" t="s">
        <v>389</v>
      </c>
      <c r="C225" s="14">
        <f>E215</f>
        <v>3.0623370153312099</v>
      </c>
      <c r="D225" s="7" t="s">
        <v>63</v>
      </c>
      <c r="E225" s="14">
        <f>C224</f>
        <v>36.748044183974521</v>
      </c>
      <c r="F225" s="20" t="s">
        <v>67</v>
      </c>
      <c r="G225" s="14">
        <f>C223/2</f>
        <v>35.216875676308916</v>
      </c>
    </row>
    <row r="227" spans="1:94">
      <c r="C227" s="14" t="s">
        <v>1</v>
      </c>
      <c r="N227" s="92" t="s">
        <v>603</v>
      </c>
    </row>
    <row r="228" spans="1:94">
      <c r="C228" s="14" t="s">
        <v>10</v>
      </c>
      <c r="BK228" s="313" t="s">
        <v>376</v>
      </c>
      <c r="BL228" s="313"/>
      <c r="BM228" s="313"/>
      <c r="BN228" s="313"/>
    </row>
    <row r="229" spans="1:94">
      <c r="A229" s="316" t="s">
        <v>608</v>
      </c>
      <c r="B229" s="20" t="s">
        <v>135</v>
      </c>
      <c r="C229" s="14">
        <f>C223*MW_H</f>
        <v>7.0992995338357623E-2</v>
      </c>
      <c r="BK229" s="313"/>
      <c r="BL229" s="313"/>
      <c r="BM229" s="313"/>
      <c r="BN229" s="313"/>
    </row>
    <row r="230" spans="1:94">
      <c r="A230" s="316"/>
      <c r="B230" s="20" t="s">
        <v>17</v>
      </c>
      <c r="C230" s="14">
        <f>C224*MW_C</f>
        <v>0.44138075869371796</v>
      </c>
      <c r="BQ230" s="14">
        <f>LHV_CH4*BR230</f>
        <v>10206361.17590105</v>
      </c>
      <c r="BR230" s="14">
        <f>Calculators!G77</f>
        <v>204.127223518021</v>
      </c>
      <c r="BT230" s="14" t="e">
        <f>BR230/BS230</f>
        <v>#DIV/0!</v>
      </c>
    </row>
    <row r="231" spans="1:94" ht="18" customHeight="1">
      <c r="A231" s="322"/>
      <c r="B231" s="91" t="s">
        <v>389</v>
      </c>
      <c r="C231" s="42">
        <f>SUM(C229:C230)</f>
        <v>0.51237375403207563</v>
      </c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</row>
    <row r="233" spans="1:94">
      <c r="B233" s="320" t="s">
        <v>399</v>
      </c>
      <c r="C233" s="320"/>
      <c r="D233" s="320"/>
      <c r="E233" s="320"/>
      <c r="J233" s="318" t="s">
        <v>69</v>
      </c>
      <c r="K233" s="318"/>
      <c r="L233" s="318"/>
      <c r="M233" s="318"/>
      <c r="N233" s="318"/>
      <c r="O233" s="318"/>
    </row>
    <row r="234" spans="1:94" ht="22.05" customHeight="1">
      <c r="B234" s="320"/>
      <c r="C234" s="320"/>
      <c r="D234" s="320"/>
      <c r="E234" s="320"/>
      <c r="J234" s="318" t="s">
        <v>401</v>
      </c>
      <c r="K234" s="318"/>
      <c r="L234" s="318"/>
      <c r="M234" s="20"/>
      <c r="N234" s="317" t="s">
        <v>74</v>
      </c>
      <c r="O234" s="317"/>
      <c r="CJ234" s="313"/>
      <c r="CL234" s="14" t="e">
        <f>CO234*CN234</f>
        <v>#DIV/0!</v>
      </c>
      <c r="CO234" s="14" t="e">
        <f>H2O_Naturalgas_molcoeff*BT230</f>
        <v>#DIV/0!</v>
      </c>
    </row>
    <row r="235" spans="1:94">
      <c r="B235" s="320"/>
      <c r="C235" s="320"/>
      <c r="D235" s="320"/>
      <c r="E235" s="320"/>
      <c r="J235" s="318" t="str">
        <f>_xlfn.CONCAT(G240," ",B240," ","+"," ",G241," ","("," ",B241," ","+"," ",G242," ",B242," ",")"," ","--&gt;"," ",M240," ",H240," ","+"," ",M241," ",H241," ","+"," ",M242," ",H242)</f>
        <v>1 C8H18 + 12.5 ( O2 + 3.76 N2 ) --&gt; 8 CO2 + 9 H2O + 47 N2</v>
      </c>
      <c r="K235" s="318"/>
      <c r="L235" s="318"/>
      <c r="M235" s="318"/>
      <c r="N235" s="318"/>
      <c r="O235" s="318"/>
      <c r="CJ235" s="313"/>
      <c r="CL235" s="14" t="e">
        <f>CN235*CO235</f>
        <v>#DIV/0!</v>
      </c>
      <c r="CO235" s="14" t="e">
        <f>BT230</f>
        <v>#DIV/0!</v>
      </c>
    </row>
    <row r="236" spans="1:94" ht="19.95" customHeight="1">
      <c r="B236" s="313" t="s">
        <v>507</v>
      </c>
      <c r="C236" s="313"/>
      <c r="D236" s="313"/>
      <c r="E236" s="313"/>
      <c r="CJ236" s="313"/>
      <c r="CL236" s="14">
        <f>CO236*CN236</f>
        <v>0</v>
      </c>
    </row>
    <row r="237" spans="1:94">
      <c r="CP237" s="14" t="e">
        <f t="array" ref="CP237">SUM(CL234:CL236*CP234:CP236) / CL237</f>
        <v>#DIV/0!</v>
      </c>
    </row>
    <row r="238" spans="1:94" ht="16.95" customHeight="1">
      <c r="C238" s="14" t="s">
        <v>1</v>
      </c>
      <c r="D238" s="14" t="s">
        <v>5</v>
      </c>
      <c r="E238" s="14" t="s">
        <v>319</v>
      </c>
      <c r="H238" s="52" t="s">
        <v>303</v>
      </c>
      <c r="I238" s="14" t="s">
        <v>1</v>
      </c>
      <c r="J238" s="14" t="s">
        <v>5</v>
      </c>
      <c r="K238" s="14" t="s">
        <v>319</v>
      </c>
    </row>
    <row r="239" spans="1:94" ht="18" customHeight="1">
      <c r="B239" s="52" t="s">
        <v>400</v>
      </c>
      <c r="C239" s="20" t="s">
        <v>10</v>
      </c>
      <c r="D239" s="5" t="s">
        <v>78</v>
      </c>
      <c r="E239" s="20" t="s">
        <v>41</v>
      </c>
      <c r="F239" s="14" t="s">
        <v>43</v>
      </c>
      <c r="H239" s="20" t="s">
        <v>40</v>
      </c>
      <c r="I239" s="20" t="s">
        <v>10</v>
      </c>
      <c r="J239" s="5" t="s">
        <v>78</v>
      </c>
      <c r="K239" s="20" t="s">
        <v>41</v>
      </c>
      <c r="L239" s="14" t="s">
        <v>43</v>
      </c>
    </row>
    <row r="240" spans="1:94" ht="18" customHeight="1">
      <c r="B240" s="22" t="s">
        <v>388</v>
      </c>
      <c r="C240" s="14">
        <f>Ore_to_PI!L155</f>
        <v>5.1714158616864253E-4</v>
      </c>
      <c r="D240" s="14">
        <f>MW_C8H18</f>
        <v>0.11423092</v>
      </c>
      <c r="E240" s="14">
        <f>C240/D240</f>
        <v>4.5271594255622081E-3</v>
      </c>
      <c r="F240" s="59" t="s">
        <v>32</v>
      </c>
      <c r="G240" s="14">
        <v>1</v>
      </c>
      <c r="H240" s="7" t="s">
        <v>63</v>
      </c>
      <c r="I240" s="14">
        <f>J240*K240</f>
        <v>1.5939150470968614E-3</v>
      </c>
      <c r="J240" s="14">
        <f>MW_CO2</f>
        <v>4.4009800000000002E-2</v>
      </c>
      <c r="K240" s="14">
        <f>M240*E240</f>
        <v>3.6217275404497665E-2</v>
      </c>
      <c r="L240" s="59" t="s">
        <v>34</v>
      </c>
      <c r="M240" s="14">
        <f>8*G240</f>
        <v>8</v>
      </c>
    </row>
    <row r="241" spans="1:88" ht="18" customHeight="1">
      <c r="B241" s="7" t="s">
        <v>23</v>
      </c>
      <c r="C241" s="14">
        <f>E241*D241</f>
        <v>1.8107958628335E-3</v>
      </c>
      <c r="D241" s="14">
        <f>MW_O2</f>
        <v>3.1998800000000001E-2</v>
      </c>
      <c r="E241" s="14">
        <f>E240*G241</f>
        <v>5.6589492819527604E-2</v>
      </c>
      <c r="F241" s="59" t="s">
        <v>33</v>
      </c>
      <c r="G241" s="14">
        <f>((2*M240)+(M241))/2</f>
        <v>12.5</v>
      </c>
      <c r="H241" s="20" t="s">
        <v>67</v>
      </c>
      <c r="I241" s="14">
        <f t="shared" ref="I241:I242" si="31">J241*K241</f>
        <v>7.3402240190528106E-4</v>
      </c>
      <c r="J241" s="14">
        <f>MW_H2O</f>
        <v>1.8015280000000002E-2</v>
      </c>
      <c r="K241" s="14">
        <f>M241*E240</f>
        <v>4.0744434830059871E-2</v>
      </c>
      <c r="L241" s="59" t="s">
        <v>35</v>
      </c>
      <c r="M241" s="14">
        <f>9*G240</f>
        <v>9</v>
      </c>
    </row>
    <row r="242" spans="1:88" ht="18" customHeight="1">
      <c r="B242" s="7" t="s">
        <v>66</v>
      </c>
      <c r="C242" s="14">
        <f>E242*D242</f>
        <v>5.9606100311655258E-3</v>
      </c>
      <c r="D242" s="14">
        <f>MW_N2</f>
        <v>2.801348E-2</v>
      </c>
      <c r="E242" s="14">
        <f>E241*G242</f>
        <v>0.21277649300142379</v>
      </c>
      <c r="F242" s="59" t="s">
        <v>154</v>
      </c>
      <c r="G242" s="14">
        <v>3.76</v>
      </c>
      <c r="H242" s="7" t="s">
        <v>66</v>
      </c>
      <c r="I242" s="14">
        <f t="shared" si="31"/>
        <v>5.9606100311655258E-3</v>
      </c>
      <c r="J242" s="14">
        <f>MW_N2</f>
        <v>2.801348E-2</v>
      </c>
      <c r="K242" s="14">
        <f>E242</f>
        <v>0.21277649300142379</v>
      </c>
      <c r="L242" s="59" t="s">
        <v>36</v>
      </c>
      <c r="M242" s="14">
        <f>G242*G241</f>
        <v>47</v>
      </c>
    </row>
    <row r="243" spans="1:88">
      <c r="B243" s="14" t="s">
        <v>18</v>
      </c>
      <c r="C243" s="18">
        <f>SUM(C240:C242)</f>
        <v>8.2885474801676681E-3</v>
      </c>
      <c r="D243" s="18"/>
      <c r="E243" s="18">
        <f>SUM(E240:E242)</f>
        <v>0.27389314524651359</v>
      </c>
      <c r="I243" s="18">
        <f>SUM(I240:I242)</f>
        <v>8.2885474801676681E-3</v>
      </c>
      <c r="J243" s="18"/>
      <c r="K243" s="18">
        <f>SUM(K240:K242)</f>
        <v>0.28973820323598132</v>
      </c>
    </row>
    <row r="245" spans="1:88">
      <c r="B245" s="14" t="s">
        <v>493</v>
      </c>
      <c r="C245" s="14" t="s">
        <v>496</v>
      </c>
      <c r="D245" s="14" t="s">
        <v>306</v>
      </c>
      <c r="E245" s="14" t="s">
        <v>39</v>
      </c>
      <c r="F245" s="21" t="s">
        <v>34</v>
      </c>
      <c r="G245" s="14" t="s">
        <v>494</v>
      </c>
      <c r="H245" s="14" t="s">
        <v>497</v>
      </c>
    </row>
    <row r="246" spans="1:88">
      <c r="B246" s="20" t="s">
        <v>91</v>
      </c>
      <c r="C246" s="20" t="s">
        <v>91</v>
      </c>
      <c r="D246" s="20" t="s">
        <v>271</v>
      </c>
      <c r="E246" s="20" t="s">
        <v>171</v>
      </c>
      <c r="F246" s="20" t="s">
        <v>171</v>
      </c>
      <c r="G246" s="20" t="s">
        <v>91</v>
      </c>
      <c r="H246" s="20" t="s">
        <v>271</v>
      </c>
    </row>
    <row r="247" spans="1:88">
      <c r="B247" s="14">
        <v>1.0401</v>
      </c>
      <c r="C247" s="14">
        <v>0.17280000000000001</v>
      </c>
      <c r="D247" s="14">
        <f>LHV_Gasoline</f>
        <v>43400</v>
      </c>
      <c r="E247" s="14">
        <f>(MW_H*18)/(MW_C8H18)</f>
        <v>0.15882669946105663</v>
      </c>
      <c r="F247" s="14">
        <f>1-E247</f>
        <v>0.84117330053894335</v>
      </c>
      <c r="G247" s="14">
        <f>B247+(C247*(E247/F247))</f>
        <v>1.0727273475980352</v>
      </c>
      <c r="H247" s="14">
        <f>G247*D247</f>
        <v>46556.366885754731</v>
      </c>
    </row>
    <row r="248" spans="1:88" ht="16.05" customHeight="1">
      <c r="A248" s="42"/>
      <c r="B248" s="42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</row>
    <row r="250" spans="1:88" ht="18" customHeight="1">
      <c r="B250" s="320" t="s">
        <v>404</v>
      </c>
      <c r="C250" s="320"/>
      <c r="D250" s="320"/>
      <c r="E250" s="320"/>
      <c r="J250" s="318" t="s">
        <v>69</v>
      </c>
      <c r="K250" s="318"/>
      <c r="L250" s="318"/>
      <c r="M250" s="318"/>
      <c r="N250" s="318"/>
      <c r="O250" s="318"/>
      <c r="CJ250" s="313"/>
    </row>
    <row r="251" spans="1:88" ht="18" customHeight="1">
      <c r="B251" s="320"/>
      <c r="C251" s="320"/>
      <c r="D251" s="320"/>
      <c r="E251" s="320"/>
      <c r="J251" s="318" t="s">
        <v>406</v>
      </c>
      <c r="K251" s="318"/>
      <c r="L251" s="318"/>
      <c r="M251" s="20"/>
      <c r="N251" s="317" t="s">
        <v>74</v>
      </c>
      <c r="O251" s="317"/>
      <c r="CJ251" s="313"/>
    </row>
    <row r="252" spans="1:88">
      <c r="B252" s="320"/>
      <c r="C252" s="320"/>
      <c r="D252" s="320"/>
      <c r="E252" s="320"/>
      <c r="J252" s="318" t="str">
        <f>_xlfn.CONCAT(G257," ",B257," ","+"," ",G258," ","("," ",B258," ","+"," ",G259," ",B259," ",")"," ","--&gt;"," ",M257," ",H257," ","+"," ",M258," ",H258," ","+"," ",M259," ",H259)</f>
        <v>1 C10H20 + 15 ( O2 + 3.76 N2 ) --&gt; 10 CO2 + 10 H2O + 56.4 N2</v>
      </c>
      <c r="K252" s="318"/>
      <c r="L252" s="318"/>
      <c r="M252" s="318"/>
      <c r="N252" s="318"/>
      <c r="O252" s="318"/>
      <c r="CJ252" s="313"/>
    </row>
    <row r="253" spans="1:88">
      <c r="B253" s="313" t="s">
        <v>507</v>
      </c>
      <c r="C253" s="313"/>
      <c r="D253" s="313"/>
      <c r="E253" s="313"/>
      <c r="CJ253" s="313"/>
    </row>
    <row r="254" spans="1:88">
      <c r="CJ254" s="313"/>
    </row>
    <row r="255" spans="1:88" ht="16.95" customHeight="1">
      <c r="C255" s="14" t="s">
        <v>1</v>
      </c>
      <c r="D255" s="14" t="s">
        <v>5</v>
      </c>
      <c r="E255" s="14" t="s">
        <v>319</v>
      </c>
      <c r="H255" s="52" t="s">
        <v>303</v>
      </c>
      <c r="I255" s="14" t="s">
        <v>1</v>
      </c>
      <c r="J255" s="14" t="s">
        <v>5</v>
      </c>
      <c r="K255" s="14" t="s">
        <v>319</v>
      </c>
      <c r="CJ255" s="313"/>
    </row>
    <row r="256" spans="1:88" ht="18" customHeight="1">
      <c r="B256" s="52" t="s">
        <v>277</v>
      </c>
      <c r="C256" s="20" t="s">
        <v>10</v>
      </c>
      <c r="D256" s="5" t="s">
        <v>78</v>
      </c>
      <c r="E256" s="20" t="s">
        <v>41</v>
      </c>
      <c r="F256" s="14" t="s">
        <v>43</v>
      </c>
      <c r="H256" s="20" t="s">
        <v>40</v>
      </c>
      <c r="I256" s="20" t="s">
        <v>10</v>
      </c>
      <c r="J256" s="5" t="s">
        <v>78</v>
      </c>
      <c r="K256" s="20" t="s">
        <v>41</v>
      </c>
      <c r="L256" s="14" t="s">
        <v>43</v>
      </c>
      <c r="CJ256" s="313"/>
    </row>
    <row r="257" spans="1:88" ht="18" customHeight="1">
      <c r="B257" s="22" t="s">
        <v>402</v>
      </c>
      <c r="C257" s="14">
        <f>Ore_to_PI!$EC$105</f>
        <v>4.914718171980665</v>
      </c>
      <c r="D257" s="14">
        <f>MW_Oil</f>
        <v>0.1402688</v>
      </c>
      <c r="E257" s="14">
        <f>C257/D257</f>
        <v>35.037857114202623</v>
      </c>
      <c r="F257" s="59" t="s">
        <v>32</v>
      </c>
      <c r="G257" s="14">
        <v>1</v>
      </c>
      <c r="H257" s="7" t="s">
        <v>63</v>
      </c>
      <c r="I257" s="14">
        <f>J257*K257</f>
        <v>15.420090840246345</v>
      </c>
      <c r="J257" s="14">
        <f>MW_CO2</f>
        <v>4.4009800000000002E-2</v>
      </c>
      <c r="K257" s="14">
        <f>M257*E257</f>
        <v>350.3785711420262</v>
      </c>
      <c r="L257" s="59" t="s">
        <v>34</v>
      </c>
      <c r="M257" s="14">
        <v>10</v>
      </c>
      <c r="CJ257" s="313"/>
    </row>
    <row r="258" spans="1:88" ht="18" customHeight="1">
      <c r="B258" s="7" t="s">
        <v>23</v>
      </c>
      <c r="C258" s="14">
        <f>E258*D258</f>
        <v>16.817540733389201</v>
      </c>
      <c r="D258" s="14">
        <f>MW_O2</f>
        <v>3.1998800000000001E-2</v>
      </c>
      <c r="E258" s="14">
        <f>E257*G258</f>
        <v>525.5678567130393</v>
      </c>
      <c r="F258" s="59" t="s">
        <v>33</v>
      </c>
      <c r="G258" s="14">
        <f>((2*M257)+(M258))/2</f>
        <v>15</v>
      </c>
      <c r="H258" s="20" t="s">
        <v>67</v>
      </c>
      <c r="I258" s="14">
        <f t="shared" ref="I258:I259" si="32">J258*K258</f>
        <v>6.3121680651235224</v>
      </c>
      <c r="J258" s="14">
        <f>MW_H2O</f>
        <v>1.8015280000000002E-2</v>
      </c>
      <c r="K258" s="14">
        <f>M258*E257</f>
        <v>350.3785711420262</v>
      </c>
      <c r="L258" s="59" t="s">
        <v>35</v>
      </c>
      <c r="M258" s="14">
        <v>10</v>
      </c>
      <c r="CJ258" s="313"/>
    </row>
    <row r="259" spans="1:88" ht="18" customHeight="1">
      <c r="B259" s="7" t="s">
        <v>66</v>
      </c>
      <c r="C259" s="14">
        <f>E259*D259</f>
        <v>55.358422256452705</v>
      </c>
      <c r="D259" s="14">
        <f>MW_N2</f>
        <v>2.801348E-2</v>
      </c>
      <c r="E259" s="14">
        <f>E258*G259</f>
        <v>1976.1351412410277</v>
      </c>
      <c r="F259" s="59" t="s">
        <v>154</v>
      </c>
      <c r="G259" s="14">
        <v>3.76</v>
      </c>
      <c r="H259" s="7" t="s">
        <v>66</v>
      </c>
      <c r="I259" s="14">
        <f t="shared" si="32"/>
        <v>55.358422256452705</v>
      </c>
      <c r="J259" s="14">
        <f>MW_N2</f>
        <v>2.801348E-2</v>
      </c>
      <c r="K259" s="14">
        <f>E259</f>
        <v>1976.1351412410277</v>
      </c>
      <c r="L259" s="59" t="s">
        <v>36</v>
      </c>
      <c r="M259" s="14">
        <f>G259*G258</f>
        <v>56.4</v>
      </c>
      <c r="CJ259" s="313"/>
    </row>
    <row r="260" spans="1:88">
      <c r="B260" s="14" t="s">
        <v>18</v>
      </c>
      <c r="C260" s="18">
        <f>SUM(C257:C259)</f>
        <v>77.090681161822573</v>
      </c>
      <c r="D260" s="18"/>
      <c r="E260" s="18">
        <f>SUM(E257:E259)</f>
        <v>2536.7408550682694</v>
      </c>
      <c r="I260" s="18">
        <f>SUM(I257:I259)</f>
        <v>77.090681161822573</v>
      </c>
      <c r="J260" s="18"/>
      <c r="K260" s="18">
        <f>SUM(K257:K259)</f>
        <v>2676.8922835250801</v>
      </c>
      <c r="CJ260" s="313"/>
    </row>
    <row r="262" spans="1:88">
      <c r="B262" s="14" t="s">
        <v>493</v>
      </c>
      <c r="C262" s="14" t="s">
        <v>496</v>
      </c>
      <c r="D262" s="14" t="s">
        <v>306</v>
      </c>
      <c r="E262" s="14" t="s">
        <v>39</v>
      </c>
      <c r="F262" s="21" t="s">
        <v>34</v>
      </c>
      <c r="G262" s="14" t="s">
        <v>494</v>
      </c>
      <c r="H262" s="14" t="s">
        <v>498</v>
      </c>
    </row>
    <row r="263" spans="1:88">
      <c r="B263" s="20" t="s">
        <v>91</v>
      </c>
      <c r="C263" s="20" t="s">
        <v>91</v>
      </c>
      <c r="D263" s="20" t="s">
        <v>271</v>
      </c>
      <c r="E263" s="20" t="s">
        <v>171</v>
      </c>
      <c r="F263" s="20" t="s">
        <v>171</v>
      </c>
      <c r="G263" s="20" t="s">
        <v>91</v>
      </c>
      <c r="H263" s="20" t="s">
        <v>271</v>
      </c>
    </row>
    <row r="264" spans="1:88" ht="16.05" customHeight="1">
      <c r="A264" s="42"/>
      <c r="B264" s="64">
        <v>1.0401</v>
      </c>
      <c r="C264" s="64">
        <v>0.17280000000000001</v>
      </c>
      <c r="D264" s="64">
        <f>LHV_Oil</f>
        <v>39500</v>
      </c>
      <c r="E264" s="64">
        <f>(MW_H*20)/(MW_Oil)</f>
        <v>0.14371549482137158</v>
      </c>
      <c r="F264" s="64">
        <f>1-E264</f>
        <v>0.85628450517862842</v>
      </c>
      <c r="G264" s="64">
        <f>B264+(0.1728*(E264/F264))</f>
        <v>1.069102086753809</v>
      </c>
      <c r="H264" s="64">
        <f>G264*D264</f>
        <v>42229.532426775455</v>
      </c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</row>
    <row r="266" spans="1:88">
      <c r="B266" s="320" t="s">
        <v>403</v>
      </c>
      <c r="C266" s="320"/>
      <c r="D266" s="320"/>
      <c r="E266" s="320"/>
      <c r="J266" s="318" t="s">
        <v>69</v>
      </c>
      <c r="K266" s="318"/>
      <c r="L266" s="318"/>
      <c r="M266" s="318"/>
      <c r="N266" s="318"/>
      <c r="O266" s="318"/>
    </row>
    <row r="267" spans="1:88" ht="18" customHeight="1">
      <c r="B267" s="320"/>
      <c r="C267" s="320"/>
      <c r="D267" s="320"/>
      <c r="E267" s="320"/>
      <c r="J267" s="318" t="s">
        <v>73</v>
      </c>
      <c r="K267" s="318"/>
      <c r="L267" s="318"/>
      <c r="M267" s="20"/>
      <c r="N267" s="317" t="s">
        <v>74</v>
      </c>
      <c r="O267" s="317"/>
    </row>
    <row r="268" spans="1:88">
      <c r="B268" s="320"/>
      <c r="C268" s="320"/>
      <c r="D268" s="320"/>
      <c r="E268" s="320"/>
      <c r="J268" s="318" t="str">
        <f>_xlfn.CONCAT(G273," ",B273," ","+"," ",G274," ","("," ",B274," ","+"," ",G275," ",B275," ",")"," ","--&gt;"," ",M273," ",H273," ","+"," ",M274," ",H274," ","+"," ",M275," ",H275)</f>
        <v>1 CH4 + 2 ( O2 + 3.76 N2 ) --&gt; 1 CO2 + 2 H2O + 7.52 N2</v>
      </c>
      <c r="K268" s="318"/>
      <c r="L268" s="318"/>
      <c r="M268" s="318"/>
      <c r="N268" s="318"/>
      <c r="O268" s="318"/>
    </row>
    <row r="269" spans="1:88">
      <c r="B269" s="313" t="s">
        <v>507</v>
      </c>
      <c r="C269" s="313"/>
      <c r="D269" s="313"/>
      <c r="E269" s="313"/>
    </row>
    <row r="271" spans="1:88" ht="16.95" customHeight="1">
      <c r="C271" s="14" t="s">
        <v>1</v>
      </c>
      <c r="D271" s="14" t="s">
        <v>5</v>
      </c>
      <c r="E271" s="14" t="s">
        <v>319</v>
      </c>
      <c r="H271" s="52" t="s">
        <v>303</v>
      </c>
      <c r="I271" s="14" t="s">
        <v>1</v>
      </c>
      <c r="J271" s="14" t="s">
        <v>5</v>
      </c>
      <c r="K271" s="14" t="s">
        <v>319</v>
      </c>
    </row>
    <row r="272" spans="1:88" ht="18" customHeight="1">
      <c r="B272" s="52" t="s">
        <v>405</v>
      </c>
      <c r="C272" s="20" t="s">
        <v>10</v>
      </c>
      <c r="D272" s="5" t="s">
        <v>78</v>
      </c>
      <c r="E272" s="20" t="s">
        <v>41</v>
      </c>
      <c r="F272" s="14" t="s">
        <v>43</v>
      </c>
      <c r="H272" s="20" t="s">
        <v>40</v>
      </c>
      <c r="I272" s="20" t="s">
        <v>10</v>
      </c>
      <c r="J272" s="5" t="s">
        <v>78</v>
      </c>
      <c r="K272" s="20" t="s">
        <v>41</v>
      </c>
      <c r="L272" s="14" t="s">
        <v>43</v>
      </c>
    </row>
    <row r="273" spans="1:13" ht="18" customHeight="1">
      <c r="B273" s="20" t="s">
        <v>64</v>
      </c>
      <c r="C273" s="14">
        <f>Ore_to_PI!EC118</f>
        <v>44.927545117863247</v>
      </c>
      <c r="D273" s="14">
        <f>MW_CH4</f>
        <v>1.604276E-2</v>
      </c>
      <c r="E273" s="14">
        <f>C273/D273</f>
        <v>2800.4872676436753</v>
      </c>
      <c r="F273" s="59" t="s">
        <v>32</v>
      </c>
      <c r="G273" s="14">
        <v>1</v>
      </c>
      <c r="H273" s="7" t="s">
        <v>63</v>
      </c>
      <c r="I273" s="14">
        <f>J273*K273</f>
        <v>123.24888455154462</v>
      </c>
      <c r="J273" s="14">
        <f>MW_CO2</f>
        <v>4.4009800000000002E-2</v>
      </c>
      <c r="K273" s="14">
        <f>M273*E273</f>
        <v>2800.4872676436753</v>
      </c>
      <c r="L273" s="59" t="s">
        <v>34</v>
      </c>
      <c r="M273" s="14">
        <v>1</v>
      </c>
    </row>
    <row r="274" spans="1:13" ht="18" customHeight="1">
      <c r="B274" s="7" t="s">
        <v>23</v>
      </c>
      <c r="C274" s="14">
        <f>E274*D274</f>
        <v>179.22446395975288</v>
      </c>
      <c r="D274" s="14">
        <f>MW_O2</f>
        <v>3.1998800000000001E-2</v>
      </c>
      <c r="E274" s="14">
        <f>(K273+(K274/2))</f>
        <v>5600.9745352873506</v>
      </c>
      <c r="F274" s="59" t="s">
        <v>33</v>
      </c>
      <c r="G274" s="14">
        <f>E274/E273</f>
        <v>2</v>
      </c>
      <c r="H274" s="20" t="s">
        <v>67</v>
      </c>
      <c r="I274" s="14">
        <f t="shared" ref="I274:I275" si="33">J274*K274</f>
        <v>100.90312452607151</v>
      </c>
      <c r="J274" s="14">
        <f>MW_H2O</f>
        <v>1.8015280000000002E-2</v>
      </c>
      <c r="K274" s="14">
        <f>M274*E273</f>
        <v>5600.9745352873506</v>
      </c>
      <c r="L274" s="59" t="s">
        <v>35</v>
      </c>
      <c r="M274" s="14">
        <v>2</v>
      </c>
    </row>
    <row r="275" spans="1:13" ht="18" customHeight="1">
      <c r="B275" s="7" t="s">
        <v>66</v>
      </c>
      <c r="C275" s="14">
        <f>E275*D275</f>
        <v>589.9544833491783</v>
      </c>
      <c r="D275" s="14">
        <f>MW_N2</f>
        <v>2.801348E-2</v>
      </c>
      <c r="E275" s="14">
        <f>E274*G275</f>
        <v>21059.664252680435</v>
      </c>
      <c r="F275" s="59" t="s">
        <v>154</v>
      </c>
      <c r="G275" s="14">
        <v>3.76</v>
      </c>
      <c r="H275" s="7" t="s">
        <v>66</v>
      </c>
      <c r="I275" s="14">
        <f t="shared" si="33"/>
        <v>589.9544833491783</v>
      </c>
      <c r="J275" s="14">
        <f>MW_N2</f>
        <v>2.801348E-2</v>
      </c>
      <c r="K275" s="14">
        <f>E275</f>
        <v>21059.664252680435</v>
      </c>
      <c r="L275" s="59" t="s">
        <v>36</v>
      </c>
      <c r="M275" s="14">
        <f>G275*G274</f>
        <v>7.52</v>
      </c>
    </row>
    <row r="276" spans="1:13">
      <c r="B276" s="14" t="s">
        <v>18</v>
      </c>
      <c r="C276" s="18">
        <f>SUM(C273:C275)</f>
        <v>814.10649242679438</v>
      </c>
      <c r="D276" s="18"/>
      <c r="E276" s="18">
        <f>SUM(E273:E275)</f>
        <v>29461.126055611461</v>
      </c>
      <c r="I276" s="18">
        <f>SUM(I273:I275)</f>
        <v>814.10649242679438</v>
      </c>
      <c r="J276" s="18"/>
      <c r="K276" s="18">
        <f>SUM(K273:K275)</f>
        <v>29461.126055611461</v>
      </c>
    </row>
    <row r="278" spans="1:13">
      <c r="C278" s="14" t="s">
        <v>1</v>
      </c>
      <c r="D278" s="14" t="s">
        <v>5</v>
      </c>
      <c r="E278" s="14" t="s">
        <v>250</v>
      </c>
      <c r="F278" s="14" t="s">
        <v>306</v>
      </c>
      <c r="G278" s="14" t="s">
        <v>482</v>
      </c>
      <c r="H278" s="14" t="s">
        <v>482</v>
      </c>
    </row>
    <row r="279" spans="1:13" ht="18" customHeight="1">
      <c r="C279" s="20" t="s">
        <v>10</v>
      </c>
      <c r="D279" s="5" t="s">
        <v>78</v>
      </c>
      <c r="E279" s="20" t="s">
        <v>91</v>
      </c>
      <c r="F279" s="20" t="s">
        <v>271</v>
      </c>
      <c r="G279" s="20" t="s">
        <v>271</v>
      </c>
      <c r="H279" s="20" t="s">
        <v>57</v>
      </c>
    </row>
    <row r="280" spans="1:13">
      <c r="B280" s="20" t="s">
        <v>135</v>
      </c>
      <c r="C280" s="14">
        <f>(C281*D280)/D281</f>
        <v>15.080932420647436</v>
      </c>
      <c r="D280" s="14">
        <f>MW_H*4</f>
        <v>4.0317600000000006E-3</v>
      </c>
      <c r="E280" s="14">
        <f>1.0401+(0.1728*(C283/C284))</f>
        <v>1.1274125921766986</v>
      </c>
      <c r="F280" s="14">
        <f>LHV_CH4</f>
        <v>50000</v>
      </c>
      <c r="G280" s="14">
        <f>E280*F280</f>
        <v>56370.629608834934</v>
      </c>
      <c r="H280" s="14">
        <f>G280*D273</f>
        <v>904.34048186343273</v>
      </c>
    </row>
    <row r="281" spans="1:13" ht="16.95" customHeight="1">
      <c r="B281" s="20" t="s">
        <v>64</v>
      </c>
      <c r="C281" s="14">
        <f>C273</f>
        <v>44.927545117863247</v>
      </c>
      <c r="D281" s="14">
        <f>MW_C</f>
        <v>1.2010999999999999E-2</v>
      </c>
    </row>
    <row r="283" spans="1:13" ht="15" customHeight="1">
      <c r="A283" s="316" t="s">
        <v>609</v>
      </c>
      <c r="B283" s="20" t="s">
        <v>480</v>
      </c>
      <c r="C283" s="14">
        <f>C280/C281</f>
        <v>0.33567230039130802</v>
      </c>
    </row>
    <row r="284" spans="1:13">
      <c r="A284" s="316"/>
      <c r="B284" s="62" t="s">
        <v>481</v>
      </c>
      <c r="C284" s="14">
        <f>(1-C283)</f>
        <v>0.66432769960869198</v>
      </c>
    </row>
    <row r="285" spans="1:13">
      <c r="A285" s="93"/>
      <c r="B285" s="18"/>
    </row>
  </sheetData>
  <mergeCells count="91">
    <mergeCell ref="CJ201:CJ206"/>
    <mergeCell ref="CJ217:CJ221"/>
    <mergeCell ref="CJ234:CJ236"/>
    <mergeCell ref="CJ250:CJ260"/>
    <mergeCell ref="BK216:BN217"/>
    <mergeCell ref="BO218:BO219"/>
    <mergeCell ref="BK228:BN229"/>
    <mergeCell ref="A60:A61"/>
    <mergeCell ref="H51:M52"/>
    <mergeCell ref="B44:C44"/>
    <mergeCell ref="B35:B36"/>
    <mergeCell ref="C47:F48"/>
    <mergeCell ref="H48:M48"/>
    <mergeCell ref="J59:J6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O10:U10"/>
    <mergeCell ref="O11:Q11"/>
    <mergeCell ref="T11:U11"/>
    <mergeCell ref="O12:Q12"/>
    <mergeCell ref="T12:U12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V15:AB15"/>
    <mergeCell ref="V10:AB10"/>
    <mergeCell ref="V11:AB11"/>
    <mergeCell ref="V12:AB12"/>
    <mergeCell ref="V13:AB13"/>
    <mergeCell ref="V14:AB14"/>
    <mergeCell ref="V17:AB17"/>
    <mergeCell ref="O18:Q18"/>
    <mergeCell ref="R18:S18"/>
    <mergeCell ref="T18:U18"/>
    <mergeCell ref="V18:AB19"/>
    <mergeCell ref="Y69:AF71"/>
    <mergeCell ref="B208:E210"/>
    <mergeCell ref="J208:O208"/>
    <mergeCell ref="J209:L209"/>
    <mergeCell ref="N209:O209"/>
    <mergeCell ref="J210:O210"/>
    <mergeCell ref="B69:G70"/>
    <mergeCell ref="H78:L78"/>
    <mergeCell ref="H103:K103"/>
    <mergeCell ref="G107:G113"/>
    <mergeCell ref="X88:X91"/>
    <mergeCell ref="C158:G159"/>
    <mergeCell ref="B180:G182"/>
    <mergeCell ref="B269:E269"/>
    <mergeCell ref="B250:E252"/>
    <mergeCell ref="J250:O250"/>
    <mergeCell ref="J251:L251"/>
    <mergeCell ref="N251:O251"/>
    <mergeCell ref="J252:O252"/>
    <mergeCell ref="B266:E268"/>
    <mergeCell ref="J266:O266"/>
    <mergeCell ref="J267:L267"/>
    <mergeCell ref="N267:O267"/>
    <mergeCell ref="J268:O268"/>
    <mergeCell ref="A283:A284"/>
    <mergeCell ref="B236:E236"/>
    <mergeCell ref="N234:O234"/>
    <mergeCell ref="J235:O235"/>
    <mergeCell ref="A89:A93"/>
    <mergeCell ref="D143:S143"/>
    <mergeCell ref="N107:N112"/>
    <mergeCell ref="A98:A101"/>
    <mergeCell ref="B211:E211"/>
    <mergeCell ref="B233:E235"/>
    <mergeCell ref="A114:A117"/>
    <mergeCell ref="J233:O233"/>
    <mergeCell ref="J234:L234"/>
    <mergeCell ref="A223:A225"/>
    <mergeCell ref="A229:A231"/>
    <mergeCell ref="B253:E253"/>
  </mergeCells>
  <conditionalFormatting sqref="I162">
    <cfRule type="cellIs" dxfId="36" priority="2" operator="notEqual">
      <formula>0</formula>
    </cfRule>
  </conditionalFormatting>
  <conditionalFormatting sqref="I187">
    <cfRule type="cellIs" dxfId="35" priority="1" operator="notEqual">
      <formula>0</formula>
    </cfRule>
  </conditionalFormatting>
  <hyperlinks>
    <hyperlink ref="A2" r:id="rId1" xr:uid="{00000000-0004-0000-0100-000000000000}"/>
    <hyperlink ref="J59" r:id="rId2" display="https://chem.libretexts.org/Bookshelves/Organic_Chemistry/Supplemental_Modules_(Organic_Chemistry)/Alkanes/Reactivity_of_Alkanes/Complete_vs._Incomplete_Combustion_of_Alkanes " xr:uid="{00000000-0004-0000-0100-000001000000}"/>
  </hyperlinks>
  <pageMargins left="0.7" right="0.7" top="0.75" bottom="0.75" header="0.3" footer="0.3"/>
  <pageSetup paperSize="9" orientation="portrait" horizontalDpi="0" verticalDpi="0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D4:I28"/>
  <sheetViews>
    <sheetView zoomScale="171" workbookViewId="0">
      <selection activeCell="F19" sqref="F19"/>
    </sheetView>
  </sheetViews>
  <sheetFormatPr defaultColWidth="11.5546875" defaultRowHeight="14.4"/>
  <cols>
    <col min="3" max="4" width="11.109375" customWidth="1"/>
    <col min="5" max="5" width="12.109375" customWidth="1"/>
    <col min="6" max="7" width="12.77734375" customWidth="1"/>
    <col min="8" max="9" width="14" customWidth="1"/>
  </cols>
  <sheetData>
    <row r="4" spans="4:9" ht="16.05" customHeight="1"/>
    <row r="5" spans="4:9" ht="19.05" customHeight="1">
      <c r="D5" s="218"/>
      <c r="E5" s="219" t="s">
        <v>195</v>
      </c>
      <c r="F5" s="222" t="s">
        <v>166</v>
      </c>
      <c r="G5" s="225" t="s">
        <v>244</v>
      </c>
      <c r="H5" s="222" t="s">
        <v>166</v>
      </c>
      <c r="I5" s="225" t="s">
        <v>244</v>
      </c>
    </row>
    <row r="6" spans="4:9" ht="19.95" customHeight="1">
      <c r="D6" s="218"/>
      <c r="E6" s="226" t="s">
        <v>91</v>
      </c>
      <c r="F6" s="227" t="s">
        <v>47</v>
      </c>
      <c r="G6" s="228" t="s">
        <v>47</v>
      </c>
      <c r="H6" s="227" t="s">
        <v>341</v>
      </c>
      <c r="I6" s="228" t="s">
        <v>341</v>
      </c>
    </row>
    <row r="7" spans="4:9" ht="19.05" customHeight="1">
      <c r="D7" s="380" t="s">
        <v>340</v>
      </c>
      <c r="E7" s="221" t="s">
        <v>462</v>
      </c>
      <c r="F7" s="224">
        <f>Ore_to_PI!F72</f>
        <v>88160.656904773379</v>
      </c>
      <c r="G7" s="229">
        <f>1.06*F7</f>
        <v>93450.29631905978</v>
      </c>
      <c r="H7" s="224">
        <f>F7/1000000000</f>
        <v>8.8160656904773385E-5</v>
      </c>
      <c r="I7" s="230">
        <f>G7/1000000000</f>
        <v>9.3450296319059779E-5</v>
      </c>
    </row>
    <row r="8" spans="4:9" ht="19.95" customHeight="1">
      <c r="D8" s="381"/>
      <c r="E8" s="221" t="s">
        <v>342</v>
      </c>
      <c r="F8" s="224">
        <f>Ore_to_PI!$AS$28+Ore_to_PI!$BL$35</f>
        <v>622271.50143934821</v>
      </c>
      <c r="G8" s="229">
        <f>F8</f>
        <v>622271.50143934821</v>
      </c>
      <c r="H8" s="224">
        <f t="shared" ref="H8:H18" si="0">F8/1000000000</f>
        <v>6.2227150143934825E-4</v>
      </c>
      <c r="I8" s="230">
        <f t="shared" ref="I8:I18" si="1">G8/1000000000</f>
        <v>6.2227150143934825E-4</v>
      </c>
    </row>
    <row r="9" spans="4:9" ht="19.05" customHeight="1">
      <c r="D9" s="382" t="s">
        <v>19</v>
      </c>
      <c r="E9" s="221" t="s">
        <v>462</v>
      </c>
      <c r="F9" s="224">
        <f>Ore_to_PI!K144</f>
        <v>241.59146310558401</v>
      </c>
      <c r="G9" s="229">
        <f>F9*1.06</f>
        <v>256.08695089191906</v>
      </c>
      <c r="H9" s="224">
        <f t="shared" si="0"/>
        <v>2.4159146310558403E-7</v>
      </c>
      <c r="I9" s="230">
        <f t="shared" si="1"/>
        <v>2.5608695089191904E-7</v>
      </c>
    </row>
    <row r="10" spans="4:9" ht="19.05" customHeight="1">
      <c r="D10" s="383"/>
      <c r="E10" s="221" t="s">
        <v>463</v>
      </c>
      <c r="F10" s="224">
        <f>Ore_to_PI!K155</f>
        <v>22.443944839719084</v>
      </c>
      <c r="G10" s="229">
        <f>F10*1.04</f>
        <v>23.341702633307847</v>
      </c>
      <c r="H10" s="224">
        <f t="shared" si="0"/>
        <v>2.2443944839719083E-8</v>
      </c>
      <c r="I10" s="230">
        <f t="shared" si="1"/>
        <v>2.3341702633307846E-8</v>
      </c>
    </row>
    <row r="11" spans="4:9" ht="19.05" customHeight="1">
      <c r="D11" s="383"/>
      <c r="E11" s="221" t="s">
        <v>196</v>
      </c>
      <c r="F11" s="224">
        <f>Ore_to_PI!AS113+Ore_to_PI!BK116</f>
        <v>2859.5637429090343</v>
      </c>
      <c r="G11" s="229">
        <f>F11</f>
        <v>2859.5637429090343</v>
      </c>
      <c r="H11" s="224">
        <f t="shared" si="0"/>
        <v>2.8595637429090342E-6</v>
      </c>
      <c r="I11" s="230">
        <f t="shared" si="1"/>
        <v>2.8595637429090342E-6</v>
      </c>
    </row>
    <row r="12" spans="4:9" ht="19.95" customHeight="1">
      <c r="D12" s="384"/>
      <c r="E12" s="221" t="s">
        <v>343</v>
      </c>
      <c r="F12" s="224">
        <f>Ore_to_PI!BQ156</f>
        <v>1881501.0603161759</v>
      </c>
      <c r="G12" s="229">
        <f>F12*1.04</f>
        <v>1956761.102728823</v>
      </c>
      <c r="H12" s="224">
        <f t="shared" si="0"/>
        <v>1.8815010603161759E-3</v>
      </c>
      <c r="I12" s="230">
        <f t="shared" si="1"/>
        <v>1.9567611027288228E-3</v>
      </c>
    </row>
    <row r="13" spans="4:9" ht="19.05" customHeight="1">
      <c r="D13" s="385" t="s">
        <v>278</v>
      </c>
      <c r="E13" s="221" t="s">
        <v>462</v>
      </c>
      <c r="F13" s="224">
        <f>Ore_to_PI!K226</f>
        <v>21827.121921766418</v>
      </c>
      <c r="G13" s="229">
        <f>F13*1.06</f>
        <v>23136.749237072403</v>
      </c>
      <c r="H13" s="224">
        <f t="shared" si="0"/>
        <v>2.1827121921766417E-5</v>
      </c>
      <c r="I13" s="230">
        <f t="shared" si="1"/>
        <v>2.3136749237072402E-5</v>
      </c>
    </row>
    <row r="14" spans="4:9" ht="19.05" customHeight="1">
      <c r="D14" s="386"/>
      <c r="E14" s="221" t="s">
        <v>343</v>
      </c>
      <c r="F14" s="224">
        <f>Ore_to_PI!BQ248</f>
        <v>10206361.17590105</v>
      </c>
      <c r="G14" s="229">
        <f>F14*1.04</f>
        <v>10614615.622937093</v>
      </c>
      <c r="H14" s="224">
        <f t="shared" si="0"/>
        <v>1.020636117590105E-2</v>
      </c>
      <c r="I14" s="230">
        <f t="shared" si="1"/>
        <v>1.0614615622937093E-2</v>
      </c>
    </row>
    <row r="15" spans="4:9" ht="19.95" customHeight="1">
      <c r="D15" s="387"/>
      <c r="E15" s="221" t="s">
        <v>342</v>
      </c>
      <c r="F15" s="224">
        <f>Ore_to_PI!AA195+Ore_to_PI!AS190+Ore_to_PI!BK195+Ore_to_PI!DB229</f>
        <v>114140.71648877421</v>
      </c>
      <c r="G15" s="229">
        <f>F15</f>
        <v>114140.71648877421</v>
      </c>
      <c r="H15" s="224">
        <f t="shared" si="0"/>
        <v>1.1414071648877421E-4</v>
      </c>
      <c r="I15" s="230">
        <f t="shared" si="1"/>
        <v>1.1414071648877421E-4</v>
      </c>
    </row>
    <row r="16" spans="4:9" ht="19.05" customHeight="1">
      <c r="D16" s="388" t="s">
        <v>277</v>
      </c>
      <c r="E16" s="221" t="s">
        <v>342</v>
      </c>
      <c r="F16" s="224">
        <f>Ore_to_PI!ES117</f>
        <v>318930.1042317453</v>
      </c>
      <c r="G16" s="229">
        <f>F16</f>
        <v>318930.1042317453</v>
      </c>
      <c r="H16" s="224">
        <f t="shared" si="0"/>
        <v>3.1893010423174529E-4</v>
      </c>
      <c r="I16" s="230">
        <f t="shared" si="1"/>
        <v>3.1893010423174529E-4</v>
      </c>
    </row>
    <row r="17" spans="4:9" ht="19.05" customHeight="1">
      <c r="D17" s="388"/>
      <c r="E17" s="221" t="s">
        <v>343</v>
      </c>
      <c r="F17" s="224">
        <f>Ore_to_PI!EB118</f>
        <v>2246377.2558931625</v>
      </c>
      <c r="G17" s="229">
        <f>F17*1.04</f>
        <v>2336232.3461288889</v>
      </c>
      <c r="H17" s="224">
        <f t="shared" si="0"/>
        <v>2.2463772558931625E-3</v>
      </c>
      <c r="I17" s="230">
        <f t="shared" si="1"/>
        <v>2.3362323461288887E-3</v>
      </c>
    </row>
    <row r="18" spans="4:9" ht="19.95" customHeight="1">
      <c r="D18" s="389"/>
      <c r="E18" s="220" t="s">
        <v>448</v>
      </c>
      <c r="F18" s="223">
        <f>Ore_to_PI!EB105</f>
        <v>194131.36779323628</v>
      </c>
      <c r="G18" s="231">
        <f>1.06*F18</f>
        <v>205779.24986083046</v>
      </c>
      <c r="H18" s="224">
        <f t="shared" si="0"/>
        <v>1.9413136779323627E-4</v>
      </c>
      <c r="I18" s="230">
        <f t="shared" si="1"/>
        <v>2.0577924986083047E-4</v>
      </c>
    </row>
    <row r="19" spans="4:9">
      <c r="F19">
        <f>SUM(F7:F18)</f>
        <v>15696824.560040887</v>
      </c>
    </row>
    <row r="23" spans="4:9">
      <c r="E23" s="134" t="s">
        <v>465</v>
      </c>
      <c r="F23" s="14" t="s">
        <v>464</v>
      </c>
      <c r="G23" s="14" t="s">
        <v>492</v>
      </c>
    </row>
    <row r="24" spans="4:9">
      <c r="E24" s="134" t="s">
        <v>462</v>
      </c>
      <c r="F24">
        <f>Ore_to_PI!V222+Ore_to_PI!V140+Ore_to_PI!V59</f>
        <v>117713.24639155329</v>
      </c>
      <c r="G24">
        <f t="shared" ref="G24:G27" si="2">F24/1000000000</f>
        <v>1.1771324639155328E-4</v>
      </c>
    </row>
    <row r="25" spans="4:9">
      <c r="E25" s="134" t="s">
        <v>342</v>
      </c>
      <c r="F25">
        <f>Ore_to_PI!EU117+Ore_to_PI!DD229+Ore_to_PI!BM195+Ore_to_PI!AU190+Ore_to_PI!AC195+Ore_to_PI!AU113+Ore_to_PI!BM116+Ore_to_PI!BN35+Ore_to_PI!AU28</f>
        <v>1058348.7350491155</v>
      </c>
      <c r="G25">
        <f t="shared" si="2"/>
        <v>1.0583487350491155E-3</v>
      </c>
    </row>
    <row r="26" spans="4:9">
      <c r="E26" s="134" t="s">
        <v>343</v>
      </c>
      <c r="F26">
        <f>Ore_to_PI!CB152+Ore_to_PI!CB244+Ore_to_PI!EM114</f>
        <v>14864300.668385513</v>
      </c>
      <c r="G26">
        <f t="shared" si="2"/>
        <v>1.4864300668385512E-2</v>
      </c>
    </row>
    <row r="27" spans="4:9">
      <c r="E27" s="134" t="s">
        <v>463</v>
      </c>
      <c r="F27">
        <f>Ore_to_PI!V151</f>
        <v>24.076233417548465</v>
      </c>
      <c r="G27">
        <f t="shared" si="2"/>
        <v>2.4076233417548466E-8</v>
      </c>
    </row>
    <row r="28" spans="4:9">
      <c r="E28" s="134" t="s">
        <v>448</v>
      </c>
      <c r="F28">
        <f>Ore_to_PI!EM101</f>
        <v>29112.263489807588</v>
      </c>
      <c r="G28">
        <f>F28/1000000000</f>
        <v>2.9112263489807587E-5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CC238"/>
  <sheetViews>
    <sheetView topLeftCell="A108" zoomScale="34" zoomScaleNormal="20" workbookViewId="0">
      <selection activeCell="BP125" sqref="BP125"/>
    </sheetView>
  </sheetViews>
  <sheetFormatPr defaultColWidth="11.5546875" defaultRowHeight="14.4"/>
  <cols>
    <col min="3" max="3" width="11" customWidth="1"/>
    <col min="5" max="5" width="17" customWidth="1"/>
    <col min="6" max="6" width="13" customWidth="1"/>
    <col min="7" max="7" width="11.109375" customWidth="1"/>
    <col min="8" max="8" width="13" customWidth="1"/>
    <col min="9" max="9" width="11.109375" customWidth="1"/>
    <col min="10" max="10" width="13" customWidth="1"/>
    <col min="11" max="11" width="11.109375" customWidth="1"/>
    <col min="12" max="14" width="13" customWidth="1"/>
    <col min="15" max="29" width="11.109375" customWidth="1"/>
    <col min="30" max="30" width="13" customWidth="1"/>
    <col min="31" max="31" width="11.77734375" customWidth="1"/>
    <col min="32" max="37" width="11" customWidth="1"/>
    <col min="38" max="38" width="12.33203125" customWidth="1"/>
    <col min="39" max="41" width="11" customWidth="1"/>
    <col min="42" max="42" width="13" customWidth="1"/>
    <col min="47" max="47" width="11" customWidth="1"/>
    <col min="48" max="48" width="16" customWidth="1"/>
    <col min="49" max="55" width="11" customWidth="1"/>
    <col min="56" max="57" width="13" customWidth="1"/>
    <col min="58" max="60" width="11" customWidth="1"/>
    <col min="61" max="61" width="12.33203125" customWidth="1"/>
    <col min="62" max="62" width="13" customWidth="1"/>
    <col min="67" max="67" width="11.77734375" customWidth="1"/>
    <col min="68" max="69" width="13" customWidth="1"/>
    <col min="70" max="81" width="11" customWidth="1"/>
  </cols>
  <sheetData>
    <row r="1" spans="2:81" ht="112.05" customHeight="1">
      <c r="C1" s="234" t="s">
        <v>474</v>
      </c>
      <c r="AT1" s="248"/>
      <c r="AU1" s="234" t="s">
        <v>325</v>
      </c>
      <c r="AV1" s="234" t="s">
        <v>326</v>
      </c>
      <c r="AW1" s="234" t="s">
        <v>327</v>
      </c>
      <c r="AX1" s="234" t="s">
        <v>455</v>
      </c>
      <c r="AY1" s="234" t="s">
        <v>435</v>
      </c>
      <c r="AZ1" s="234" t="s">
        <v>434</v>
      </c>
      <c r="BA1" s="234" t="s">
        <v>351</v>
      </c>
      <c r="BB1" s="234" t="s">
        <v>348</v>
      </c>
      <c r="BC1" s="234" t="s">
        <v>362</v>
      </c>
      <c r="BD1" s="234" t="s">
        <v>349</v>
      </c>
      <c r="BE1" s="234" t="s">
        <v>344</v>
      </c>
      <c r="BF1" s="234" t="s">
        <v>514</v>
      </c>
      <c r="BG1" s="234" t="s">
        <v>516</v>
      </c>
      <c r="BH1" s="234" t="s">
        <v>76</v>
      </c>
      <c r="BI1" s="234" t="s">
        <v>337</v>
      </c>
      <c r="BN1" s="248"/>
      <c r="BO1" s="234" t="s">
        <v>325</v>
      </c>
      <c r="BP1" s="234" t="s">
        <v>326</v>
      </c>
      <c r="BQ1" s="234" t="s">
        <v>327</v>
      </c>
      <c r="BR1" s="234" t="s">
        <v>455</v>
      </c>
      <c r="BS1" s="234" t="s">
        <v>435</v>
      </c>
      <c r="BT1" s="234" t="s">
        <v>434</v>
      </c>
      <c r="BU1" s="234" t="s">
        <v>351</v>
      </c>
      <c r="BV1" s="234" t="s">
        <v>348</v>
      </c>
      <c r="BW1" s="234" t="s">
        <v>362</v>
      </c>
      <c r="BX1" s="234" t="s">
        <v>349</v>
      </c>
      <c r="BY1" s="234" t="s">
        <v>344</v>
      </c>
      <c r="BZ1" s="234" t="s">
        <v>514</v>
      </c>
      <c r="CA1" s="234" t="s">
        <v>516</v>
      </c>
      <c r="CB1" s="234" t="s">
        <v>76</v>
      </c>
      <c r="CC1" s="234" t="s">
        <v>337</v>
      </c>
    </row>
    <row r="2" spans="2:81">
      <c r="B2" s="134" t="s">
        <v>333</v>
      </c>
      <c r="C2" s="249">
        <v>1</v>
      </c>
      <c r="AT2" s="134" t="s">
        <v>333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G2" s="249">
        <v>0</v>
      </c>
      <c r="BH2" s="249">
        <v>0</v>
      </c>
      <c r="BI2" s="249">
        <v>0</v>
      </c>
      <c r="BN2" s="134" t="s">
        <v>333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  <c r="BZ2" s="249">
        <v>0</v>
      </c>
      <c r="CA2" s="249">
        <v>0</v>
      </c>
      <c r="CB2" s="249">
        <v>0</v>
      </c>
      <c r="CC2" s="249">
        <v>0</v>
      </c>
    </row>
    <row r="3" spans="2:81">
      <c r="B3" s="134" t="s">
        <v>335</v>
      </c>
      <c r="C3" s="249">
        <v>1</v>
      </c>
      <c r="AT3" s="134" t="s">
        <v>335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G3" s="249">
        <v>0</v>
      </c>
      <c r="BH3" s="249">
        <v>0</v>
      </c>
      <c r="BI3" s="249">
        <v>0</v>
      </c>
      <c r="BN3" s="134" t="s">
        <v>335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  <c r="BZ3" s="249">
        <v>0</v>
      </c>
      <c r="CA3" s="249">
        <v>0</v>
      </c>
      <c r="CB3" s="249">
        <v>0</v>
      </c>
      <c r="CC3" s="249">
        <v>0</v>
      </c>
    </row>
    <row r="4" spans="2:81">
      <c r="B4" s="134" t="s">
        <v>336</v>
      </c>
      <c r="C4" s="249">
        <v>1</v>
      </c>
      <c r="AT4" s="134" t="s">
        <v>336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G4" s="249">
        <v>0</v>
      </c>
      <c r="BH4" s="249">
        <v>0</v>
      </c>
      <c r="BI4" s="249">
        <v>0</v>
      </c>
      <c r="BN4" s="134" t="s">
        <v>336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  <c r="BZ4" s="249">
        <v>0</v>
      </c>
      <c r="CA4" s="249">
        <v>0</v>
      </c>
      <c r="CB4" s="249">
        <v>0</v>
      </c>
      <c r="CC4" s="249">
        <v>0</v>
      </c>
    </row>
    <row r="5" spans="2:81">
      <c r="B5" s="134" t="s">
        <v>355</v>
      </c>
      <c r="C5" s="249">
        <v>1</v>
      </c>
      <c r="AT5" s="134" t="s">
        <v>355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G5" s="249">
        <v>0</v>
      </c>
      <c r="BH5" s="249">
        <v>0</v>
      </c>
      <c r="BI5" s="249">
        <v>0</v>
      </c>
      <c r="BN5" s="134" t="s">
        <v>355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  <c r="BZ5" s="249">
        <v>0</v>
      </c>
      <c r="CA5" s="249">
        <v>0</v>
      </c>
      <c r="CB5" s="249">
        <v>0</v>
      </c>
      <c r="CC5" s="249">
        <v>0</v>
      </c>
    </row>
    <row r="6" spans="2:81">
      <c r="B6" s="134" t="s">
        <v>377</v>
      </c>
      <c r="C6" s="249">
        <v>1</v>
      </c>
      <c r="AM6" s="134"/>
      <c r="AT6" s="134" t="s">
        <v>377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G6" s="249">
        <v>0</v>
      </c>
      <c r="BH6" s="249">
        <v>0</v>
      </c>
      <c r="BI6" s="249">
        <v>0</v>
      </c>
      <c r="BN6" s="134" t="s">
        <v>377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  <c r="BZ6" s="249">
        <v>0</v>
      </c>
      <c r="CA6" s="249">
        <v>0</v>
      </c>
      <c r="CB6" s="249">
        <v>0</v>
      </c>
      <c r="CC6" s="249">
        <v>0</v>
      </c>
    </row>
    <row r="7" spans="2:81">
      <c r="B7" s="134" t="s">
        <v>466</v>
      </c>
      <c r="C7" s="249">
        <v>1</v>
      </c>
      <c r="AM7" s="134"/>
      <c r="AT7" s="134" t="s">
        <v>466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G7" s="249">
        <v>0</v>
      </c>
      <c r="BH7" s="249">
        <v>0</v>
      </c>
      <c r="BI7" s="249">
        <v>0</v>
      </c>
      <c r="BN7" s="134" t="s">
        <v>466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  <c r="BZ7" s="249">
        <v>0</v>
      </c>
      <c r="CA7" s="249">
        <v>0</v>
      </c>
      <c r="CB7" s="249">
        <v>0</v>
      </c>
      <c r="CC7" s="249">
        <v>0</v>
      </c>
    </row>
    <row r="8" spans="2:81">
      <c r="B8" s="134" t="s">
        <v>467</v>
      </c>
      <c r="C8" s="249">
        <v>1</v>
      </c>
      <c r="AM8" s="134"/>
      <c r="AT8" s="134" t="s">
        <v>467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G8" s="249">
        <v>0</v>
      </c>
      <c r="BH8" s="249">
        <v>0</v>
      </c>
      <c r="BI8" s="249">
        <v>0</v>
      </c>
      <c r="BN8" s="134" t="s">
        <v>467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  <c r="BZ8" s="249">
        <v>0</v>
      </c>
      <c r="CA8" s="249">
        <v>0</v>
      </c>
      <c r="CB8" s="249">
        <v>0</v>
      </c>
      <c r="CC8" s="249">
        <v>0</v>
      </c>
    </row>
    <row r="9" spans="2:81">
      <c r="B9" s="134" t="s">
        <v>411</v>
      </c>
      <c r="C9" s="249">
        <v>1</v>
      </c>
      <c r="AM9" s="134"/>
      <c r="AT9" s="134" t="s">
        <v>411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G9" s="249">
        <v>0</v>
      </c>
      <c r="BH9" s="249">
        <v>0</v>
      </c>
      <c r="BI9" s="249">
        <v>0</v>
      </c>
      <c r="BN9" s="134" t="s">
        <v>411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  <c r="BZ9" s="249">
        <v>0</v>
      </c>
      <c r="CA9" s="249">
        <v>0</v>
      </c>
      <c r="CB9" s="249">
        <v>0</v>
      </c>
      <c r="CC9" s="249">
        <v>0</v>
      </c>
    </row>
    <row r="10" spans="2:81">
      <c r="B10" s="134" t="s">
        <v>459</v>
      </c>
      <c r="C10" s="249">
        <v>1</v>
      </c>
      <c r="AM10" s="134"/>
      <c r="AT10" s="134" t="s">
        <v>459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G10" s="249">
        <v>0</v>
      </c>
      <c r="BH10" s="249">
        <v>0</v>
      </c>
      <c r="BI10" s="249">
        <v>0</v>
      </c>
      <c r="BN10" s="134" t="s">
        <v>459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  <c r="BZ10" s="249">
        <v>0</v>
      </c>
      <c r="CA10" s="249">
        <v>0</v>
      </c>
      <c r="CB10" s="249">
        <v>0</v>
      </c>
      <c r="CC10" s="249">
        <v>0</v>
      </c>
    </row>
    <row r="11" spans="2:81" ht="16.05" customHeight="1">
      <c r="B11" s="232" t="s">
        <v>442</v>
      </c>
      <c r="C11" s="249">
        <v>1</v>
      </c>
      <c r="AT11" s="232" t="s">
        <v>442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G11" s="249">
        <v>0</v>
      </c>
      <c r="BH11" s="249">
        <v>0</v>
      </c>
      <c r="BI11" s="249">
        <v>0</v>
      </c>
      <c r="BN11" s="232" t="s">
        <v>442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  <c r="BZ11" s="249">
        <v>0</v>
      </c>
      <c r="CA11" s="249">
        <v>0</v>
      </c>
      <c r="CB11" s="249">
        <v>0</v>
      </c>
      <c r="CC11" s="249">
        <v>0</v>
      </c>
    </row>
    <row r="12" spans="2:81">
      <c r="B12" s="134" t="s">
        <v>409</v>
      </c>
      <c r="C12" s="249">
        <v>1</v>
      </c>
      <c r="AT12" s="134" t="s">
        <v>409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G12" s="249">
        <v>0</v>
      </c>
      <c r="BH12" s="249">
        <v>0</v>
      </c>
      <c r="BI12" s="249">
        <v>0</v>
      </c>
      <c r="BN12" s="134" t="s">
        <v>409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  <c r="BZ12" s="249">
        <v>0</v>
      </c>
      <c r="CA12" s="249">
        <v>0</v>
      </c>
      <c r="CB12" s="249">
        <v>0</v>
      </c>
      <c r="CC12" s="249">
        <v>0</v>
      </c>
    </row>
    <row r="13" spans="2:81" ht="16.05" customHeight="1">
      <c r="B13" s="232" t="s">
        <v>412</v>
      </c>
      <c r="C13" s="249">
        <v>1</v>
      </c>
      <c r="AT13" s="232" t="s">
        <v>412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G13" s="249">
        <v>0</v>
      </c>
      <c r="BH13" s="249">
        <v>0</v>
      </c>
      <c r="BI13" s="249">
        <v>0</v>
      </c>
      <c r="BN13" s="232" t="s">
        <v>412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  <c r="BZ13" s="249">
        <v>0</v>
      </c>
      <c r="CA13" s="249">
        <v>0</v>
      </c>
      <c r="CB13" s="249">
        <v>0</v>
      </c>
      <c r="CC13" s="249">
        <v>0</v>
      </c>
    </row>
    <row r="14" spans="2:81">
      <c r="B14" s="134" t="s">
        <v>437</v>
      </c>
      <c r="C14" s="249">
        <v>1</v>
      </c>
      <c r="AT14" s="134" t="s">
        <v>437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G14" s="249">
        <v>0</v>
      </c>
      <c r="BH14" s="249">
        <v>0</v>
      </c>
      <c r="BI14" s="249">
        <v>0</v>
      </c>
      <c r="BN14" s="134" t="s">
        <v>437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  <c r="BZ14" s="249">
        <v>0</v>
      </c>
      <c r="CA14" s="249">
        <v>0</v>
      </c>
      <c r="CB14" s="249">
        <v>0</v>
      </c>
      <c r="CC14" s="249">
        <v>0</v>
      </c>
    </row>
    <row r="15" spans="2:81">
      <c r="B15" s="233" t="s">
        <v>430</v>
      </c>
      <c r="C15" s="249">
        <v>1</v>
      </c>
      <c r="AT15" s="233" t="s">
        <v>430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G15" s="249">
        <v>0</v>
      </c>
      <c r="BH15" s="249">
        <v>0</v>
      </c>
      <c r="BI15" s="249">
        <v>0</v>
      </c>
      <c r="BN15" s="233" t="s">
        <v>430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  <c r="BZ15" s="249">
        <v>0</v>
      </c>
      <c r="CA15" s="249">
        <v>0</v>
      </c>
      <c r="CB15" s="249">
        <v>0</v>
      </c>
      <c r="CC15" s="249">
        <v>0</v>
      </c>
    </row>
    <row r="16" spans="2:81">
      <c r="B16" s="134" t="s">
        <v>416</v>
      </c>
      <c r="C16" s="249">
        <v>1</v>
      </c>
      <c r="AT16" s="134" t="s">
        <v>416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G16" s="249">
        <v>0</v>
      </c>
      <c r="BH16" s="249">
        <v>0</v>
      </c>
      <c r="BI16" s="249">
        <v>0</v>
      </c>
      <c r="BN16" s="134" t="s">
        <v>416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  <c r="BZ16" s="249">
        <v>0</v>
      </c>
      <c r="CA16" s="249">
        <v>0</v>
      </c>
      <c r="CB16" s="249">
        <v>0</v>
      </c>
      <c r="CC16" s="249">
        <v>0</v>
      </c>
    </row>
    <row r="17" spans="2:81" ht="16.05" customHeight="1">
      <c r="B17" s="232" t="s">
        <v>441</v>
      </c>
      <c r="C17" s="249">
        <v>1</v>
      </c>
      <c r="AT17" s="232" t="s">
        <v>441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G17" s="249">
        <v>0</v>
      </c>
      <c r="BH17" s="249">
        <v>0</v>
      </c>
      <c r="BI17" s="249">
        <v>0</v>
      </c>
      <c r="BN17" s="232" t="s">
        <v>441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  <c r="BZ17" s="249">
        <v>0</v>
      </c>
      <c r="CA17" s="249">
        <v>0</v>
      </c>
      <c r="CB17" s="249">
        <v>0</v>
      </c>
      <c r="CC17" s="249">
        <v>0</v>
      </c>
    </row>
    <row r="18" spans="2:81" ht="16.05" customHeight="1">
      <c r="B18" s="232" t="s">
        <v>436</v>
      </c>
      <c r="C18" s="249">
        <v>1</v>
      </c>
      <c r="AT18" s="232" t="s">
        <v>436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G18" s="249">
        <v>0</v>
      </c>
      <c r="BH18" s="249">
        <v>0</v>
      </c>
      <c r="BI18" s="249">
        <v>0</v>
      </c>
      <c r="BN18" s="232" t="s">
        <v>436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  <c r="BZ18" s="249">
        <v>0</v>
      </c>
      <c r="CA18" s="249">
        <v>0</v>
      </c>
      <c r="CB18" s="249">
        <v>0</v>
      </c>
      <c r="CC18" s="249">
        <v>0</v>
      </c>
    </row>
    <row r="19" spans="2:81" ht="16.05" customHeight="1">
      <c r="B19" s="232" t="s">
        <v>433</v>
      </c>
      <c r="C19" s="249">
        <v>1</v>
      </c>
      <c r="AT19" s="232" t="s">
        <v>433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G19" s="249">
        <v>0</v>
      </c>
      <c r="BH19" s="249">
        <v>0</v>
      </c>
      <c r="BI19" s="249">
        <v>0</v>
      </c>
      <c r="BN19" s="232" t="s">
        <v>433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  <c r="BZ19" s="249">
        <v>0</v>
      </c>
      <c r="CA19" s="249">
        <v>0</v>
      </c>
      <c r="CB19" s="249">
        <v>0</v>
      </c>
      <c r="CC19" s="249">
        <v>0</v>
      </c>
    </row>
    <row r="20" spans="2:81" ht="16.05" customHeight="1">
      <c r="B20" s="232" t="s">
        <v>439</v>
      </c>
      <c r="C20" s="249">
        <v>1</v>
      </c>
      <c r="AT20" s="232" t="s">
        <v>439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G20" s="249">
        <v>0</v>
      </c>
      <c r="BH20" s="249">
        <v>0</v>
      </c>
      <c r="BI20" s="249">
        <v>0</v>
      </c>
      <c r="BN20" s="232" t="s">
        <v>439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  <c r="BZ20" s="249">
        <v>0</v>
      </c>
      <c r="CA20" s="249">
        <v>0</v>
      </c>
      <c r="CB20" s="249">
        <v>0</v>
      </c>
      <c r="CC20" s="249">
        <v>0</v>
      </c>
    </row>
    <row r="21" spans="2:81">
      <c r="B21" s="233" t="s">
        <v>438</v>
      </c>
      <c r="C21" s="249">
        <v>1</v>
      </c>
      <c r="AT21" s="233" t="s">
        <v>438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G21" s="249">
        <v>0</v>
      </c>
      <c r="BH21" s="249">
        <v>0</v>
      </c>
      <c r="BI21" s="249">
        <v>0</v>
      </c>
      <c r="BN21" s="233" t="s">
        <v>438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  <c r="BZ21" s="249">
        <v>0</v>
      </c>
      <c r="CA21" s="249">
        <v>0</v>
      </c>
      <c r="CB21" s="249">
        <v>0</v>
      </c>
      <c r="CC21" s="249">
        <v>0</v>
      </c>
    </row>
    <row r="22" spans="2:81">
      <c r="B22" s="233" t="s">
        <v>424</v>
      </c>
      <c r="C22" s="249">
        <v>1</v>
      </c>
      <c r="AT22" s="233" t="s">
        <v>424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G22" s="249">
        <v>0</v>
      </c>
      <c r="BH22" s="249">
        <v>0</v>
      </c>
      <c r="BI22" s="249">
        <v>0</v>
      </c>
      <c r="BN22" s="233" t="s">
        <v>424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  <c r="BZ22" s="249">
        <v>0</v>
      </c>
      <c r="CA22" s="249">
        <v>0</v>
      </c>
      <c r="CB22" s="249">
        <v>0</v>
      </c>
      <c r="CC22" s="249">
        <v>0</v>
      </c>
    </row>
    <row r="23" spans="2:81">
      <c r="B23" s="233" t="s">
        <v>456</v>
      </c>
      <c r="C23" s="249">
        <v>1</v>
      </c>
      <c r="AT23" s="233" t="s">
        <v>456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G23" s="249">
        <v>0</v>
      </c>
      <c r="BH23" s="249">
        <v>0</v>
      </c>
      <c r="BI23" s="249">
        <v>0</v>
      </c>
      <c r="BN23" s="233" t="s">
        <v>456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  <c r="BZ23" s="249">
        <v>0</v>
      </c>
      <c r="CA23" s="249">
        <v>0</v>
      </c>
      <c r="CB23" s="249">
        <v>0</v>
      </c>
      <c r="CC23" s="249">
        <v>0</v>
      </c>
    </row>
    <row r="24" spans="2:81">
      <c r="B24" s="233" t="s">
        <v>425</v>
      </c>
      <c r="C24" s="249">
        <v>1</v>
      </c>
      <c r="AT24" s="233" t="s">
        <v>425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G24" s="249">
        <v>0</v>
      </c>
      <c r="BH24" s="249">
        <v>0</v>
      </c>
      <c r="BI24" s="249">
        <v>0</v>
      </c>
      <c r="BN24" s="233" t="s">
        <v>425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  <c r="BZ24" s="249">
        <v>0</v>
      </c>
      <c r="CA24" s="249">
        <v>0</v>
      </c>
      <c r="CB24" s="249">
        <v>0</v>
      </c>
      <c r="CC24" s="249">
        <v>0</v>
      </c>
    </row>
    <row r="25" spans="2:81">
      <c r="B25" s="233" t="s">
        <v>427</v>
      </c>
      <c r="C25" s="249">
        <v>1</v>
      </c>
      <c r="AT25" s="233" t="s">
        <v>427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G25" s="249">
        <v>0</v>
      </c>
      <c r="BH25" s="249">
        <v>0</v>
      </c>
      <c r="BI25" s="249">
        <v>0</v>
      </c>
      <c r="BN25" s="233" t="s">
        <v>427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  <c r="BZ25" s="249">
        <v>0</v>
      </c>
      <c r="CA25" s="249">
        <v>0</v>
      </c>
      <c r="CB25" s="249">
        <v>0</v>
      </c>
      <c r="CC25" s="249">
        <v>0</v>
      </c>
    </row>
    <row r="26" spans="2:81">
      <c r="B26" s="233" t="s">
        <v>426</v>
      </c>
      <c r="C26" s="249">
        <v>1</v>
      </c>
      <c r="AT26" s="233" t="s">
        <v>426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G26" s="249">
        <v>0</v>
      </c>
      <c r="BH26" s="249">
        <v>0</v>
      </c>
      <c r="BI26" s="249">
        <v>0</v>
      </c>
      <c r="BN26" s="233" t="s">
        <v>426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  <c r="BZ26" s="249">
        <v>0</v>
      </c>
      <c r="CA26" s="249">
        <v>0</v>
      </c>
      <c r="CB26" s="249">
        <v>0</v>
      </c>
      <c r="CC26" s="249">
        <v>0</v>
      </c>
    </row>
    <row r="27" spans="2:81">
      <c r="B27" s="233" t="s">
        <v>484</v>
      </c>
      <c r="C27" s="249">
        <v>1</v>
      </c>
      <c r="AT27" s="233" t="s">
        <v>484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G27" s="249">
        <v>0</v>
      </c>
      <c r="BH27" s="249">
        <v>0</v>
      </c>
      <c r="BI27" s="249">
        <v>0</v>
      </c>
      <c r="BN27" s="233" t="s">
        <v>484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  <c r="BZ27" s="249">
        <v>0</v>
      </c>
      <c r="CA27" s="249">
        <v>0</v>
      </c>
      <c r="CB27" s="249">
        <v>0</v>
      </c>
      <c r="CC27" s="249">
        <v>0</v>
      </c>
    </row>
    <row r="28" spans="2:81" ht="16.05" customHeight="1">
      <c r="B28" s="247" t="s">
        <v>422</v>
      </c>
      <c r="C28" s="249">
        <v>1</v>
      </c>
      <c r="AT28" s="247" t="s">
        <v>422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G28" s="249">
        <v>0</v>
      </c>
      <c r="BH28" s="249">
        <v>0</v>
      </c>
      <c r="BI28" s="249">
        <v>0</v>
      </c>
      <c r="BN28" s="247" t="s">
        <v>422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  <c r="BZ28" s="249">
        <v>0</v>
      </c>
      <c r="CA28" s="249">
        <v>0</v>
      </c>
      <c r="CB28" s="249">
        <v>0</v>
      </c>
      <c r="CC28" s="249">
        <v>0</v>
      </c>
    </row>
    <row r="29" spans="2:81" ht="16.05" customHeight="1">
      <c r="B29" s="247" t="s">
        <v>552</v>
      </c>
      <c r="C29" s="249">
        <v>1</v>
      </c>
      <c r="AT29" s="247" t="s">
        <v>552</v>
      </c>
      <c r="AU29" s="249"/>
      <c r="AV29" s="249"/>
      <c r="AW29" s="249"/>
      <c r="AX29" s="249"/>
      <c r="AY29" s="249"/>
      <c r="AZ29" s="249"/>
      <c r="BA29" s="249"/>
      <c r="BB29" s="249"/>
      <c r="BC29" s="249"/>
      <c r="BD29" s="249"/>
      <c r="BE29" s="249"/>
      <c r="BF29" s="249"/>
      <c r="BG29" s="249"/>
      <c r="BH29" s="249"/>
      <c r="BI29" s="249"/>
      <c r="BN29" s="247" t="s">
        <v>552</v>
      </c>
      <c r="BO29" s="249"/>
      <c r="BP29" s="249"/>
      <c r="BQ29" s="249"/>
      <c r="BR29" s="249"/>
      <c r="BS29" s="249"/>
      <c r="BT29" s="249"/>
      <c r="BU29" s="249"/>
      <c r="BV29" s="249"/>
      <c r="BW29" s="249"/>
      <c r="BX29" s="249"/>
      <c r="BY29" s="249"/>
      <c r="BZ29" s="249"/>
      <c r="CA29" s="249"/>
      <c r="CB29" s="249"/>
      <c r="CC29" s="249"/>
    </row>
    <row r="30" spans="2:81">
      <c r="B30" s="233" t="s">
        <v>421</v>
      </c>
      <c r="C30" s="249">
        <v>1</v>
      </c>
      <c r="AT30" s="233" t="s">
        <v>421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G30" s="249">
        <v>0</v>
      </c>
      <c r="BH30" s="249">
        <v>0</v>
      </c>
      <c r="BI30" s="249">
        <v>0</v>
      </c>
      <c r="BN30" s="233" t="s">
        <v>421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  <c r="BZ30" s="249">
        <v>0</v>
      </c>
      <c r="CA30" s="249">
        <v>0</v>
      </c>
      <c r="CB30" s="249">
        <v>0</v>
      </c>
      <c r="CC30" s="249">
        <v>0</v>
      </c>
    </row>
    <row r="31" spans="2:81">
      <c r="B31" s="134" t="s">
        <v>423</v>
      </c>
      <c r="C31" s="249">
        <v>1</v>
      </c>
      <c r="AT31" s="134" t="s">
        <v>423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G31" s="249">
        <v>0</v>
      </c>
      <c r="BH31" s="249">
        <v>0</v>
      </c>
      <c r="BI31" s="249">
        <v>0</v>
      </c>
      <c r="BN31" s="134" t="s">
        <v>423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  <c r="BZ31" s="249">
        <v>0</v>
      </c>
      <c r="CA31" s="249">
        <v>0</v>
      </c>
      <c r="CB31" s="249">
        <v>0</v>
      </c>
      <c r="CC31" s="249">
        <v>0</v>
      </c>
    </row>
    <row r="32" spans="2:81">
      <c r="B32" s="233" t="s">
        <v>515</v>
      </c>
      <c r="C32" s="249">
        <v>1</v>
      </c>
      <c r="AT32" s="233" t="s">
        <v>515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G32" s="249">
        <v>0</v>
      </c>
      <c r="BH32" s="249">
        <v>0</v>
      </c>
      <c r="BI32" s="249">
        <v>0</v>
      </c>
      <c r="BN32" s="233" t="s">
        <v>515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  <c r="BZ32" s="249">
        <v>0</v>
      </c>
      <c r="CA32" s="249">
        <v>0</v>
      </c>
      <c r="CB32" s="249">
        <v>0</v>
      </c>
      <c r="CC32" s="249">
        <v>0</v>
      </c>
    </row>
    <row r="33" spans="2:81">
      <c r="B33" s="233" t="s">
        <v>517</v>
      </c>
      <c r="C33" s="249">
        <v>1</v>
      </c>
      <c r="AT33" s="233" t="s">
        <v>517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G33" s="249">
        <v>0</v>
      </c>
      <c r="BH33" s="249">
        <v>0</v>
      </c>
      <c r="BI33" s="249">
        <v>0</v>
      </c>
      <c r="BN33" s="233" t="s">
        <v>517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  <c r="BZ33" s="249">
        <v>0</v>
      </c>
      <c r="CA33" s="249">
        <v>0</v>
      </c>
      <c r="CB33" s="249">
        <v>0</v>
      </c>
      <c r="CC33" s="249">
        <v>0</v>
      </c>
    </row>
    <row r="34" spans="2:81">
      <c r="B34" s="233" t="s">
        <v>445</v>
      </c>
      <c r="C34" s="249">
        <v>1</v>
      </c>
      <c r="AT34" s="233" t="s">
        <v>445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G34" s="249">
        <v>0</v>
      </c>
      <c r="BH34" s="249">
        <v>0</v>
      </c>
      <c r="BI34" s="249">
        <v>0</v>
      </c>
      <c r="BN34" s="233" t="s">
        <v>445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  <c r="BZ34" s="249">
        <v>0</v>
      </c>
      <c r="CA34" s="249">
        <v>0</v>
      </c>
      <c r="CB34" s="249">
        <v>0</v>
      </c>
      <c r="CC34" s="249">
        <v>0</v>
      </c>
    </row>
    <row r="35" spans="2:81">
      <c r="B35" s="233" t="s">
        <v>446</v>
      </c>
      <c r="C35" s="249">
        <v>1</v>
      </c>
      <c r="AT35" s="233" t="s">
        <v>446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G35" s="249">
        <v>0</v>
      </c>
      <c r="BH35" s="249">
        <v>0</v>
      </c>
      <c r="BI35" s="249">
        <v>0</v>
      </c>
      <c r="BN35" s="233" t="s">
        <v>446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  <c r="BZ35" s="249">
        <v>0</v>
      </c>
      <c r="CA35" s="249">
        <v>0</v>
      </c>
      <c r="CB35" s="249">
        <v>0</v>
      </c>
      <c r="CC35" s="249">
        <v>0</v>
      </c>
    </row>
    <row r="36" spans="2:81">
      <c r="B36" s="233" t="s">
        <v>447</v>
      </c>
      <c r="C36" s="249">
        <v>1</v>
      </c>
      <c r="AT36" s="233" t="s">
        <v>447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G36" s="249">
        <v>0</v>
      </c>
      <c r="BH36" s="249">
        <v>0</v>
      </c>
      <c r="BI36" s="249">
        <v>0</v>
      </c>
      <c r="BN36" s="233" t="s">
        <v>447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  <c r="BZ36" s="249">
        <v>0</v>
      </c>
      <c r="CA36" s="249">
        <v>0</v>
      </c>
      <c r="CB36" s="249">
        <v>0</v>
      </c>
      <c r="CC36" s="249">
        <v>0</v>
      </c>
    </row>
    <row r="37" spans="2:81">
      <c r="B37" s="233" t="s">
        <v>457</v>
      </c>
      <c r="C37" s="249">
        <v>1</v>
      </c>
      <c r="AT37" s="233" t="s">
        <v>457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G37" s="249">
        <v>0</v>
      </c>
      <c r="BH37" s="249">
        <v>0</v>
      </c>
      <c r="BI37" s="249">
        <v>0</v>
      </c>
      <c r="BN37" s="233" t="s">
        <v>457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  <c r="BZ37" s="249">
        <v>0</v>
      </c>
      <c r="CA37" s="249">
        <v>0</v>
      </c>
      <c r="CB37" s="249">
        <v>0</v>
      </c>
      <c r="CC37" s="249">
        <v>0</v>
      </c>
    </row>
    <row r="38" spans="2:81">
      <c r="C38" s="52" t="s">
        <v>473</v>
      </c>
      <c r="AT38" s="233"/>
      <c r="AU38" s="390" t="s">
        <v>470</v>
      </c>
      <c r="AV38" s="390"/>
      <c r="AW38" s="390"/>
      <c r="AX38" s="390"/>
      <c r="AY38" s="390"/>
      <c r="AZ38" s="390"/>
      <c r="BA38" s="390"/>
      <c r="BB38" s="390"/>
      <c r="BC38" s="390"/>
      <c r="BD38" s="390"/>
      <c r="BE38" s="390"/>
      <c r="BF38" s="390"/>
      <c r="BG38" s="390"/>
      <c r="BH38" s="390"/>
      <c r="BI38" s="390"/>
      <c r="BN38" s="233"/>
      <c r="BO38" s="390" t="s">
        <v>471</v>
      </c>
      <c r="BP38" s="390"/>
      <c r="BQ38" s="390"/>
      <c r="BR38" s="390"/>
      <c r="BS38" s="390"/>
      <c r="BT38" s="390"/>
      <c r="BU38" s="390"/>
      <c r="BV38" s="390"/>
      <c r="BW38" s="390"/>
      <c r="BX38" s="390"/>
      <c r="BY38" s="390"/>
      <c r="BZ38" s="390"/>
      <c r="CA38" s="390"/>
      <c r="CB38" s="390"/>
      <c r="CC38" s="390"/>
    </row>
    <row r="39" spans="2:81">
      <c r="AT39" s="233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N39" s="233"/>
      <c r="BO39" s="52"/>
      <c r="BP39" s="52"/>
      <c r="BQ39" s="52"/>
      <c r="BR39" s="52"/>
      <c r="BS39" s="52"/>
      <c r="BT39" s="52"/>
      <c r="BU39" s="52"/>
      <c r="BV39" s="52"/>
      <c r="BW39" s="52"/>
      <c r="BX39" s="52"/>
      <c r="BY39" s="52"/>
      <c r="BZ39" s="52"/>
      <c r="CA39" s="52"/>
      <c r="CB39" s="52"/>
      <c r="CC39" s="52"/>
    </row>
    <row r="40" spans="2:81">
      <c r="AT40" s="233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  <c r="BI40" s="52"/>
      <c r="BN40" s="233"/>
      <c r="BO40" s="52"/>
      <c r="BP40" s="52"/>
      <c r="BQ40" s="52"/>
      <c r="BR40" s="52"/>
      <c r="BS40" s="52"/>
      <c r="BT40" s="52"/>
      <c r="BU40" s="52"/>
      <c r="BV40" s="52"/>
      <c r="BW40" s="52"/>
      <c r="BX40" s="52"/>
      <c r="BY40" s="52"/>
      <c r="BZ40" s="52"/>
      <c r="CA40" s="52"/>
      <c r="CB40" s="52"/>
      <c r="CC40" s="52"/>
    </row>
    <row r="41" spans="2:81" ht="112.05" customHeight="1">
      <c r="AT41" s="248"/>
      <c r="AU41" s="234" t="s">
        <v>325</v>
      </c>
      <c r="AV41" s="234" t="s">
        <v>326</v>
      </c>
      <c r="AW41" s="234" t="s">
        <v>327</v>
      </c>
      <c r="AX41" s="234" t="s">
        <v>455</v>
      </c>
      <c r="AY41" s="234" t="s">
        <v>435</v>
      </c>
      <c r="AZ41" s="234" t="s">
        <v>434</v>
      </c>
      <c r="BA41" s="234" t="s">
        <v>351</v>
      </c>
      <c r="BB41" s="234" t="s">
        <v>348</v>
      </c>
      <c r="BC41" s="234" t="s">
        <v>362</v>
      </c>
      <c r="BD41" s="234" t="s">
        <v>349</v>
      </c>
      <c r="BE41" s="234" t="s">
        <v>344</v>
      </c>
      <c r="BF41" s="234" t="s">
        <v>514</v>
      </c>
      <c r="BG41" s="234" t="s">
        <v>516</v>
      </c>
      <c r="BH41" s="234" t="s">
        <v>76</v>
      </c>
      <c r="BI41" s="234" t="s">
        <v>337</v>
      </c>
      <c r="BN41" s="233"/>
      <c r="BO41" s="52"/>
      <c r="BP41" s="52"/>
      <c r="BQ41" s="52"/>
      <c r="BR41" s="52"/>
      <c r="BS41" s="52"/>
      <c r="BT41" s="52"/>
      <c r="BU41" s="52"/>
      <c r="BV41" s="52"/>
      <c r="BW41" s="52"/>
      <c r="BX41" s="52"/>
      <c r="BY41" s="52"/>
      <c r="BZ41" s="52"/>
      <c r="CA41" s="52"/>
      <c r="CB41" s="52"/>
      <c r="CC41" s="52"/>
    </row>
    <row r="42" spans="2:81">
      <c r="AT42" s="134" t="s">
        <v>333</v>
      </c>
      <c r="AU42" s="249">
        <f>AU87</f>
        <v>108184.8596728804</v>
      </c>
      <c r="AV42" s="249">
        <f t="shared" ref="AV42:BI42" si="0">AV87</f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  <c r="BG42" s="249">
        <f>BG87</f>
        <v>0</v>
      </c>
      <c r="BH42" s="249">
        <f t="shared" si="0"/>
        <v>0</v>
      </c>
      <c r="BI42" s="249">
        <f t="shared" si="0"/>
        <v>0</v>
      </c>
      <c r="BN42" s="233"/>
      <c r="BO42" s="52"/>
      <c r="BP42" s="52"/>
      <c r="BQ42" s="52"/>
      <c r="BR42" s="52"/>
      <c r="BS42" s="52"/>
      <c r="BT42" s="52"/>
      <c r="BU42" s="52"/>
      <c r="BV42" s="52"/>
      <c r="BW42" s="52"/>
      <c r="BX42" s="52"/>
      <c r="BY42" s="52"/>
      <c r="BZ42" s="52"/>
      <c r="CA42" s="52"/>
      <c r="CB42" s="52"/>
      <c r="CC42" s="52"/>
    </row>
    <row r="43" spans="2:81">
      <c r="AT43" s="134" t="s">
        <v>335</v>
      </c>
      <c r="AU43" s="249">
        <f t="shared" ref="AU43:AU68" si="1">AU88</f>
        <v>0</v>
      </c>
      <c r="AV43" s="249">
        <f t="shared" ref="AV43:BI43" si="2">AV88</f>
        <v>25297.051877142174</v>
      </c>
      <c r="AW43" s="249">
        <f t="shared" si="2"/>
        <v>0</v>
      </c>
      <c r="AX43" s="249">
        <f t="shared" si="2"/>
        <v>0</v>
      </c>
      <c r="AY43" s="249">
        <f t="shared" si="2"/>
        <v>0</v>
      </c>
      <c r="AZ43" s="249">
        <f t="shared" si="2"/>
        <v>0</v>
      </c>
      <c r="BA43" s="249">
        <f t="shared" si="2"/>
        <v>0</v>
      </c>
      <c r="BB43" s="249">
        <f t="shared" si="2"/>
        <v>0</v>
      </c>
      <c r="BC43" s="249">
        <f t="shared" si="2"/>
        <v>0</v>
      </c>
      <c r="BD43" s="249">
        <f t="shared" si="2"/>
        <v>0</v>
      </c>
      <c r="BE43" s="249">
        <f t="shared" si="2"/>
        <v>0</v>
      </c>
      <c r="BF43" s="249">
        <f t="shared" si="2"/>
        <v>0</v>
      </c>
      <c r="BG43" s="249">
        <f t="shared" si="2"/>
        <v>0</v>
      </c>
      <c r="BH43" s="249">
        <f t="shared" si="2"/>
        <v>0</v>
      </c>
      <c r="BI43" s="249">
        <f t="shared" si="2"/>
        <v>0</v>
      </c>
      <c r="BN43" s="233"/>
      <c r="BO43" s="52"/>
      <c r="BP43" s="52"/>
      <c r="BQ43" s="52"/>
      <c r="BR43" s="52"/>
      <c r="BS43" s="52"/>
      <c r="BT43" s="52"/>
      <c r="BU43" s="52"/>
      <c r="BV43" s="52"/>
      <c r="BW43" s="52"/>
      <c r="BX43" s="52"/>
      <c r="BY43" s="52"/>
      <c r="BZ43" s="52"/>
      <c r="CA43" s="52"/>
      <c r="CB43" s="52"/>
      <c r="CC43" s="52"/>
    </row>
    <row r="44" spans="2:81">
      <c r="AT44" s="134" t="s">
        <v>336</v>
      </c>
      <c r="AU44" s="249">
        <f t="shared" si="1"/>
        <v>0</v>
      </c>
      <c r="AV44" s="249">
        <f t="shared" ref="AV44:BI44" si="3">AV89</f>
        <v>0</v>
      </c>
      <c r="AW44" s="249">
        <f t="shared" si="3"/>
        <v>8850991.3601140417</v>
      </c>
      <c r="AX44" s="249">
        <f t="shared" si="3"/>
        <v>0</v>
      </c>
      <c r="AY44" s="249">
        <f t="shared" si="3"/>
        <v>0</v>
      </c>
      <c r="AZ44" s="249">
        <f t="shared" si="3"/>
        <v>0</v>
      </c>
      <c r="BA44" s="249">
        <f t="shared" si="3"/>
        <v>0</v>
      </c>
      <c r="BB44" s="249">
        <f t="shared" si="3"/>
        <v>0</v>
      </c>
      <c r="BC44" s="249">
        <f t="shared" si="3"/>
        <v>0</v>
      </c>
      <c r="BD44" s="249">
        <f t="shared" si="3"/>
        <v>0</v>
      </c>
      <c r="BE44" s="249">
        <f t="shared" si="3"/>
        <v>0</v>
      </c>
      <c r="BF44" s="249">
        <f t="shared" si="3"/>
        <v>0</v>
      </c>
      <c r="BG44" s="249">
        <f t="shared" si="3"/>
        <v>0</v>
      </c>
      <c r="BH44" s="249">
        <f t="shared" si="3"/>
        <v>0</v>
      </c>
      <c r="BI44" s="249">
        <f t="shared" si="3"/>
        <v>0</v>
      </c>
      <c r="BN44" s="233"/>
      <c r="BO44" s="52"/>
      <c r="BP44" s="52"/>
      <c r="BQ44" s="52"/>
      <c r="BR44" s="52"/>
      <c r="BS44" s="52"/>
      <c r="BT44" s="52"/>
      <c r="BU44" s="52"/>
      <c r="BV44" s="52"/>
      <c r="BW44" s="52"/>
      <c r="BX44" s="52"/>
      <c r="BY44" s="52"/>
      <c r="BZ44" s="52"/>
      <c r="CA44" s="52"/>
      <c r="CB44" s="52"/>
      <c r="CC44" s="52"/>
    </row>
    <row r="45" spans="2:81">
      <c r="AT45" s="134" t="s">
        <v>355</v>
      </c>
      <c r="AU45" s="249">
        <f t="shared" si="1"/>
        <v>125.02637472887361</v>
      </c>
      <c r="AV45" s="249">
        <f t="shared" ref="AV45:BI45" si="4">AV90</f>
        <v>0.37484270351331089</v>
      </c>
      <c r="AW45" s="249">
        <f t="shared" si="4"/>
        <v>30.954464502133519</v>
      </c>
      <c r="AX45" s="249">
        <f t="shared" si="4"/>
        <v>0</v>
      </c>
      <c r="AY45" s="249">
        <f t="shared" si="4"/>
        <v>0</v>
      </c>
      <c r="AZ45" s="249">
        <f t="shared" si="4"/>
        <v>0</v>
      </c>
      <c r="BA45" s="249">
        <f t="shared" si="4"/>
        <v>0</v>
      </c>
      <c r="BB45" s="249">
        <f t="shared" si="4"/>
        <v>0</v>
      </c>
      <c r="BC45" s="249">
        <f t="shared" si="4"/>
        <v>0</v>
      </c>
      <c r="BD45" s="249">
        <f t="shared" si="4"/>
        <v>2671.5132120132448</v>
      </c>
      <c r="BE45" s="249">
        <f t="shared" si="4"/>
        <v>14491.84871754296</v>
      </c>
      <c r="BF45" s="249">
        <f t="shared" si="4"/>
        <v>0</v>
      </c>
      <c r="BG45" s="249">
        <f t="shared" si="4"/>
        <v>0</v>
      </c>
      <c r="BH45" s="249">
        <f t="shared" si="4"/>
        <v>0</v>
      </c>
      <c r="BI45" s="249">
        <f t="shared" si="4"/>
        <v>11826.742854693757</v>
      </c>
      <c r="BN45" s="233"/>
      <c r="BO45" s="52"/>
      <c r="BP45" s="52"/>
      <c r="BQ45" s="52"/>
      <c r="BR45" s="52"/>
      <c r="BS45" s="52"/>
      <c r="BT45" s="52"/>
      <c r="BU45" s="52"/>
      <c r="BV45" s="52"/>
      <c r="BW45" s="52"/>
      <c r="BX45" s="52"/>
      <c r="BY45" s="52"/>
      <c r="BZ45" s="52"/>
      <c r="CA45" s="52"/>
      <c r="CB45" s="52"/>
      <c r="CC45" s="52"/>
    </row>
    <row r="46" spans="2:81">
      <c r="AT46" s="134" t="s">
        <v>377</v>
      </c>
      <c r="AU46" s="249">
        <f t="shared" si="1"/>
        <v>0</v>
      </c>
      <c r="AV46" s="249">
        <f t="shared" ref="AV46:BI46" si="5">AV91</f>
        <v>0</v>
      </c>
      <c r="AW46" s="249">
        <f t="shared" si="5"/>
        <v>0</v>
      </c>
      <c r="AX46" s="249">
        <f t="shared" si="5"/>
        <v>0</v>
      </c>
      <c r="AY46" s="249">
        <f t="shared" si="5"/>
        <v>0</v>
      </c>
      <c r="AZ46" s="249">
        <f t="shared" si="5"/>
        <v>0</v>
      </c>
      <c r="BA46" s="249">
        <f t="shared" si="5"/>
        <v>0</v>
      </c>
      <c r="BB46" s="249">
        <f t="shared" si="5"/>
        <v>0</v>
      </c>
      <c r="BC46" s="249">
        <f t="shared" si="5"/>
        <v>0</v>
      </c>
      <c r="BD46" s="249">
        <f t="shared" si="5"/>
        <v>1951076.4755827489</v>
      </c>
      <c r="BE46" s="249">
        <f t="shared" si="5"/>
        <v>10583778.883576756</v>
      </c>
      <c r="BF46" s="249">
        <f t="shared" si="5"/>
        <v>0</v>
      </c>
      <c r="BG46" s="249">
        <f t="shared" si="5"/>
        <v>0</v>
      </c>
      <c r="BH46" s="249">
        <f t="shared" si="5"/>
        <v>0</v>
      </c>
      <c r="BI46" s="249">
        <f t="shared" si="5"/>
        <v>2329445.3092260091</v>
      </c>
      <c r="BN46" s="233"/>
      <c r="BO46" s="52"/>
      <c r="BP46" s="52"/>
      <c r="BQ46" s="52"/>
      <c r="BR46" s="52"/>
      <c r="BS46" s="52"/>
      <c r="BT46" s="52"/>
      <c r="BU46" s="52"/>
      <c r="BV46" s="52"/>
      <c r="BW46" s="52"/>
      <c r="BX46" s="52"/>
      <c r="BY46" s="52"/>
      <c r="BZ46" s="52"/>
      <c r="CA46" s="52"/>
      <c r="CB46" s="52"/>
      <c r="CC46" s="52"/>
    </row>
    <row r="47" spans="2:81">
      <c r="AT47" s="134" t="s">
        <v>466</v>
      </c>
      <c r="AU47" s="249">
        <f t="shared" si="1"/>
        <v>94146.207140653787</v>
      </c>
      <c r="AV47" s="249">
        <f t="shared" ref="AV47:BI47" si="6">AV92</f>
        <v>257.99399332425372</v>
      </c>
      <c r="AW47" s="249">
        <f t="shared" si="6"/>
        <v>23309.045257575242</v>
      </c>
      <c r="AX47" s="249">
        <f t="shared" si="6"/>
        <v>0</v>
      </c>
      <c r="AY47" s="249">
        <f t="shared" si="6"/>
        <v>0</v>
      </c>
      <c r="AZ47" s="249">
        <f t="shared" si="6"/>
        <v>0</v>
      </c>
      <c r="BA47" s="249">
        <f t="shared" si="6"/>
        <v>0</v>
      </c>
      <c r="BB47" s="249">
        <f t="shared" si="6"/>
        <v>0</v>
      </c>
      <c r="BC47" s="249">
        <f t="shared" si="6"/>
        <v>0</v>
      </c>
      <c r="BD47" s="249">
        <f t="shared" si="6"/>
        <v>0</v>
      </c>
      <c r="BE47" s="249">
        <f t="shared" si="6"/>
        <v>0</v>
      </c>
      <c r="BF47" s="249">
        <f t="shared" si="6"/>
        <v>0</v>
      </c>
      <c r="BG47" s="249">
        <f t="shared" si="6"/>
        <v>0</v>
      </c>
      <c r="BH47" s="249">
        <f t="shared" si="6"/>
        <v>0</v>
      </c>
      <c r="BI47" s="249">
        <f t="shared" si="6"/>
        <v>0</v>
      </c>
      <c r="BN47" s="233"/>
      <c r="BO47" s="52"/>
      <c r="BP47" s="52"/>
      <c r="BQ47" s="52"/>
      <c r="BR47" s="52"/>
      <c r="BS47" s="52"/>
      <c r="BT47" s="52"/>
      <c r="BU47" s="52"/>
      <c r="BV47" s="52"/>
      <c r="BW47" s="52"/>
      <c r="BX47" s="52"/>
      <c r="BY47" s="52"/>
      <c r="BZ47" s="52"/>
      <c r="CA47" s="52"/>
      <c r="CB47" s="52"/>
      <c r="CC47" s="52"/>
    </row>
    <row r="48" spans="2:81">
      <c r="AT48" s="134" t="s">
        <v>467</v>
      </c>
      <c r="AU48" s="249">
        <f t="shared" si="1"/>
        <v>0</v>
      </c>
      <c r="AV48" s="249">
        <f t="shared" ref="AV48:BI48" si="7">AV93</f>
        <v>24.076233417548465</v>
      </c>
      <c r="AW48" s="249">
        <f t="shared" si="7"/>
        <v>0</v>
      </c>
      <c r="AX48" s="249">
        <f t="shared" si="7"/>
        <v>0</v>
      </c>
      <c r="AY48" s="249">
        <f t="shared" si="7"/>
        <v>0</v>
      </c>
      <c r="AZ48" s="249">
        <f t="shared" si="7"/>
        <v>0</v>
      </c>
      <c r="BA48" s="249">
        <f t="shared" si="7"/>
        <v>0</v>
      </c>
      <c r="BB48" s="249">
        <f t="shared" si="7"/>
        <v>0</v>
      </c>
      <c r="BC48" s="249">
        <f t="shared" si="7"/>
        <v>0</v>
      </c>
      <c r="BD48" s="249">
        <f t="shared" si="7"/>
        <v>0</v>
      </c>
      <c r="BE48" s="249">
        <f t="shared" si="7"/>
        <v>0</v>
      </c>
      <c r="BF48" s="249">
        <f t="shared" si="7"/>
        <v>0</v>
      </c>
      <c r="BG48" s="249">
        <f t="shared" si="7"/>
        <v>0</v>
      </c>
      <c r="BH48" s="249">
        <f t="shared" si="7"/>
        <v>0</v>
      </c>
      <c r="BI48" s="249">
        <f t="shared" si="7"/>
        <v>0</v>
      </c>
      <c r="BN48" s="233"/>
      <c r="BO48" s="52"/>
      <c r="BP48" s="52"/>
      <c r="BQ48" s="52"/>
      <c r="BR48" s="52"/>
      <c r="BS48" s="52"/>
      <c r="BT48" s="52"/>
      <c r="BU48" s="52"/>
      <c r="BV48" s="52"/>
      <c r="BW48" s="52"/>
      <c r="BX48" s="52"/>
      <c r="BY48" s="52"/>
      <c r="BZ48" s="52"/>
      <c r="CA48" s="52"/>
      <c r="CB48" s="52"/>
      <c r="CC48" s="52"/>
    </row>
    <row r="49" spans="46:81">
      <c r="AT49" s="134" t="s">
        <v>411</v>
      </c>
      <c r="AU49" s="249">
        <f t="shared" si="1"/>
        <v>0</v>
      </c>
      <c r="AV49" s="249">
        <f t="shared" ref="AV49:BI49" si="8">AV94</f>
        <v>0</v>
      </c>
      <c r="AW49" s="249">
        <f t="shared" si="8"/>
        <v>0</v>
      </c>
      <c r="AX49" s="249">
        <f t="shared" si="8"/>
        <v>0</v>
      </c>
      <c r="AY49" s="249">
        <f t="shared" si="8"/>
        <v>0</v>
      </c>
      <c r="AZ49" s="249">
        <f t="shared" si="8"/>
        <v>0</v>
      </c>
      <c r="BA49" s="249">
        <f t="shared" si="8"/>
        <v>0</v>
      </c>
      <c r="BB49" s="249">
        <f t="shared" si="8"/>
        <v>0</v>
      </c>
      <c r="BC49" s="249">
        <f t="shared" si="8"/>
        <v>0</v>
      </c>
      <c r="BD49" s="249">
        <f t="shared" si="8"/>
        <v>0</v>
      </c>
      <c r="BE49" s="249">
        <f t="shared" si="8"/>
        <v>0</v>
      </c>
      <c r="BF49" s="249">
        <f t="shared" si="8"/>
        <v>0</v>
      </c>
      <c r="BG49" s="249">
        <f t="shared" si="8"/>
        <v>0</v>
      </c>
      <c r="BH49" s="249">
        <f t="shared" si="8"/>
        <v>0</v>
      </c>
      <c r="BI49" s="249">
        <f t="shared" si="8"/>
        <v>29112.263489807588</v>
      </c>
      <c r="BN49" s="233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/>
      <c r="CB49" s="52"/>
      <c r="CC49" s="52"/>
    </row>
    <row r="50" spans="46:81">
      <c r="AT50" s="134" t="s">
        <v>459</v>
      </c>
      <c r="AU50" s="249">
        <f t="shared" si="1"/>
        <v>0</v>
      </c>
      <c r="AV50" s="249">
        <f t="shared" ref="AV50:BI50" si="9">AV95</f>
        <v>0</v>
      </c>
      <c r="AW50" s="249">
        <f t="shared" si="9"/>
        <v>80616.370239891301</v>
      </c>
      <c r="AX50" s="249">
        <f t="shared" si="9"/>
        <v>609792.2517593482</v>
      </c>
      <c r="AY50" s="249">
        <f t="shared" si="9"/>
        <v>2824.8856477449194</v>
      </c>
      <c r="AZ50" s="249">
        <f t="shared" si="9"/>
        <v>282.1287710315147</v>
      </c>
      <c r="BA50" s="249">
        <f t="shared" si="9"/>
        <v>12626.098826338684</v>
      </c>
      <c r="BB50" s="249">
        <f t="shared" si="9"/>
        <v>34.678095164114971</v>
      </c>
      <c r="BC50" s="249">
        <f t="shared" si="9"/>
        <v>50.358084153937838</v>
      </c>
      <c r="BD50" s="249">
        <f t="shared" si="9"/>
        <v>0</v>
      </c>
      <c r="BE50" s="249">
        <f t="shared" si="9"/>
        <v>0</v>
      </c>
      <c r="BF50" s="249">
        <f t="shared" si="9"/>
        <v>33191.859393697465</v>
      </c>
      <c r="BG50" s="249">
        <f t="shared" si="9"/>
        <v>0</v>
      </c>
      <c r="BH50" s="249">
        <f t="shared" si="9"/>
        <v>0</v>
      </c>
      <c r="BI50" s="249">
        <f t="shared" si="9"/>
        <v>318930.1042317453</v>
      </c>
      <c r="BN50" s="233"/>
      <c r="BO50" s="52"/>
      <c r="BP50" s="52"/>
      <c r="BQ50" s="52"/>
      <c r="BR50" s="52"/>
      <c r="BS50" s="52"/>
      <c r="BT50" s="52"/>
      <c r="BU50" s="52"/>
      <c r="BV50" s="52"/>
      <c r="BW50" s="52"/>
      <c r="BX50" s="52"/>
      <c r="BY50" s="52"/>
      <c r="BZ50" s="52"/>
      <c r="CA50" s="52"/>
      <c r="CB50" s="52"/>
      <c r="CC50" s="52"/>
    </row>
    <row r="51" spans="46:81" ht="16.05" customHeight="1">
      <c r="AT51" s="232" t="s">
        <v>442</v>
      </c>
      <c r="AU51" s="249">
        <f t="shared" si="1"/>
        <v>0</v>
      </c>
      <c r="AV51" s="249">
        <f t="shared" ref="AV51:BI51" si="10">AV96</f>
        <v>0</v>
      </c>
      <c r="AW51" s="249">
        <f t="shared" si="10"/>
        <v>0</v>
      </c>
      <c r="AX51" s="249">
        <f t="shared" si="10"/>
        <v>108184.8596728804</v>
      </c>
      <c r="AY51" s="249">
        <f t="shared" si="10"/>
        <v>0</v>
      </c>
      <c r="AZ51" s="249">
        <f t="shared" si="10"/>
        <v>0</v>
      </c>
      <c r="BA51" s="249">
        <f t="shared" si="10"/>
        <v>0</v>
      </c>
      <c r="BB51" s="249">
        <f t="shared" si="10"/>
        <v>0</v>
      </c>
      <c r="BC51" s="249">
        <f t="shared" si="10"/>
        <v>0</v>
      </c>
      <c r="BD51" s="249">
        <f t="shared" si="10"/>
        <v>0</v>
      </c>
      <c r="BE51" s="249">
        <f t="shared" si="10"/>
        <v>0</v>
      </c>
      <c r="BF51" s="249">
        <f t="shared" si="10"/>
        <v>0</v>
      </c>
      <c r="BG51" s="249">
        <f t="shared" si="10"/>
        <v>0</v>
      </c>
      <c r="BH51" s="249">
        <f t="shared" si="10"/>
        <v>0</v>
      </c>
      <c r="BI51" s="249">
        <f t="shared" si="10"/>
        <v>0</v>
      </c>
      <c r="BN51" s="233"/>
      <c r="BO51" s="52"/>
      <c r="BP51" s="52"/>
      <c r="BQ51" s="52"/>
      <c r="BR51" s="52"/>
      <c r="BS51" s="52"/>
      <c r="BT51" s="52"/>
      <c r="BU51" s="52"/>
      <c r="BV51" s="52"/>
      <c r="BW51" s="52"/>
      <c r="BX51" s="52"/>
      <c r="BY51" s="52"/>
      <c r="BZ51" s="52"/>
      <c r="CA51" s="52"/>
      <c r="CB51" s="52"/>
      <c r="CC51" s="52"/>
    </row>
    <row r="52" spans="46:81">
      <c r="AT52" s="134" t="s">
        <v>409</v>
      </c>
      <c r="AU52" s="249">
        <f t="shared" si="1"/>
        <v>0</v>
      </c>
      <c r="AV52" s="249">
        <f t="shared" ref="AV52:BI52" si="11">AV97</f>
        <v>0</v>
      </c>
      <c r="AW52" s="249">
        <f t="shared" si="11"/>
        <v>0</v>
      </c>
      <c r="AX52" s="249">
        <f t="shared" si="11"/>
        <v>0</v>
      </c>
      <c r="AY52" s="249">
        <f t="shared" si="11"/>
        <v>0</v>
      </c>
      <c r="AZ52" s="249">
        <f t="shared" si="11"/>
        <v>0</v>
      </c>
      <c r="BA52" s="249">
        <f t="shared" si="11"/>
        <v>0</v>
      </c>
      <c r="BB52" s="249">
        <f t="shared" si="11"/>
        <v>0</v>
      </c>
      <c r="BC52" s="249">
        <f t="shared" si="11"/>
        <v>0</v>
      </c>
      <c r="BD52" s="249">
        <f t="shared" si="11"/>
        <v>0</v>
      </c>
      <c r="BE52" s="249">
        <f t="shared" si="11"/>
        <v>0</v>
      </c>
      <c r="BF52" s="249">
        <f t="shared" si="11"/>
        <v>0</v>
      </c>
      <c r="BG52" s="249">
        <f t="shared" si="11"/>
        <v>0</v>
      </c>
      <c r="BH52" s="249">
        <f t="shared" si="11"/>
        <v>0</v>
      </c>
      <c r="BI52" s="249">
        <f t="shared" si="11"/>
        <v>0</v>
      </c>
      <c r="BN52" s="233"/>
      <c r="BO52" s="52"/>
      <c r="BP52" s="52"/>
      <c r="BQ52" s="52"/>
      <c r="BR52" s="52"/>
      <c r="BS52" s="52"/>
      <c r="BT52" s="52"/>
      <c r="BU52" s="52"/>
      <c r="BV52" s="52"/>
      <c r="BW52" s="52"/>
      <c r="BX52" s="52"/>
      <c r="BY52" s="52"/>
      <c r="BZ52" s="52"/>
      <c r="CA52" s="52"/>
      <c r="CB52" s="52"/>
      <c r="CC52" s="52"/>
    </row>
    <row r="53" spans="46:81" ht="16.05" customHeight="1">
      <c r="AT53" s="232" t="s">
        <v>412</v>
      </c>
      <c r="AU53" s="249">
        <f t="shared" si="1"/>
        <v>0</v>
      </c>
      <c r="AV53" s="249">
        <f t="shared" ref="AV53:BI53" si="12">AV98</f>
        <v>0</v>
      </c>
      <c r="AW53" s="249">
        <f t="shared" si="12"/>
        <v>0</v>
      </c>
      <c r="AX53" s="249">
        <f t="shared" si="12"/>
        <v>0</v>
      </c>
      <c r="AY53" s="249">
        <f t="shared" si="12"/>
        <v>25297.051877142174</v>
      </c>
      <c r="AZ53" s="249">
        <f t="shared" si="12"/>
        <v>0</v>
      </c>
      <c r="BA53" s="249">
        <f t="shared" si="12"/>
        <v>0</v>
      </c>
      <c r="BB53" s="249">
        <f t="shared" si="12"/>
        <v>0</v>
      </c>
      <c r="BC53" s="249">
        <f t="shared" si="12"/>
        <v>0</v>
      </c>
      <c r="BD53" s="249">
        <f t="shared" si="12"/>
        <v>0</v>
      </c>
      <c r="BE53" s="249">
        <f t="shared" si="12"/>
        <v>0</v>
      </c>
      <c r="BF53" s="249">
        <f t="shared" si="12"/>
        <v>0</v>
      </c>
      <c r="BG53" s="249">
        <f t="shared" si="12"/>
        <v>0</v>
      </c>
      <c r="BH53" s="249">
        <f t="shared" si="12"/>
        <v>0</v>
      </c>
      <c r="BI53" s="249">
        <f t="shared" si="12"/>
        <v>0</v>
      </c>
      <c r="BN53" s="233"/>
      <c r="BO53" s="52"/>
      <c r="BP53" s="52"/>
      <c r="BQ53" s="52"/>
      <c r="BR53" s="52"/>
      <c r="BS53" s="52"/>
      <c r="BT53" s="52"/>
      <c r="BU53" s="52"/>
      <c r="BV53" s="52"/>
      <c r="BW53" s="52"/>
      <c r="BX53" s="52"/>
      <c r="BY53" s="52"/>
      <c r="BZ53" s="52"/>
      <c r="CA53" s="52"/>
      <c r="CB53" s="52"/>
      <c r="CC53" s="52"/>
    </row>
    <row r="54" spans="46:81">
      <c r="AT54" s="134" t="s">
        <v>437</v>
      </c>
      <c r="AU54" s="249">
        <f t="shared" si="1"/>
        <v>0</v>
      </c>
      <c r="AV54" s="249">
        <f t="shared" ref="AV54:BI54" si="13">AV99</f>
        <v>0</v>
      </c>
      <c r="AW54" s="249">
        <f t="shared" si="13"/>
        <v>0</v>
      </c>
      <c r="AX54" s="249">
        <f t="shared" si="13"/>
        <v>0</v>
      </c>
      <c r="AY54" s="249">
        <f t="shared" si="13"/>
        <v>0</v>
      </c>
      <c r="AZ54" s="249">
        <f t="shared" si="13"/>
        <v>0</v>
      </c>
      <c r="BA54" s="249">
        <f t="shared" si="13"/>
        <v>0</v>
      </c>
      <c r="BB54" s="249">
        <f t="shared" si="13"/>
        <v>0</v>
      </c>
      <c r="BC54" s="249">
        <f t="shared" si="13"/>
        <v>0</v>
      </c>
      <c r="BD54" s="249">
        <f t="shared" si="13"/>
        <v>0</v>
      </c>
      <c r="BE54" s="249">
        <f t="shared" si="13"/>
        <v>0</v>
      </c>
      <c r="BF54" s="249">
        <f t="shared" si="13"/>
        <v>0</v>
      </c>
      <c r="BG54" s="249">
        <f t="shared" si="13"/>
        <v>0</v>
      </c>
      <c r="BH54" s="249">
        <f t="shared" si="13"/>
        <v>0</v>
      </c>
      <c r="BI54" s="249">
        <f t="shared" si="13"/>
        <v>0</v>
      </c>
      <c r="BN54" s="233"/>
      <c r="BO54" s="52"/>
      <c r="BP54" s="52"/>
      <c r="BQ54" s="52"/>
      <c r="BR54" s="52"/>
      <c r="BS54" s="52"/>
      <c r="BT54" s="52"/>
      <c r="BU54" s="52"/>
      <c r="BV54" s="52"/>
      <c r="BW54" s="52"/>
      <c r="BX54" s="52"/>
      <c r="BY54" s="52"/>
      <c r="BZ54" s="52"/>
      <c r="CA54" s="52"/>
      <c r="CB54" s="52"/>
      <c r="CC54" s="52"/>
    </row>
    <row r="55" spans="46:81">
      <c r="AT55" s="233" t="s">
        <v>430</v>
      </c>
      <c r="AU55" s="249">
        <f t="shared" si="1"/>
        <v>0</v>
      </c>
      <c r="AV55" s="249">
        <f t="shared" ref="AV55:BI55" si="14">AV100</f>
        <v>0</v>
      </c>
      <c r="AW55" s="249">
        <f t="shared" si="14"/>
        <v>0</v>
      </c>
      <c r="AX55" s="249">
        <f t="shared" si="14"/>
        <v>0</v>
      </c>
      <c r="AY55" s="249">
        <f t="shared" si="14"/>
        <v>0</v>
      </c>
      <c r="AZ55" s="249">
        <f t="shared" si="14"/>
        <v>8855804.320336977</v>
      </c>
      <c r="BA55" s="249">
        <f t="shared" si="14"/>
        <v>0</v>
      </c>
      <c r="BB55" s="249">
        <f t="shared" si="14"/>
        <v>0</v>
      </c>
      <c r="BC55" s="249">
        <f t="shared" si="14"/>
        <v>0</v>
      </c>
      <c r="BD55" s="249">
        <f t="shared" si="14"/>
        <v>0</v>
      </c>
      <c r="BE55" s="249">
        <f t="shared" si="14"/>
        <v>0</v>
      </c>
      <c r="BF55" s="249">
        <f t="shared" si="14"/>
        <v>0</v>
      </c>
      <c r="BG55" s="249">
        <f t="shared" si="14"/>
        <v>0</v>
      </c>
      <c r="BH55" s="249">
        <f t="shared" si="14"/>
        <v>0</v>
      </c>
      <c r="BI55" s="249">
        <f t="shared" si="14"/>
        <v>0</v>
      </c>
      <c r="BN55" s="233"/>
      <c r="BO55" s="52"/>
      <c r="BP55" s="52"/>
      <c r="BQ55" s="52"/>
      <c r="BR55" s="52"/>
      <c r="BS55" s="52"/>
      <c r="BT55" s="52"/>
      <c r="BU55" s="52"/>
      <c r="BV55" s="52"/>
      <c r="BW55" s="52"/>
      <c r="BX55" s="52"/>
      <c r="BY55" s="52"/>
      <c r="BZ55" s="52"/>
      <c r="CA55" s="52"/>
      <c r="CB55" s="52"/>
      <c r="CC55" s="52"/>
    </row>
    <row r="56" spans="46:81">
      <c r="AT56" s="134" t="s">
        <v>416</v>
      </c>
      <c r="AU56" s="249">
        <f t="shared" si="1"/>
        <v>0</v>
      </c>
      <c r="AV56" s="249">
        <f t="shared" ref="AV56:BI56" si="15">AV101</f>
        <v>0</v>
      </c>
      <c r="AW56" s="249">
        <f t="shared" si="15"/>
        <v>0</v>
      </c>
      <c r="AX56" s="249">
        <f t="shared" si="15"/>
        <v>0</v>
      </c>
      <c r="AY56" s="249">
        <f t="shared" si="15"/>
        <v>0</v>
      </c>
      <c r="AZ56" s="249">
        <f t="shared" si="15"/>
        <v>0</v>
      </c>
      <c r="BA56" s="249">
        <f t="shared" si="15"/>
        <v>0</v>
      </c>
      <c r="BB56" s="249">
        <f t="shared" si="15"/>
        <v>0</v>
      </c>
      <c r="BC56" s="249">
        <f t="shared" si="15"/>
        <v>0</v>
      </c>
      <c r="BD56" s="249">
        <f t="shared" si="15"/>
        <v>0</v>
      </c>
      <c r="BE56" s="249">
        <f t="shared" si="15"/>
        <v>0</v>
      </c>
      <c r="BF56" s="249">
        <f t="shared" si="15"/>
        <v>0</v>
      </c>
      <c r="BG56" s="249">
        <f t="shared" si="15"/>
        <v>0</v>
      </c>
      <c r="BH56" s="249">
        <f t="shared" si="15"/>
        <v>0</v>
      </c>
      <c r="BI56" s="249">
        <f t="shared" si="15"/>
        <v>0</v>
      </c>
      <c r="BN56" s="233"/>
      <c r="BO56" s="52"/>
      <c r="BP56" s="52"/>
      <c r="BQ56" s="52"/>
      <c r="BR56" s="52"/>
      <c r="BS56" s="52"/>
      <c r="BT56" s="52"/>
      <c r="BU56" s="52"/>
      <c r="BV56" s="52"/>
      <c r="BW56" s="52"/>
      <c r="BX56" s="52"/>
      <c r="BY56" s="52"/>
      <c r="BZ56" s="52"/>
      <c r="CA56" s="52"/>
      <c r="CB56" s="52"/>
      <c r="CC56" s="52"/>
    </row>
    <row r="57" spans="46:81" ht="16.05" customHeight="1">
      <c r="AT57" s="232" t="s">
        <v>441</v>
      </c>
      <c r="AU57" s="249">
        <f t="shared" si="1"/>
        <v>0</v>
      </c>
      <c r="AV57" s="249">
        <f t="shared" ref="AV57:BI57" si="16">AV102</f>
        <v>0</v>
      </c>
      <c r="AW57" s="249">
        <f t="shared" si="16"/>
        <v>0</v>
      </c>
      <c r="AX57" s="249">
        <f t="shared" si="16"/>
        <v>0</v>
      </c>
      <c r="AY57" s="249">
        <f t="shared" si="16"/>
        <v>0</v>
      </c>
      <c r="AZ57" s="249">
        <f t="shared" si="16"/>
        <v>0</v>
      </c>
      <c r="BA57" s="249">
        <f t="shared" si="16"/>
        <v>108184.8596728804</v>
      </c>
      <c r="BB57" s="249">
        <f t="shared" si="16"/>
        <v>0</v>
      </c>
      <c r="BC57" s="249">
        <f t="shared" si="16"/>
        <v>0</v>
      </c>
      <c r="BD57" s="249">
        <f t="shared" si="16"/>
        <v>0</v>
      </c>
      <c r="BE57" s="249">
        <f t="shared" si="16"/>
        <v>0</v>
      </c>
      <c r="BF57" s="249">
        <f t="shared" si="16"/>
        <v>0</v>
      </c>
      <c r="BG57" s="249">
        <f t="shared" si="16"/>
        <v>0</v>
      </c>
      <c r="BH57" s="249">
        <f t="shared" si="16"/>
        <v>0</v>
      </c>
      <c r="BI57" s="249">
        <f t="shared" si="16"/>
        <v>0</v>
      </c>
      <c r="BN57" s="233"/>
      <c r="BO57" s="52"/>
      <c r="BP57" s="52"/>
      <c r="BQ57" s="52"/>
      <c r="BR57" s="52"/>
      <c r="BS57" s="52"/>
      <c r="BT57" s="52"/>
      <c r="BU57" s="52"/>
      <c r="BV57" s="52"/>
      <c r="BW57" s="52"/>
      <c r="BX57" s="52"/>
      <c r="BY57" s="52"/>
      <c r="BZ57" s="52"/>
      <c r="CA57" s="52"/>
      <c r="CB57" s="52"/>
      <c r="CC57" s="52"/>
    </row>
    <row r="58" spans="46:81" ht="16.05" customHeight="1">
      <c r="AT58" s="232" t="s">
        <v>436</v>
      </c>
      <c r="AU58" s="249">
        <f t="shared" si="1"/>
        <v>0</v>
      </c>
      <c r="AV58" s="249">
        <f t="shared" ref="AV58:BI58" si="17">AV103</f>
        <v>0</v>
      </c>
      <c r="AW58" s="249">
        <f t="shared" si="17"/>
        <v>0</v>
      </c>
      <c r="AX58" s="249">
        <f t="shared" si="17"/>
        <v>0</v>
      </c>
      <c r="AY58" s="249">
        <f t="shared" si="17"/>
        <v>0</v>
      </c>
      <c r="AZ58" s="249">
        <f t="shared" si="17"/>
        <v>0</v>
      </c>
      <c r="BA58" s="249">
        <f t="shared" si="17"/>
        <v>0</v>
      </c>
      <c r="BB58" s="249">
        <f t="shared" si="17"/>
        <v>25297.051877142174</v>
      </c>
      <c r="BC58" s="249">
        <f t="shared" si="17"/>
        <v>0</v>
      </c>
      <c r="BD58" s="249">
        <f t="shared" si="17"/>
        <v>0</v>
      </c>
      <c r="BE58" s="249">
        <f t="shared" si="17"/>
        <v>0</v>
      </c>
      <c r="BF58" s="249">
        <f t="shared" si="17"/>
        <v>0</v>
      </c>
      <c r="BG58" s="249">
        <f t="shared" si="17"/>
        <v>0</v>
      </c>
      <c r="BH58" s="249">
        <f t="shared" si="17"/>
        <v>0</v>
      </c>
      <c r="BI58" s="249">
        <f t="shared" si="17"/>
        <v>0</v>
      </c>
      <c r="BN58" s="233"/>
      <c r="BO58" s="52"/>
      <c r="BP58" s="52"/>
      <c r="BQ58" s="52"/>
      <c r="BR58" s="52"/>
      <c r="BS58" s="52"/>
      <c r="BT58" s="52"/>
      <c r="BU58" s="52"/>
      <c r="BV58" s="52"/>
      <c r="BW58" s="52"/>
      <c r="BX58" s="52"/>
      <c r="BY58" s="52"/>
      <c r="BZ58" s="52"/>
      <c r="CA58" s="52"/>
      <c r="CB58" s="52"/>
      <c r="CC58" s="52"/>
    </row>
    <row r="59" spans="46:81" ht="16.05" customHeight="1">
      <c r="AT59" s="232" t="s">
        <v>433</v>
      </c>
      <c r="AU59" s="249">
        <f t="shared" si="1"/>
        <v>0</v>
      </c>
      <c r="AV59" s="249">
        <f t="shared" ref="AV59:BI59" si="18">AV104</f>
        <v>0</v>
      </c>
      <c r="AW59" s="249">
        <f t="shared" si="18"/>
        <v>0</v>
      </c>
      <c r="AX59" s="249">
        <f t="shared" si="18"/>
        <v>0</v>
      </c>
      <c r="AY59" s="249">
        <f t="shared" si="18"/>
        <v>0</v>
      </c>
      <c r="AZ59" s="249">
        <f t="shared" si="18"/>
        <v>0</v>
      </c>
      <c r="BA59" s="249">
        <f t="shared" si="18"/>
        <v>0</v>
      </c>
      <c r="BB59" s="249">
        <f t="shared" si="18"/>
        <v>0</v>
      </c>
      <c r="BC59" s="249">
        <f t="shared" si="18"/>
        <v>8855804.320336977</v>
      </c>
      <c r="BD59" s="249">
        <f t="shared" si="18"/>
        <v>0</v>
      </c>
      <c r="BE59" s="249">
        <f t="shared" si="18"/>
        <v>0</v>
      </c>
      <c r="BF59" s="249">
        <f t="shared" si="18"/>
        <v>0</v>
      </c>
      <c r="BG59" s="249">
        <f t="shared" si="18"/>
        <v>0</v>
      </c>
      <c r="BH59" s="249">
        <f t="shared" si="18"/>
        <v>0</v>
      </c>
      <c r="BI59" s="249">
        <f t="shared" si="18"/>
        <v>0</v>
      </c>
      <c r="BN59" s="233"/>
      <c r="BO59" s="52"/>
      <c r="BP59" s="52"/>
      <c r="BQ59" s="52"/>
      <c r="BR59" s="52"/>
      <c r="BS59" s="52"/>
      <c r="BT59" s="52"/>
      <c r="BU59" s="52"/>
      <c r="BV59" s="52"/>
      <c r="BW59" s="52"/>
      <c r="BX59" s="52"/>
      <c r="BY59" s="52"/>
      <c r="BZ59" s="52"/>
      <c r="CA59" s="52"/>
      <c r="CB59" s="52"/>
      <c r="CC59" s="52"/>
    </row>
    <row r="60" spans="46:81" ht="16.05" customHeight="1">
      <c r="AT60" s="232" t="s">
        <v>439</v>
      </c>
      <c r="AU60" s="249">
        <f t="shared" si="1"/>
        <v>0</v>
      </c>
      <c r="AV60" s="249">
        <f t="shared" ref="AV60:BI60" si="19">AV105</f>
        <v>0</v>
      </c>
      <c r="AW60" s="249">
        <f t="shared" si="19"/>
        <v>0</v>
      </c>
      <c r="AX60" s="249">
        <f t="shared" si="19"/>
        <v>0</v>
      </c>
      <c r="AY60" s="249">
        <f t="shared" si="19"/>
        <v>0</v>
      </c>
      <c r="AZ60" s="249">
        <f t="shared" si="19"/>
        <v>0</v>
      </c>
      <c r="BA60" s="249">
        <f t="shared" si="19"/>
        <v>0</v>
      </c>
      <c r="BB60" s="249">
        <f t="shared" si="19"/>
        <v>0</v>
      </c>
      <c r="BC60" s="249">
        <f t="shared" si="19"/>
        <v>0</v>
      </c>
      <c r="BD60" s="249">
        <f t="shared" si="19"/>
        <v>0</v>
      </c>
      <c r="BE60" s="249">
        <f t="shared" si="19"/>
        <v>0</v>
      </c>
      <c r="BF60" s="249">
        <f t="shared" si="19"/>
        <v>0</v>
      </c>
      <c r="BG60" s="249">
        <f t="shared" si="19"/>
        <v>0</v>
      </c>
      <c r="BH60" s="249">
        <f t="shared" si="19"/>
        <v>88071.706245154463</v>
      </c>
      <c r="BI60" s="249">
        <f t="shared" si="19"/>
        <v>0</v>
      </c>
      <c r="BN60" s="233"/>
      <c r="BO60" s="52"/>
      <c r="BP60" s="52"/>
      <c r="BQ60" s="52"/>
      <c r="BR60" s="52"/>
      <c r="BS60" s="52"/>
      <c r="BT60" s="52"/>
      <c r="BU60" s="52"/>
      <c r="BV60" s="52"/>
      <c r="BW60" s="52"/>
      <c r="BX60" s="52"/>
      <c r="BY60" s="52"/>
      <c r="BZ60" s="52"/>
      <c r="CA60" s="52"/>
      <c r="CB60" s="52"/>
      <c r="CC60" s="52"/>
    </row>
    <row r="61" spans="46:81">
      <c r="AT61" s="233" t="s">
        <v>438</v>
      </c>
      <c r="AU61" s="249">
        <f t="shared" si="1"/>
        <v>0</v>
      </c>
      <c r="AV61" s="249">
        <f t="shared" ref="AV61:BI61" si="20">AV106</f>
        <v>0</v>
      </c>
      <c r="AW61" s="249">
        <f t="shared" si="20"/>
        <v>0</v>
      </c>
      <c r="AX61" s="249">
        <f t="shared" si="20"/>
        <v>0</v>
      </c>
      <c r="AY61" s="249">
        <f t="shared" si="20"/>
        <v>0</v>
      </c>
      <c r="AZ61" s="249">
        <f t="shared" si="20"/>
        <v>0</v>
      </c>
      <c r="BA61" s="249">
        <f t="shared" si="20"/>
        <v>0</v>
      </c>
      <c r="BB61" s="249">
        <f t="shared" si="20"/>
        <v>0</v>
      </c>
      <c r="BC61" s="249">
        <f t="shared" si="20"/>
        <v>0</v>
      </c>
      <c r="BD61" s="249">
        <f t="shared" si="20"/>
        <v>0</v>
      </c>
      <c r="BE61" s="249">
        <f t="shared" si="20"/>
        <v>0</v>
      </c>
      <c r="BF61" s="249">
        <f t="shared" si="20"/>
        <v>0</v>
      </c>
      <c r="BG61" s="249">
        <f t="shared" si="20"/>
        <v>0</v>
      </c>
      <c r="BH61" s="249">
        <f t="shared" si="20"/>
        <v>0</v>
      </c>
      <c r="BI61" s="249">
        <f t="shared" si="20"/>
        <v>0</v>
      </c>
      <c r="BN61" s="233"/>
      <c r="BO61" s="52"/>
      <c r="BP61" s="52"/>
      <c r="BQ61" s="52"/>
      <c r="BR61" s="52"/>
      <c r="BS61" s="52"/>
      <c r="BT61" s="52"/>
      <c r="BU61" s="52"/>
      <c r="BV61" s="52"/>
      <c r="BW61" s="52"/>
      <c r="BX61" s="52"/>
      <c r="BY61" s="52"/>
      <c r="BZ61" s="52"/>
      <c r="CA61" s="52"/>
      <c r="CB61" s="52"/>
      <c r="CC61" s="52"/>
    </row>
    <row r="62" spans="46:81">
      <c r="AT62" s="233" t="s">
        <v>424</v>
      </c>
      <c r="AU62" s="249">
        <f t="shared" si="1"/>
        <v>0</v>
      </c>
      <c r="AV62" s="249">
        <f t="shared" ref="AV62:BI62" si="21">AV107</f>
        <v>0</v>
      </c>
      <c r="AW62" s="249">
        <f t="shared" si="21"/>
        <v>0</v>
      </c>
      <c r="AX62" s="249">
        <f t="shared" si="21"/>
        <v>0</v>
      </c>
      <c r="AY62" s="249">
        <f t="shared" si="21"/>
        <v>0</v>
      </c>
      <c r="AZ62" s="249">
        <f t="shared" si="21"/>
        <v>0</v>
      </c>
      <c r="BA62" s="249">
        <f t="shared" si="21"/>
        <v>0</v>
      </c>
      <c r="BB62" s="249">
        <f t="shared" si="21"/>
        <v>0</v>
      </c>
      <c r="BC62" s="249">
        <f t="shared" si="21"/>
        <v>0</v>
      </c>
      <c r="BD62" s="249">
        <f t="shared" si="21"/>
        <v>25297.051877142174</v>
      </c>
      <c r="BE62" s="249">
        <f t="shared" si="21"/>
        <v>0</v>
      </c>
      <c r="BF62" s="249">
        <f t="shared" si="21"/>
        <v>0</v>
      </c>
      <c r="BG62" s="249">
        <f t="shared" si="21"/>
        <v>0</v>
      </c>
      <c r="BH62" s="249">
        <f t="shared" si="21"/>
        <v>0</v>
      </c>
      <c r="BI62" s="249">
        <f t="shared" si="21"/>
        <v>0</v>
      </c>
      <c r="BN62" s="233"/>
      <c r="BO62" s="52"/>
      <c r="BP62" s="52"/>
      <c r="BQ62" s="52"/>
      <c r="BR62" s="52"/>
      <c r="BS62" s="52"/>
      <c r="BT62" s="52"/>
      <c r="BU62" s="52"/>
      <c r="BV62" s="52"/>
      <c r="BW62" s="52"/>
      <c r="BX62" s="52"/>
      <c r="BY62" s="52"/>
      <c r="BZ62" s="52"/>
      <c r="CA62" s="52"/>
      <c r="CB62" s="52"/>
      <c r="CC62" s="52"/>
    </row>
    <row r="63" spans="46:81">
      <c r="AT63" s="233" t="s">
        <v>456</v>
      </c>
      <c r="AU63" s="249">
        <f t="shared" si="1"/>
        <v>0</v>
      </c>
      <c r="AV63" s="249">
        <f t="shared" ref="AV63:BI63" si="22">AV108</f>
        <v>0</v>
      </c>
      <c r="AW63" s="249">
        <f t="shared" si="22"/>
        <v>0</v>
      </c>
      <c r="AX63" s="249">
        <f t="shared" si="22"/>
        <v>0</v>
      </c>
      <c r="AY63" s="249">
        <f t="shared" si="22"/>
        <v>0</v>
      </c>
      <c r="AZ63" s="249">
        <f t="shared" si="22"/>
        <v>0</v>
      </c>
      <c r="BA63" s="249">
        <f t="shared" si="22"/>
        <v>0</v>
      </c>
      <c r="BB63" s="249">
        <f t="shared" si="22"/>
        <v>0</v>
      </c>
      <c r="BC63" s="249">
        <f t="shared" si="22"/>
        <v>0</v>
      </c>
      <c r="BD63" s="249">
        <f t="shared" si="22"/>
        <v>0</v>
      </c>
      <c r="BE63" s="249">
        <f t="shared" si="22"/>
        <v>8855804.320336977</v>
      </c>
      <c r="BF63" s="249">
        <f t="shared" si="22"/>
        <v>0</v>
      </c>
      <c r="BG63" s="249">
        <f t="shared" si="22"/>
        <v>0</v>
      </c>
      <c r="BH63" s="249">
        <f t="shared" si="22"/>
        <v>0</v>
      </c>
      <c r="BI63" s="249">
        <f t="shared" si="22"/>
        <v>0</v>
      </c>
      <c r="BN63" s="233"/>
      <c r="BO63" s="52"/>
      <c r="BP63" s="52"/>
      <c r="BQ63" s="52"/>
      <c r="BR63" s="52"/>
      <c r="BS63" s="52"/>
      <c r="BT63" s="52"/>
      <c r="BU63" s="52"/>
      <c r="BV63" s="52"/>
      <c r="BW63" s="52"/>
      <c r="BX63" s="52"/>
      <c r="BY63" s="52"/>
      <c r="BZ63" s="52"/>
      <c r="CA63" s="52"/>
      <c r="CB63" s="52"/>
      <c r="CC63" s="52"/>
    </row>
    <row r="64" spans="46:81">
      <c r="AT64" s="233" t="s">
        <v>425</v>
      </c>
      <c r="AU64" s="249">
        <f t="shared" si="1"/>
        <v>0</v>
      </c>
      <c r="AV64" s="249">
        <f t="shared" ref="AV64:BI64" si="23">AV109</f>
        <v>0</v>
      </c>
      <c r="AW64" s="249">
        <f t="shared" si="23"/>
        <v>0</v>
      </c>
      <c r="AX64" s="249">
        <f t="shared" si="23"/>
        <v>0</v>
      </c>
      <c r="AY64" s="249">
        <f t="shared" si="23"/>
        <v>0</v>
      </c>
      <c r="AZ64" s="249">
        <f t="shared" si="23"/>
        <v>0</v>
      </c>
      <c r="BA64" s="249">
        <f t="shared" si="23"/>
        <v>0</v>
      </c>
      <c r="BB64" s="249">
        <f t="shared" si="23"/>
        <v>0</v>
      </c>
      <c r="BC64" s="249">
        <f t="shared" si="23"/>
        <v>0</v>
      </c>
      <c r="BD64" s="249">
        <f t="shared" si="23"/>
        <v>0</v>
      </c>
      <c r="BE64" s="249">
        <f t="shared" si="23"/>
        <v>0</v>
      </c>
      <c r="BF64" s="249">
        <f t="shared" si="23"/>
        <v>0</v>
      </c>
      <c r="BG64" s="249">
        <f t="shared" si="23"/>
        <v>0</v>
      </c>
      <c r="BH64" s="249">
        <f t="shared" si="23"/>
        <v>242016.07607977447</v>
      </c>
      <c r="BI64" s="249">
        <f t="shared" si="23"/>
        <v>0</v>
      </c>
      <c r="BN64" s="233"/>
      <c r="BO64" s="52"/>
      <c r="BP64" s="52"/>
      <c r="BQ64" s="52"/>
      <c r="BR64" s="52"/>
      <c r="BS64" s="52"/>
      <c r="BT64" s="52"/>
      <c r="BU64" s="52"/>
      <c r="BV64" s="52"/>
      <c r="BW64" s="52"/>
      <c r="BX64" s="52"/>
      <c r="BY64" s="52"/>
      <c r="BZ64" s="52"/>
      <c r="CA64" s="52"/>
      <c r="CB64" s="52"/>
      <c r="CC64" s="52"/>
    </row>
    <row r="65" spans="46:81">
      <c r="AT65" s="233" t="s">
        <v>427</v>
      </c>
      <c r="AU65" s="249">
        <f t="shared" si="1"/>
        <v>0</v>
      </c>
      <c r="AV65" s="249">
        <f t="shared" ref="AV65:BI65" si="24">AV110</f>
        <v>0</v>
      </c>
      <c r="AW65" s="249">
        <f t="shared" si="24"/>
        <v>0</v>
      </c>
      <c r="AX65" s="249">
        <f t="shared" si="24"/>
        <v>0</v>
      </c>
      <c r="AY65" s="249">
        <f t="shared" si="24"/>
        <v>0</v>
      </c>
      <c r="AZ65" s="249">
        <f t="shared" si="24"/>
        <v>0</v>
      </c>
      <c r="BA65" s="249">
        <f t="shared" si="24"/>
        <v>0</v>
      </c>
      <c r="BB65" s="249">
        <f t="shared" si="24"/>
        <v>0</v>
      </c>
      <c r="BC65" s="249">
        <f t="shared" si="24"/>
        <v>0</v>
      </c>
      <c r="BD65" s="249">
        <f t="shared" si="24"/>
        <v>0</v>
      </c>
      <c r="BE65" s="249">
        <f t="shared" si="24"/>
        <v>0</v>
      </c>
      <c r="BF65" s="249">
        <f t="shared" si="24"/>
        <v>0</v>
      </c>
      <c r="BG65" s="249">
        <f t="shared" si="24"/>
        <v>0</v>
      </c>
      <c r="BH65" s="249">
        <f t="shared" si="24"/>
        <v>0</v>
      </c>
      <c r="BI65" s="249">
        <f t="shared" si="24"/>
        <v>0</v>
      </c>
      <c r="BN65" s="233"/>
      <c r="BO65" s="52"/>
      <c r="BP65" s="52"/>
      <c r="BQ65" s="52"/>
      <c r="BR65" s="52"/>
      <c r="BS65" s="52"/>
      <c r="BT65" s="52"/>
      <c r="BU65" s="52"/>
      <c r="BV65" s="52"/>
      <c r="BW65" s="52"/>
      <c r="BX65" s="52"/>
      <c r="BY65" s="52"/>
      <c r="BZ65" s="52"/>
      <c r="CA65" s="52"/>
      <c r="CB65" s="52"/>
      <c r="CC65" s="52"/>
    </row>
    <row r="66" spans="46:81">
      <c r="AT66" s="233" t="s">
        <v>426</v>
      </c>
      <c r="AU66" s="249">
        <f t="shared" si="1"/>
        <v>0</v>
      </c>
      <c r="AV66" s="249">
        <f t="shared" ref="AV66:BI66" si="25">AV111</f>
        <v>0</v>
      </c>
      <c r="AW66" s="249">
        <f t="shared" si="25"/>
        <v>0</v>
      </c>
      <c r="AX66" s="249">
        <f t="shared" si="25"/>
        <v>0</v>
      </c>
      <c r="AY66" s="249">
        <f t="shared" si="25"/>
        <v>0</v>
      </c>
      <c r="AZ66" s="249">
        <f t="shared" si="25"/>
        <v>0</v>
      </c>
      <c r="BA66" s="249">
        <f t="shared" si="25"/>
        <v>0</v>
      </c>
      <c r="BB66" s="249">
        <f t="shared" si="25"/>
        <v>0</v>
      </c>
      <c r="BC66" s="249">
        <f t="shared" si="25"/>
        <v>0</v>
      </c>
      <c r="BD66" s="249">
        <f t="shared" si="25"/>
        <v>0</v>
      </c>
      <c r="BE66" s="249">
        <f t="shared" si="25"/>
        <v>0</v>
      </c>
      <c r="BF66" s="249">
        <f t="shared" si="25"/>
        <v>0</v>
      </c>
      <c r="BG66" s="249">
        <f t="shared" si="25"/>
        <v>0</v>
      </c>
      <c r="BH66" s="249">
        <f t="shared" si="25"/>
        <v>0</v>
      </c>
      <c r="BI66" s="249">
        <f t="shared" si="25"/>
        <v>0</v>
      </c>
      <c r="BN66" s="233"/>
      <c r="BO66" s="52"/>
      <c r="BP66" s="52"/>
      <c r="BQ66" s="52"/>
      <c r="BR66" s="52"/>
      <c r="BS66" s="52"/>
      <c r="BT66" s="52"/>
      <c r="BU66" s="52"/>
      <c r="BV66" s="52"/>
      <c r="BW66" s="52"/>
      <c r="BX66" s="52"/>
      <c r="BY66" s="52"/>
      <c r="BZ66" s="52"/>
      <c r="CA66" s="52"/>
      <c r="CB66" s="52"/>
      <c r="CC66" s="52"/>
    </row>
    <row r="67" spans="46:81">
      <c r="AT67" s="233" t="s">
        <v>484</v>
      </c>
      <c r="AU67" s="249">
        <f t="shared" si="1"/>
        <v>0</v>
      </c>
      <c r="AV67" s="249">
        <f t="shared" ref="AV67:BI67" si="26">AV112</f>
        <v>0</v>
      </c>
      <c r="AW67" s="249">
        <f t="shared" si="26"/>
        <v>0</v>
      </c>
      <c r="AX67" s="249">
        <f t="shared" si="26"/>
        <v>0</v>
      </c>
      <c r="AY67" s="249">
        <f t="shared" si="26"/>
        <v>0</v>
      </c>
      <c r="AZ67" s="249">
        <f t="shared" si="26"/>
        <v>0</v>
      </c>
      <c r="BA67" s="249">
        <f t="shared" si="26"/>
        <v>0</v>
      </c>
      <c r="BB67" s="249">
        <f t="shared" si="26"/>
        <v>0</v>
      </c>
      <c r="BC67" s="249">
        <f t="shared" si="26"/>
        <v>0</v>
      </c>
      <c r="BD67" s="249">
        <f t="shared" si="26"/>
        <v>0</v>
      </c>
      <c r="BE67" s="249">
        <f t="shared" si="26"/>
        <v>0</v>
      </c>
      <c r="BF67" s="249">
        <f t="shared" si="26"/>
        <v>0</v>
      </c>
      <c r="BG67" s="249">
        <f t="shared" si="26"/>
        <v>0</v>
      </c>
      <c r="BH67" s="249">
        <f t="shared" si="26"/>
        <v>6408288.6211381694</v>
      </c>
      <c r="BI67" s="249">
        <f t="shared" si="26"/>
        <v>0</v>
      </c>
      <c r="BN67" s="233"/>
      <c r="BO67" s="52"/>
      <c r="BP67" s="52"/>
      <c r="BQ67" s="52"/>
      <c r="BR67" s="52"/>
      <c r="BS67" s="52"/>
      <c r="BT67" s="52"/>
      <c r="BU67" s="52"/>
      <c r="BV67" s="52"/>
      <c r="BW67" s="52"/>
      <c r="BX67" s="52"/>
      <c r="BY67" s="52"/>
      <c r="BZ67" s="52"/>
      <c r="CA67" s="52"/>
      <c r="CB67" s="52"/>
      <c r="CC67" s="52"/>
    </row>
    <row r="68" spans="46:81" ht="16.05" customHeight="1">
      <c r="AT68" s="247" t="s">
        <v>422</v>
      </c>
      <c r="AU68" s="249">
        <f t="shared" si="1"/>
        <v>0</v>
      </c>
      <c r="AV68" s="249">
        <f t="shared" ref="AV68:BI68" si="27">AV113</f>
        <v>0</v>
      </c>
      <c r="AW68" s="249">
        <f t="shared" si="27"/>
        <v>0</v>
      </c>
      <c r="AX68" s="249">
        <f t="shared" si="27"/>
        <v>0</v>
      </c>
      <c r="AY68" s="249">
        <f t="shared" si="27"/>
        <v>0</v>
      </c>
      <c r="AZ68" s="249">
        <f t="shared" si="27"/>
        <v>0</v>
      </c>
      <c r="BA68" s="249">
        <f t="shared" si="27"/>
        <v>0</v>
      </c>
      <c r="BB68" s="249">
        <f t="shared" si="27"/>
        <v>0</v>
      </c>
      <c r="BC68" s="249">
        <f t="shared" si="27"/>
        <v>0</v>
      </c>
      <c r="BD68" s="249">
        <f t="shared" si="27"/>
        <v>0</v>
      </c>
      <c r="BE68" s="249">
        <f t="shared" si="27"/>
        <v>0</v>
      </c>
      <c r="BF68" s="249">
        <f t="shared" si="27"/>
        <v>4026178.1360752485</v>
      </c>
      <c r="BG68" s="249">
        <f t="shared" si="27"/>
        <v>0</v>
      </c>
      <c r="BH68" s="249">
        <f t="shared" si="27"/>
        <v>0</v>
      </c>
      <c r="BI68" s="249">
        <f t="shared" si="27"/>
        <v>0</v>
      </c>
      <c r="BN68" s="233"/>
      <c r="BO68" s="52"/>
      <c r="BP68" s="52"/>
      <c r="BQ68" s="52"/>
      <c r="BR68" s="52"/>
      <c r="BS68" s="52"/>
      <c r="BT68" s="52"/>
      <c r="BU68" s="52"/>
      <c r="BV68" s="52"/>
      <c r="BW68" s="52"/>
      <c r="BX68" s="52"/>
      <c r="BY68" s="52"/>
      <c r="BZ68" s="52"/>
      <c r="CA68" s="52"/>
      <c r="CB68" s="52"/>
      <c r="CC68" s="52"/>
    </row>
    <row r="69" spans="46:81" ht="16.05" customHeight="1">
      <c r="AT69" s="247" t="s">
        <v>552</v>
      </c>
      <c r="AU69" s="249"/>
      <c r="AV69" s="249"/>
      <c r="AW69" s="249"/>
      <c r="AX69" s="249"/>
      <c r="AY69" s="249"/>
      <c r="AZ69" s="249"/>
      <c r="BA69" s="249"/>
      <c r="BB69" s="249"/>
      <c r="BC69" s="249"/>
      <c r="BD69" s="249"/>
      <c r="BE69" s="249"/>
      <c r="BF69" s="249"/>
      <c r="BG69" s="249"/>
      <c r="BH69" s="249"/>
      <c r="BI69" s="249"/>
      <c r="BN69" s="233"/>
      <c r="BO69" s="52"/>
      <c r="BP69" s="52"/>
      <c r="BQ69" s="52"/>
      <c r="BR69" s="52"/>
      <c r="BS69" s="52"/>
      <c r="BT69" s="52"/>
      <c r="BU69" s="52"/>
      <c r="BV69" s="52"/>
      <c r="BW69" s="52"/>
      <c r="BX69" s="52"/>
      <c r="BY69" s="52"/>
      <c r="BZ69" s="52"/>
      <c r="CA69" s="52"/>
      <c r="CB69" s="52"/>
      <c r="CC69" s="52"/>
    </row>
    <row r="70" spans="46:81">
      <c r="AT70" s="233" t="s">
        <v>421</v>
      </c>
      <c r="AU70" s="249">
        <f t="shared" ref="AU70:AU77" si="28">AU115</f>
        <v>0</v>
      </c>
      <c r="AV70" s="249">
        <f t="shared" ref="AV70:BI70" si="29">AV115</f>
        <v>0</v>
      </c>
      <c r="AW70" s="249">
        <f t="shared" si="29"/>
        <v>0</v>
      </c>
      <c r="AX70" s="249">
        <f t="shared" si="29"/>
        <v>0</v>
      </c>
      <c r="AY70" s="249">
        <f t="shared" si="29"/>
        <v>0</v>
      </c>
      <c r="AZ70" s="249">
        <f t="shared" si="29"/>
        <v>0</v>
      </c>
      <c r="BA70" s="249">
        <f t="shared" si="29"/>
        <v>0</v>
      </c>
      <c r="BB70" s="249">
        <f t="shared" si="29"/>
        <v>0</v>
      </c>
      <c r="BC70" s="249">
        <f t="shared" si="29"/>
        <v>0</v>
      </c>
      <c r="BD70" s="249">
        <f t="shared" si="29"/>
        <v>0</v>
      </c>
      <c r="BE70" s="249">
        <f t="shared" si="29"/>
        <v>0</v>
      </c>
      <c r="BF70" s="249">
        <f t="shared" si="29"/>
        <v>0</v>
      </c>
      <c r="BG70" s="249">
        <f t="shared" si="29"/>
        <v>0</v>
      </c>
      <c r="BH70" s="249">
        <f t="shared" si="29"/>
        <v>0</v>
      </c>
      <c r="BI70" s="249">
        <f t="shared" si="29"/>
        <v>0</v>
      </c>
      <c r="BN70" s="233"/>
      <c r="BO70" s="52"/>
      <c r="BP70" s="52"/>
      <c r="BQ70" s="52"/>
      <c r="BR70" s="52"/>
      <c r="BS70" s="52"/>
      <c r="BT70" s="52"/>
      <c r="BU70" s="52"/>
      <c r="BV70" s="52"/>
      <c r="BW70" s="52"/>
      <c r="BX70" s="52"/>
      <c r="BY70" s="52"/>
      <c r="BZ70" s="52"/>
      <c r="CA70" s="52"/>
      <c r="CB70" s="52"/>
      <c r="CC70" s="52"/>
    </row>
    <row r="71" spans="46:81">
      <c r="AT71" s="134" t="s">
        <v>423</v>
      </c>
      <c r="AU71" s="249">
        <f t="shared" si="28"/>
        <v>0</v>
      </c>
      <c r="AV71" s="249">
        <f t="shared" ref="AV71:BI71" si="30">AV116</f>
        <v>0</v>
      </c>
      <c r="AW71" s="249">
        <f t="shared" si="30"/>
        <v>0</v>
      </c>
      <c r="AX71" s="249">
        <f t="shared" si="30"/>
        <v>0</v>
      </c>
      <c r="AY71" s="249">
        <f t="shared" si="30"/>
        <v>0</v>
      </c>
      <c r="AZ71" s="249">
        <f t="shared" si="30"/>
        <v>0</v>
      </c>
      <c r="BA71" s="249">
        <f t="shared" si="30"/>
        <v>0</v>
      </c>
      <c r="BB71" s="249">
        <f t="shared" si="30"/>
        <v>0</v>
      </c>
      <c r="BC71" s="249">
        <f t="shared" si="30"/>
        <v>0</v>
      </c>
      <c r="BD71" s="249">
        <f t="shared" si="30"/>
        <v>0</v>
      </c>
      <c r="BE71" s="249">
        <f t="shared" si="30"/>
        <v>0</v>
      </c>
      <c r="BF71" s="249">
        <f t="shared" si="30"/>
        <v>0</v>
      </c>
      <c r="BG71" s="249">
        <f t="shared" si="30"/>
        <v>0</v>
      </c>
      <c r="BH71" s="249">
        <f t="shared" si="30"/>
        <v>0</v>
      </c>
      <c r="BI71" s="249">
        <f t="shared" si="30"/>
        <v>0</v>
      </c>
      <c r="BN71" s="233"/>
      <c r="BO71" s="52"/>
      <c r="BP71" s="52"/>
      <c r="BQ71" s="52"/>
      <c r="BR71" s="52"/>
      <c r="BS71" s="52"/>
      <c r="BT71" s="52"/>
      <c r="BU71" s="52"/>
      <c r="BV71" s="52"/>
      <c r="BW71" s="52"/>
      <c r="BX71" s="52"/>
      <c r="BY71" s="52"/>
      <c r="BZ71" s="52"/>
      <c r="CA71" s="52"/>
      <c r="CB71" s="52"/>
      <c r="CC71" s="52"/>
    </row>
    <row r="72" spans="46:81">
      <c r="AT72" s="233" t="s">
        <v>515</v>
      </c>
      <c r="AU72" s="249">
        <f t="shared" si="28"/>
        <v>0</v>
      </c>
      <c r="AV72" s="249">
        <f t="shared" ref="AV72:BI72" si="31">AV117</f>
        <v>0</v>
      </c>
      <c r="AW72" s="249">
        <f t="shared" si="31"/>
        <v>0</v>
      </c>
      <c r="AX72" s="249">
        <f t="shared" si="31"/>
        <v>0</v>
      </c>
      <c r="AY72" s="249">
        <f t="shared" si="31"/>
        <v>0</v>
      </c>
      <c r="AZ72" s="249">
        <f t="shared" si="31"/>
        <v>0</v>
      </c>
      <c r="BA72" s="249">
        <f t="shared" si="31"/>
        <v>0</v>
      </c>
      <c r="BB72" s="249">
        <f t="shared" si="31"/>
        <v>0</v>
      </c>
      <c r="BC72" s="249">
        <f t="shared" si="31"/>
        <v>0</v>
      </c>
      <c r="BD72" s="249">
        <f t="shared" si="31"/>
        <v>0</v>
      </c>
      <c r="BE72" s="249">
        <f t="shared" si="31"/>
        <v>0</v>
      </c>
      <c r="BF72" s="249">
        <f t="shared" si="31"/>
        <v>0</v>
      </c>
      <c r="BG72" s="249">
        <f t="shared" si="31"/>
        <v>4043367.3234254471</v>
      </c>
      <c r="BH72" s="249">
        <f t="shared" si="31"/>
        <v>0</v>
      </c>
      <c r="BI72" s="249">
        <f t="shared" si="31"/>
        <v>0</v>
      </c>
      <c r="BN72" s="233"/>
      <c r="BO72" s="52"/>
      <c r="BP72" s="52"/>
      <c r="BQ72" s="52"/>
      <c r="BR72" s="52"/>
      <c r="BS72" s="52"/>
      <c r="BT72" s="52"/>
      <c r="BU72" s="52"/>
      <c r="BV72" s="52"/>
      <c r="BW72" s="52"/>
      <c r="BX72" s="52"/>
      <c r="BY72" s="52"/>
      <c r="BZ72" s="52"/>
      <c r="CA72" s="52"/>
      <c r="CB72" s="52"/>
      <c r="CC72" s="52"/>
    </row>
    <row r="73" spans="46:81">
      <c r="AT73" s="233" t="s">
        <v>517</v>
      </c>
      <c r="AU73" s="249">
        <f t="shared" si="28"/>
        <v>0</v>
      </c>
      <c r="AV73" s="249">
        <f t="shared" ref="AV73" si="32">AV118</f>
        <v>0</v>
      </c>
      <c r="AW73" s="249">
        <f t="shared" ref="AW73" si="33">AW118</f>
        <v>0</v>
      </c>
      <c r="AX73" s="249">
        <f t="shared" ref="AX73" si="34">AX118</f>
        <v>0</v>
      </c>
      <c r="AY73" s="249">
        <f t="shared" ref="AY73" si="35">AY118</f>
        <v>0</v>
      </c>
      <c r="AZ73" s="249">
        <f t="shared" ref="AZ73" si="36">AZ118</f>
        <v>0</v>
      </c>
      <c r="BA73" s="249">
        <f t="shared" ref="BA73" si="37">BA118</f>
        <v>0</v>
      </c>
      <c r="BB73" s="249">
        <f t="shared" ref="BB73" si="38">BB118</f>
        <v>0</v>
      </c>
      <c r="BC73" s="249">
        <f t="shared" ref="BC73" si="39">BC118</f>
        <v>0</v>
      </c>
      <c r="BD73" s="249">
        <f t="shared" ref="BD73" si="40">BD118</f>
        <v>0</v>
      </c>
      <c r="BE73" s="249">
        <f t="shared" ref="BE73" si="41">BE118</f>
        <v>0</v>
      </c>
      <c r="BF73" s="249">
        <f t="shared" ref="BF73:BI73" si="42">BF118</f>
        <v>0</v>
      </c>
      <c r="BG73" s="249">
        <f t="shared" si="42"/>
        <v>0</v>
      </c>
      <c r="BH73" s="249">
        <f t="shared" si="42"/>
        <v>0</v>
      </c>
      <c r="BI73" s="249">
        <f t="shared" si="42"/>
        <v>2830357.1263978118</v>
      </c>
      <c r="BN73" s="233"/>
      <c r="BO73" s="52"/>
      <c r="BP73" s="52"/>
      <c r="BQ73" s="52"/>
      <c r="BR73" s="52"/>
      <c r="BS73" s="52"/>
      <c r="BT73" s="52"/>
      <c r="BU73" s="52"/>
      <c r="BV73" s="52"/>
      <c r="BW73" s="52"/>
      <c r="BX73" s="52"/>
      <c r="BY73" s="52"/>
      <c r="BZ73" s="52"/>
      <c r="CA73" s="52"/>
      <c r="CB73" s="52"/>
      <c r="CC73" s="52"/>
    </row>
    <row r="74" spans="46:81">
      <c r="AT74" s="233" t="s">
        <v>445</v>
      </c>
      <c r="AU74" s="249">
        <f t="shared" si="28"/>
        <v>0</v>
      </c>
      <c r="AV74" s="249">
        <f t="shared" ref="AV74:BI74" si="43">AV119</f>
        <v>0</v>
      </c>
      <c r="AW74" s="249">
        <f t="shared" si="43"/>
        <v>0</v>
      </c>
      <c r="AX74" s="249">
        <f t="shared" si="43"/>
        <v>0</v>
      </c>
      <c r="AY74" s="249">
        <f t="shared" si="43"/>
        <v>0</v>
      </c>
      <c r="AZ74" s="249">
        <f t="shared" si="43"/>
        <v>0</v>
      </c>
      <c r="BA74" s="249">
        <f t="shared" si="43"/>
        <v>0</v>
      </c>
      <c r="BB74" s="249">
        <f t="shared" si="43"/>
        <v>0</v>
      </c>
      <c r="BC74" s="249">
        <f t="shared" si="43"/>
        <v>0</v>
      </c>
      <c r="BD74" s="249">
        <f t="shared" si="43"/>
        <v>0</v>
      </c>
      <c r="BE74" s="249">
        <f t="shared" si="43"/>
        <v>0</v>
      </c>
      <c r="BF74" s="249">
        <f t="shared" si="43"/>
        <v>0</v>
      </c>
      <c r="BG74" s="249">
        <f t="shared" si="43"/>
        <v>0</v>
      </c>
      <c r="BH74" s="249">
        <f t="shared" si="43"/>
        <v>0</v>
      </c>
      <c r="BI74" s="249">
        <f t="shared" si="43"/>
        <v>6682782.3361421349</v>
      </c>
      <c r="BN74" s="233"/>
      <c r="BO74" s="52"/>
      <c r="BP74" s="52"/>
      <c r="BQ74" s="52"/>
      <c r="BR74" s="52"/>
      <c r="BS74" s="52"/>
      <c r="BT74" s="52"/>
      <c r="BU74" s="52"/>
      <c r="BV74" s="52"/>
      <c r="BW74" s="52"/>
      <c r="BX74" s="52"/>
      <c r="BY74" s="52"/>
      <c r="BZ74" s="52"/>
      <c r="CA74" s="52"/>
      <c r="CB74" s="52"/>
      <c r="CC74" s="52"/>
    </row>
    <row r="75" spans="46:81">
      <c r="AT75" s="233" t="s">
        <v>446</v>
      </c>
      <c r="AU75" s="249">
        <f t="shared" si="28"/>
        <v>0</v>
      </c>
      <c r="AV75" s="249">
        <f t="shared" ref="AV75:BI75" si="44">AV120</f>
        <v>0</v>
      </c>
      <c r="AW75" s="249">
        <f t="shared" si="44"/>
        <v>0</v>
      </c>
      <c r="AX75" s="249">
        <f t="shared" si="44"/>
        <v>0</v>
      </c>
      <c r="AY75" s="249">
        <f t="shared" si="44"/>
        <v>0</v>
      </c>
      <c r="AZ75" s="249">
        <f t="shared" si="44"/>
        <v>0</v>
      </c>
      <c r="BA75" s="249">
        <f t="shared" si="44"/>
        <v>0</v>
      </c>
      <c r="BB75" s="249">
        <f t="shared" si="44"/>
        <v>0</v>
      </c>
      <c r="BC75" s="249">
        <f t="shared" si="44"/>
        <v>0</v>
      </c>
      <c r="BD75" s="249">
        <f t="shared" si="44"/>
        <v>0</v>
      </c>
      <c r="BE75" s="249">
        <f t="shared" si="44"/>
        <v>0</v>
      </c>
      <c r="BF75" s="249">
        <f t="shared" si="44"/>
        <v>0</v>
      </c>
      <c r="BG75" s="249">
        <f t="shared" si="44"/>
        <v>0</v>
      </c>
      <c r="BH75" s="249">
        <f t="shared" si="44"/>
        <v>0</v>
      </c>
      <c r="BI75" s="249">
        <f t="shared" si="44"/>
        <v>0</v>
      </c>
      <c r="BN75" s="233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</row>
    <row r="76" spans="46:81">
      <c r="AT76" s="233" t="s">
        <v>447</v>
      </c>
      <c r="AU76" s="249">
        <f t="shared" si="28"/>
        <v>0</v>
      </c>
      <c r="AV76" s="249">
        <f t="shared" ref="AV76:BI76" si="45">AV121</f>
        <v>0</v>
      </c>
      <c r="AW76" s="249">
        <f t="shared" si="45"/>
        <v>0</v>
      </c>
      <c r="AX76" s="249">
        <f t="shared" si="45"/>
        <v>0</v>
      </c>
      <c r="AY76" s="249">
        <f t="shared" si="45"/>
        <v>0</v>
      </c>
      <c r="AZ76" s="249">
        <f t="shared" si="45"/>
        <v>0</v>
      </c>
      <c r="BA76" s="249">
        <f t="shared" si="45"/>
        <v>0</v>
      </c>
      <c r="BB76" s="249">
        <f t="shared" si="45"/>
        <v>0</v>
      </c>
      <c r="BC76" s="249">
        <f t="shared" si="45"/>
        <v>0</v>
      </c>
      <c r="BD76" s="249">
        <f t="shared" si="45"/>
        <v>0</v>
      </c>
      <c r="BE76" s="249">
        <f t="shared" si="45"/>
        <v>0</v>
      </c>
      <c r="BF76" s="249">
        <f t="shared" si="45"/>
        <v>0</v>
      </c>
      <c r="BG76" s="249">
        <f t="shared" si="45"/>
        <v>0</v>
      </c>
      <c r="BH76" s="249">
        <f t="shared" si="45"/>
        <v>0</v>
      </c>
      <c r="BI76" s="249">
        <f t="shared" si="45"/>
        <v>0</v>
      </c>
      <c r="BN76" s="233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</row>
    <row r="77" spans="46:81">
      <c r="AT77" s="233" t="s">
        <v>457</v>
      </c>
      <c r="AU77" s="249">
        <f t="shared" si="28"/>
        <v>0</v>
      </c>
      <c r="AV77" s="249">
        <f t="shared" ref="AV77:BI77" si="46">AV122</f>
        <v>0</v>
      </c>
      <c r="AW77" s="249">
        <f t="shared" si="46"/>
        <v>0</v>
      </c>
      <c r="AX77" s="249">
        <f t="shared" si="46"/>
        <v>0</v>
      </c>
      <c r="AY77" s="249">
        <f t="shared" si="46"/>
        <v>0</v>
      </c>
      <c r="AZ77" s="249">
        <f t="shared" si="46"/>
        <v>0</v>
      </c>
      <c r="BA77" s="249">
        <f t="shared" si="46"/>
        <v>0</v>
      </c>
      <c r="BB77" s="249">
        <f t="shared" si="46"/>
        <v>0</v>
      </c>
      <c r="BC77" s="249">
        <f t="shared" si="46"/>
        <v>0</v>
      </c>
      <c r="BD77" s="249">
        <f t="shared" si="46"/>
        <v>0</v>
      </c>
      <c r="BE77" s="249">
        <f t="shared" si="46"/>
        <v>0</v>
      </c>
      <c r="BF77" s="249">
        <f t="shared" si="46"/>
        <v>0</v>
      </c>
      <c r="BG77" s="249">
        <f t="shared" si="46"/>
        <v>0</v>
      </c>
      <c r="BH77" s="249">
        <f t="shared" si="46"/>
        <v>0</v>
      </c>
      <c r="BI77" s="249">
        <f t="shared" si="46"/>
        <v>0</v>
      </c>
      <c r="BN77" s="233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</row>
    <row r="78" spans="46:81">
      <c r="AT78" s="233"/>
      <c r="AU78" s="390" t="s">
        <v>472</v>
      </c>
      <c r="AV78" s="390"/>
      <c r="AW78" s="390"/>
      <c r="AX78" s="390"/>
      <c r="AY78" s="390"/>
      <c r="AZ78" s="390"/>
      <c r="BA78" s="390"/>
      <c r="BB78" s="390"/>
      <c r="BC78" s="390"/>
      <c r="BD78" s="390"/>
      <c r="BE78" s="390"/>
      <c r="BF78" s="390"/>
      <c r="BG78" s="390"/>
      <c r="BH78" s="390"/>
      <c r="BI78" s="390"/>
      <c r="BN78" s="233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</row>
    <row r="79" spans="46:81">
      <c r="AT79" s="233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N79" s="233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</row>
    <row r="80" spans="46:81">
      <c r="AT80" s="233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N80" s="233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</row>
    <row r="81" spans="36:81">
      <c r="AT81" s="233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N81" s="233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</row>
    <row r="86" spans="36:81" ht="112.05" customHeight="1">
      <c r="AT86" s="248"/>
      <c r="AU86" s="234" t="s">
        <v>325</v>
      </c>
      <c r="AV86" s="234" t="s">
        <v>326</v>
      </c>
      <c r="AW86" s="234" t="s">
        <v>327</v>
      </c>
      <c r="AX86" s="234" t="s">
        <v>455</v>
      </c>
      <c r="AY86" s="234" t="s">
        <v>435</v>
      </c>
      <c r="AZ86" s="234" t="s">
        <v>434</v>
      </c>
      <c r="BA86" s="234" t="s">
        <v>351</v>
      </c>
      <c r="BB86" s="234" t="s">
        <v>348</v>
      </c>
      <c r="BC86" s="234" t="s">
        <v>362</v>
      </c>
      <c r="BD86" s="234" t="s">
        <v>349</v>
      </c>
      <c r="BE86" s="234" t="s">
        <v>344</v>
      </c>
      <c r="BF86" s="234" t="s">
        <v>514</v>
      </c>
      <c r="BG86" s="234" t="s">
        <v>516</v>
      </c>
      <c r="BH86" s="234" t="s">
        <v>76</v>
      </c>
      <c r="BI86" s="234" t="s">
        <v>337</v>
      </c>
      <c r="BN86" s="234"/>
      <c r="BO86" s="234" t="s">
        <v>331</v>
      </c>
      <c r="BP86" s="234" t="s">
        <v>279</v>
      </c>
    </row>
    <row r="87" spans="36:81">
      <c r="AJ87" s="134"/>
      <c r="AK87" s="134"/>
      <c r="AT87" s="134" t="s">
        <v>333</v>
      </c>
      <c r="AU87" s="237">
        <f>Ore_to_PI!$V$42</f>
        <v>108184.8596728804</v>
      </c>
      <c r="AV87" s="237"/>
      <c r="AW87" s="237"/>
      <c r="AX87" s="237"/>
      <c r="AY87" s="237"/>
      <c r="AZ87" s="237"/>
      <c r="BA87" s="237"/>
      <c r="BB87" s="237"/>
      <c r="BC87" s="237"/>
      <c r="BD87" s="237"/>
      <c r="BE87" s="237"/>
      <c r="BF87" s="237"/>
      <c r="BG87" s="237"/>
      <c r="BH87" s="237"/>
      <c r="BI87" s="237"/>
      <c r="BJ87" s="246">
        <f>SUM(AU87:BI87)</f>
        <v>108184.8596728804</v>
      </c>
      <c r="BN87" s="134" t="s">
        <v>333</v>
      </c>
      <c r="BO87" s="240"/>
      <c r="BP87" s="240"/>
      <c r="BQ87" s="246">
        <f>SUM(BO87:BP87)</f>
        <v>0</v>
      </c>
    </row>
    <row r="88" spans="36:81">
      <c r="AJ88" s="134"/>
      <c r="AK88" s="134"/>
      <c r="AT88" s="134" t="s">
        <v>335</v>
      </c>
      <c r="AU88" s="237"/>
      <c r="AV88" s="237">
        <f>Ore_to_PI!$V$126</f>
        <v>25297.051877142174</v>
      </c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37"/>
      <c r="BH88" s="237"/>
      <c r="BI88" s="237"/>
      <c r="BJ88" s="246">
        <f>SUM(AU88:BI88)</f>
        <v>25297.051877142174</v>
      </c>
      <c r="BN88" s="134" t="s">
        <v>335</v>
      </c>
      <c r="BO88" s="240"/>
      <c r="BP88" s="240"/>
      <c r="BQ88" s="246">
        <f>SUM(BO88:BP88)</f>
        <v>0</v>
      </c>
    </row>
    <row r="89" spans="36:81">
      <c r="AJ89" s="134"/>
      <c r="AK89" s="134"/>
      <c r="AT89" s="134" t="s">
        <v>336</v>
      </c>
      <c r="AU89" s="237"/>
      <c r="AV89" s="237"/>
      <c r="AW89" s="237">
        <f>Ore_to_PI!$V$206</f>
        <v>8850991.3601140417</v>
      </c>
      <c r="AX89" s="237"/>
      <c r="AY89" s="237"/>
      <c r="AZ89" s="237"/>
      <c r="BA89" s="237"/>
      <c r="BB89" s="237"/>
      <c r="BC89" s="237"/>
      <c r="BD89" s="237"/>
      <c r="BE89" s="237"/>
      <c r="BF89" s="237"/>
      <c r="BG89" s="237"/>
      <c r="BH89" s="237"/>
      <c r="BI89" s="237"/>
      <c r="BJ89" s="246">
        <f t="shared" ref="BJ89:BJ122" si="47">SUM(AU89:BI89)</f>
        <v>8850991.3601140417</v>
      </c>
      <c r="BN89" s="134" t="s">
        <v>336</v>
      </c>
      <c r="BO89" s="240"/>
      <c r="BP89" s="240"/>
      <c r="BQ89" s="246">
        <f>SUM(BO89:BP89)</f>
        <v>0</v>
      </c>
    </row>
    <row r="90" spans="36:81">
      <c r="AJ90" s="134"/>
      <c r="AK90" s="134"/>
      <c r="AT90" s="134" t="s">
        <v>355</v>
      </c>
      <c r="AU90" s="237">
        <f>Ore_to_PI!V72</f>
        <v>125.02637472887361</v>
      </c>
      <c r="AV90" s="237">
        <f>Ore_to_PI!V163</f>
        <v>0.37484270351331089</v>
      </c>
      <c r="AW90" s="237">
        <f>Ore_to_PI!V236</f>
        <v>30.954464502133519</v>
      </c>
      <c r="AX90" s="237"/>
      <c r="AY90" s="237"/>
      <c r="AZ90" s="237"/>
      <c r="BA90" s="237"/>
      <c r="BB90" s="237"/>
      <c r="BC90" s="237"/>
      <c r="BD90" s="237">
        <f>Ore_to_PI!CB140</f>
        <v>2671.5132120132448</v>
      </c>
      <c r="BE90" s="237">
        <f>Ore_to_PI!CB232</f>
        <v>14491.84871754296</v>
      </c>
      <c r="BF90" s="237"/>
      <c r="BG90" s="237"/>
      <c r="BH90" s="237"/>
      <c r="BI90" s="239">
        <f>Ore_to_PI!EM140</f>
        <v>11826.742854693757</v>
      </c>
      <c r="BJ90" s="246">
        <f t="shared" si="47"/>
        <v>29146.460466184486</v>
      </c>
      <c r="BN90" s="134" t="s">
        <v>355</v>
      </c>
      <c r="BO90" s="240"/>
      <c r="BP90" s="240"/>
      <c r="BQ90" s="246">
        <f t="shared" ref="BQ90:BQ94" si="48">SUM(BO90:BP90)</f>
        <v>0</v>
      </c>
    </row>
    <row r="91" spans="36:81">
      <c r="AJ91" s="134"/>
      <c r="AK91" s="134"/>
      <c r="AM91" s="134"/>
      <c r="AT91" s="134" t="s">
        <v>377</v>
      </c>
      <c r="AU91" s="237"/>
      <c r="AV91" s="237"/>
      <c r="AW91" s="237"/>
      <c r="AX91" s="237"/>
      <c r="AY91" s="237"/>
      <c r="AZ91" s="237"/>
      <c r="BA91" s="237"/>
      <c r="BB91" s="237"/>
      <c r="BC91" s="237"/>
      <c r="BD91" s="237">
        <f>Ore_to_PI!CB152</f>
        <v>1951076.4755827489</v>
      </c>
      <c r="BE91" s="237">
        <f>Ore_to_PI!CB244</f>
        <v>10583778.883576756</v>
      </c>
      <c r="BF91" s="237"/>
      <c r="BG91" s="237"/>
      <c r="BH91" s="237"/>
      <c r="BI91" s="237">
        <f>Ore_to_PI!EM114</f>
        <v>2329445.3092260091</v>
      </c>
      <c r="BJ91" s="246">
        <f t="shared" si="47"/>
        <v>14864300.668385513</v>
      </c>
      <c r="BN91" s="134" t="s">
        <v>377</v>
      </c>
      <c r="BO91" s="240"/>
      <c r="BP91" s="240"/>
      <c r="BQ91" s="246">
        <f t="shared" si="48"/>
        <v>0</v>
      </c>
    </row>
    <row r="92" spans="36:81">
      <c r="AJ92" s="134"/>
      <c r="AK92" s="134"/>
      <c r="AM92" s="134"/>
      <c r="AT92" s="134" t="s">
        <v>466</v>
      </c>
      <c r="AU92" s="237">
        <f>Ore_to_PI!V59</f>
        <v>94146.207140653787</v>
      </c>
      <c r="AV92" s="237">
        <f>Ore_to_PI!V140</f>
        <v>257.99399332425372</v>
      </c>
      <c r="AW92" s="237">
        <f>Ore_to_PI!V222</f>
        <v>23309.045257575242</v>
      </c>
      <c r="AX92" s="237"/>
      <c r="AY92" s="237"/>
      <c r="AZ92" s="237"/>
      <c r="BA92" s="237"/>
      <c r="BB92" s="237"/>
      <c r="BC92" s="237"/>
      <c r="BD92" s="237"/>
      <c r="BE92" s="237"/>
      <c r="BF92" s="237"/>
      <c r="BG92" s="237"/>
      <c r="BH92" s="237"/>
      <c r="BI92" s="237"/>
      <c r="BJ92" s="246">
        <f t="shared" si="47"/>
        <v>117713.24639155329</v>
      </c>
      <c r="BN92" s="134" t="s">
        <v>466</v>
      </c>
      <c r="BO92" s="240"/>
      <c r="BP92" s="240"/>
      <c r="BQ92" s="246">
        <f t="shared" si="48"/>
        <v>0</v>
      </c>
    </row>
    <row r="93" spans="36:81">
      <c r="AJ93" s="134"/>
      <c r="AK93" s="134"/>
      <c r="AM93" s="134"/>
      <c r="AT93" s="134" t="s">
        <v>467</v>
      </c>
      <c r="AU93" s="237"/>
      <c r="AV93" s="237">
        <f>Ore_to_PI!V151</f>
        <v>24.076233417548465</v>
      </c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37"/>
      <c r="BH93" s="237"/>
      <c r="BI93" s="237"/>
      <c r="BJ93" s="246">
        <f t="shared" si="47"/>
        <v>24.076233417548465</v>
      </c>
      <c r="BN93" s="134" t="s">
        <v>467</v>
      </c>
      <c r="BO93" s="240"/>
      <c r="BP93" s="240"/>
      <c r="BQ93" s="246">
        <f t="shared" si="48"/>
        <v>0</v>
      </c>
    </row>
    <row r="94" spans="36:81">
      <c r="AJ94" s="134"/>
      <c r="AK94" s="134"/>
      <c r="AM94" s="134"/>
      <c r="AT94" s="134" t="s">
        <v>411</v>
      </c>
      <c r="AU94" s="237"/>
      <c r="AV94" s="237"/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37"/>
      <c r="BH94" s="237"/>
      <c r="BI94" s="237">
        <f>Ore_to_PI!EM101</f>
        <v>29112.263489807588</v>
      </c>
      <c r="BJ94" s="246">
        <f t="shared" si="47"/>
        <v>29112.263489807588</v>
      </c>
      <c r="BN94" s="134" t="s">
        <v>411</v>
      </c>
      <c r="BO94" s="240"/>
      <c r="BP94" s="240"/>
      <c r="BQ94" s="246">
        <f t="shared" si="48"/>
        <v>0</v>
      </c>
    </row>
    <row r="95" spans="36:81">
      <c r="AJ95" s="134"/>
      <c r="AK95" s="134"/>
      <c r="AM95" s="134"/>
      <c r="AT95" s="134" t="s">
        <v>459</v>
      </c>
      <c r="AU95" s="237"/>
      <c r="AV95" s="237"/>
      <c r="AW95" s="237">
        <f>Ore_to_PI!AC195</f>
        <v>80616.370239891301</v>
      </c>
      <c r="AX95" s="237">
        <f>Ore_to_PI!AU28</f>
        <v>609792.2517593482</v>
      </c>
      <c r="AY95" s="237">
        <f>Ore_to_PI!AU113</f>
        <v>2824.8856477449194</v>
      </c>
      <c r="AZ95" s="237">
        <f>Ore_to_PI!AU190</f>
        <v>282.1287710315147</v>
      </c>
      <c r="BA95" s="237">
        <f>Ore_to_PI!BN35</f>
        <v>12626.098826338684</v>
      </c>
      <c r="BB95" s="237">
        <f>Ore_to_PI!BM116</f>
        <v>34.678095164114971</v>
      </c>
      <c r="BC95" s="237">
        <f>Ore_to_PI!BM195</f>
        <v>50.358084153937838</v>
      </c>
      <c r="BD95" s="237"/>
      <c r="BE95" s="237"/>
      <c r="BF95" s="237">
        <f>Ore_to_PI!DD229</f>
        <v>33191.859393697465</v>
      </c>
      <c r="BG95" s="237"/>
      <c r="BH95" s="237"/>
      <c r="BI95" s="237">
        <f>Ore_to_PI!EU117</f>
        <v>318930.1042317453</v>
      </c>
      <c r="BJ95" s="246">
        <f t="shared" si="47"/>
        <v>1058348.7350491155</v>
      </c>
      <c r="BN95" s="134" t="s">
        <v>459</v>
      </c>
      <c r="BO95" s="240"/>
      <c r="BP95" s="240"/>
      <c r="BQ95" s="246">
        <f t="shared" ref="BQ95:BQ101" si="49">SUM(BO95:BP95)</f>
        <v>0</v>
      </c>
    </row>
    <row r="96" spans="36:81" ht="16.05" customHeight="1">
      <c r="AJ96" s="242"/>
      <c r="AK96" s="242"/>
      <c r="AT96" s="232" t="s">
        <v>442</v>
      </c>
      <c r="AU96" s="237"/>
      <c r="AV96" s="237"/>
      <c r="AW96" s="237"/>
      <c r="AX96" s="237">
        <f>Ore_to_PI!$AO$42</f>
        <v>108184.8596728804</v>
      </c>
      <c r="AY96" s="237"/>
      <c r="AZ96" s="237"/>
      <c r="BA96" s="237"/>
      <c r="BB96" s="237"/>
      <c r="BC96" s="237"/>
      <c r="BD96" s="237"/>
      <c r="BE96" s="237"/>
      <c r="BF96" s="237"/>
      <c r="BG96" s="237"/>
      <c r="BH96" s="237"/>
      <c r="BI96" s="237"/>
      <c r="BJ96" s="246">
        <f t="shared" si="47"/>
        <v>108184.8596728804</v>
      </c>
      <c r="BN96" s="232" t="s">
        <v>442</v>
      </c>
      <c r="BO96" s="240"/>
      <c r="BP96" s="240"/>
      <c r="BQ96" s="246">
        <f t="shared" si="49"/>
        <v>0</v>
      </c>
    </row>
    <row r="97" spans="36:74" ht="16.05" customHeight="1">
      <c r="AJ97" s="232"/>
      <c r="AK97" s="232"/>
      <c r="AT97" s="134" t="s">
        <v>409</v>
      </c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37"/>
      <c r="BH97" s="237"/>
      <c r="BI97" s="237"/>
      <c r="BJ97" s="246">
        <f t="shared" si="47"/>
        <v>0</v>
      </c>
      <c r="BN97" s="134" t="s">
        <v>409</v>
      </c>
      <c r="BO97" s="240"/>
      <c r="BP97" s="240">
        <f>Ore_to_PI!AO63</f>
        <v>2244.7960862667505</v>
      </c>
      <c r="BQ97" s="246">
        <f t="shared" si="49"/>
        <v>2244.7960862667505</v>
      </c>
    </row>
    <row r="98" spans="36:74" ht="16.05" customHeight="1">
      <c r="AJ98" s="233"/>
      <c r="AK98" s="233"/>
      <c r="AT98" s="232" t="s">
        <v>412</v>
      </c>
      <c r="AU98" s="237"/>
      <c r="AV98" s="237"/>
      <c r="AW98" s="237"/>
      <c r="AX98" s="237"/>
      <c r="AY98" s="237">
        <f>Ore_to_PI!$AP$126</f>
        <v>25297.051877142174</v>
      </c>
      <c r="AZ98" s="237"/>
      <c r="BA98" s="237"/>
      <c r="BB98" s="237"/>
      <c r="BC98" s="237"/>
      <c r="BD98" s="237"/>
      <c r="BE98" s="237"/>
      <c r="BF98" s="237"/>
      <c r="BG98" s="237"/>
      <c r="BH98" s="237"/>
      <c r="BI98" s="237"/>
      <c r="BJ98" s="246">
        <f t="shared" si="47"/>
        <v>25297.051877142174</v>
      </c>
      <c r="BN98" s="232" t="s">
        <v>412</v>
      </c>
      <c r="BO98" s="240"/>
      <c r="BP98" s="244"/>
      <c r="BQ98" s="246">
        <f t="shared" si="49"/>
        <v>0</v>
      </c>
    </row>
    <row r="99" spans="36:74">
      <c r="AJ99" s="233"/>
      <c r="AK99" s="233"/>
      <c r="AT99" s="134" t="s">
        <v>437</v>
      </c>
      <c r="AU99" s="237"/>
      <c r="AV99" s="237"/>
      <c r="AW99" s="237"/>
      <c r="AX99" s="237"/>
      <c r="AY99" s="237"/>
      <c r="AZ99" s="237"/>
      <c r="BA99" s="237"/>
      <c r="BB99" s="237"/>
      <c r="BC99" s="237"/>
      <c r="BD99" s="237"/>
      <c r="BE99" s="237"/>
      <c r="BF99" s="237"/>
      <c r="BG99" s="237"/>
      <c r="BH99" s="239"/>
      <c r="BI99" s="237"/>
      <c r="BJ99" s="246">
        <f t="shared" si="47"/>
        <v>0</v>
      </c>
      <c r="BN99" s="134" t="s">
        <v>437</v>
      </c>
      <c r="BO99" s="240"/>
      <c r="BP99" s="240">
        <f>Ore_to_PI!AP142</f>
        <v>6.7177820097776806</v>
      </c>
      <c r="BQ99" s="246">
        <f t="shared" si="49"/>
        <v>6.7177820097776806</v>
      </c>
    </row>
    <row r="100" spans="36:74">
      <c r="AJ100" s="233"/>
      <c r="AK100" s="233"/>
      <c r="AT100" s="233" t="s">
        <v>430</v>
      </c>
      <c r="AU100" s="237"/>
      <c r="AV100" s="237"/>
      <c r="AW100" s="237"/>
      <c r="AX100" s="237"/>
      <c r="AY100" s="237"/>
      <c r="AZ100" s="237">
        <f>Ore_to_PI!$AP$206</f>
        <v>8855804.320336977</v>
      </c>
      <c r="BA100" s="237"/>
      <c r="BB100" s="237"/>
      <c r="BC100" s="237"/>
      <c r="BD100" s="237"/>
      <c r="BE100" s="237"/>
      <c r="BF100" s="237"/>
      <c r="BG100" s="237"/>
      <c r="BH100" s="237"/>
      <c r="BI100" s="239"/>
      <c r="BJ100" s="246">
        <f t="shared" si="47"/>
        <v>8855804.320336977</v>
      </c>
      <c r="BN100" s="233" t="s">
        <v>430</v>
      </c>
      <c r="BO100" s="240"/>
      <c r="BP100" s="240"/>
      <c r="BQ100" s="246">
        <f t="shared" si="49"/>
        <v>0</v>
      </c>
    </row>
    <row r="101" spans="36:74">
      <c r="AJ101" s="233"/>
      <c r="AK101" s="233"/>
      <c r="AT101" s="134" t="s">
        <v>416</v>
      </c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/>
      <c r="BF101" s="237"/>
      <c r="BG101" s="237"/>
      <c r="BH101" s="237"/>
      <c r="BI101" s="237"/>
      <c r="BJ101" s="246">
        <f t="shared" si="47"/>
        <v>0</v>
      </c>
      <c r="BN101" s="134" t="s">
        <v>416</v>
      </c>
      <c r="BO101" s="240"/>
      <c r="BP101" s="240">
        <f>Ore_to_PI!AP227</f>
        <v>555.77441893806406</v>
      </c>
      <c r="BQ101" s="246">
        <f t="shared" si="49"/>
        <v>555.77441893806406</v>
      </c>
      <c r="BR101" s="52"/>
      <c r="BS101" s="52"/>
      <c r="BT101" s="52"/>
      <c r="BU101" s="52"/>
      <c r="BV101" s="52"/>
    </row>
    <row r="102" spans="36:74" ht="16.05" customHeight="1">
      <c r="AJ102" s="233"/>
      <c r="AK102" s="233"/>
      <c r="AT102" s="232" t="s">
        <v>441</v>
      </c>
      <c r="AU102" s="237"/>
      <c r="AV102" s="237"/>
      <c r="AW102" s="237"/>
      <c r="AX102" s="237"/>
      <c r="AY102" s="237"/>
      <c r="AZ102" s="237"/>
      <c r="BA102" s="237">
        <f>Ore_to_PI!$BH$42</f>
        <v>108184.8596728804</v>
      </c>
      <c r="BB102" s="237"/>
      <c r="BC102" s="237"/>
      <c r="BD102" s="237"/>
      <c r="BE102" s="237"/>
      <c r="BF102" s="237"/>
      <c r="BG102" s="237"/>
      <c r="BH102" s="237"/>
      <c r="BI102" s="237"/>
      <c r="BJ102" s="246">
        <f t="shared" si="47"/>
        <v>108184.8596728804</v>
      </c>
      <c r="BN102" s="232" t="s">
        <v>441</v>
      </c>
      <c r="BO102" s="240"/>
      <c r="BP102" s="240"/>
      <c r="BQ102" s="246">
        <f t="shared" ref="BQ102:BQ122" si="50">SUM(BO102:BP102)</f>
        <v>0</v>
      </c>
    </row>
    <row r="103" spans="36:74" ht="16.05" customHeight="1">
      <c r="AJ103" s="233"/>
      <c r="AK103" s="233"/>
      <c r="AT103" s="232" t="s">
        <v>436</v>
      </c>
      <c r="AU103" s="237"/>
      <c r="AV103" s="237"/>
      <c r="AW103" s="237"/>
      <c r="AX103" s="237"/>
      <c r="AY103" s="237"/>
      <c r="AZ103" s="237"/>
      <c r="BA103" s="237"/>
      <c r="BB103" s="237">
        <f>Ore_to_PI!$BI$126</f>
        <v>25297.051877142174</v>
      </c>
      <c r="BC103" s="237"/>
      <c r="BD103" s="237"/>
      <c r="BE103" s="237"/>
      <c r="BF103" s="237"/>
      <c r="BG103" s="237"/>
      <c r="BH103" s="237"/>
      <c r="BI103" s="237"/>
      <c r="BJ103" s="246">
        <f t="shared" si="47"/>
        <v>25297.051877142174</v>
      </c>
      <c r="BN103" s="232" t="s">
        <v>436</v>
      </c>
      <c r="BO103" s="240"/>
      <c r="BP103" s="240"/>
      <c r="BQ103" s="246">
        <f t="shared" si="50"/>
        <v>0</v>
      </c>
    </row>
    <row r="104" spans="36:74" ht="16.05" customHeight="1">
      <c r="AJ104" s="233"/>
      <c r="AK104" s="233"/>
      <c r="AT104" s="232" t="s">
        <v>433</v>
      </c>
      <c r="AU104" s="237"/>
      <c r="AV104" s="237"/>
      <c r="AW104" s="237"/>
      <c r="AX104" s="237"/>
      <c r="AY104" s="237"/>
      <c r="AZ104" s="237"/>
      <c r="BA104" s="237"/>
      <c r="BB104" s="237"/>
      <c r="BC104" s="237">
        <f>Ore_to_PI!$BI$206</f>
        <v>8855804.320336977</v>
      </c>
      <c r="BD104" s="237"/>
      <c r="BE104" s="237"/>
      <c r="BF104" s="237"/>
      <c r="BG104" s="237"/>
      <c r="BH104" s="237"/>
      <c r="BI104" s="237"/>
      <c r="BJ104" s="246">
        <f t="shared" si="47"/>
        <v>8855804.320336977</v>
      </c>
      <c r="BN104" s="232" t="s">
        <v>433</v>
      </c>
      <c r="BO104" s="240"/>
      <c r="BP104" s="240"/>
      <c r="BQ104" s="246">
        <f t="shared" si="50"/>
        <v>0</v>
      </c>
    </row>
    <row r="105" spans="36:74" ht="16.05" customHeight="1">
      <c r="AJ105" s="247"/>
      <c r="AK105" s="247"/>
      <c r="AT105" s="232" t="s">
        <v>439</v>
      </c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/>
      <c r="BF105" s="237"/>
      <c r="BG105" s="237"/>
      <c r="BH105" s="237">
        <f>Ore_to_PI!CA42</f>
        <v>88071.706245154463</v>
      </c>
      <c r="BI105" s="237"/>
      <c r="BJ105" s="246">
        <f t="shared" si="47"/>
        <v>88071.706245154463</v>
      </c>
      <c r="BN105" s="232" t="s">
        <v>439</v>
      </c>
      <c r="BO105" s="240"/>
      <c r="BP105" s="240"/>
      <c r="BQ105" s="246">
        <f t="shared" si="50"/>
        <v>0</v>
      </c>
    </row>
    <row r="106" spans="36:74">
      <c r="AJ106" s="233"/>
      <c r="AK106" s="233"/>
      <c r="AT106" s="233" t="s">
        <v>438</v>
      </c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7"/>
      <c r="BG106" s="237"/>
      <c r="BH106" s="237"/>
      <c r="BI106" s="239"/>
      <c r="BJ106" s="246">
        <f t="shared" si="47"/>
        <v>0</v>
      </c>
      <c r="BK106" s="52"/>
      <c r="BL106" s="52"/>
      <c r="BN106" s="233" t="s">
        <v>438</v>
      </c>
      <c r="BO106" s="240"/>
      <c r="BP106" s="240">
        <f>Ore_to_PI!CA55</f>
        <v>21722.892325740406</v>
      </c>
      <c r="BQ106" s="246">
        <f t="shared" si="50"/>
        <v>21722.892325740406</v>
      </c>
    </row>
    <row r="107" spans="36:74">
      <c r="AJ107" s="233"/>
      <c r="AK107" s="233"/>
      <c r="AT107" s="233" t="s">
        <v>424</v>
      </c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>
        <f>Ore_to_PI!$CB$126</f>
        <v>25297.051877142174</v>
      </c>
      <c r="BE107" s="237"/>
      <c r="BF107" s="237"/>
      <c r="BG107" s="237"/>
      <c r="BH107" s="237"/>
      <c r="BI107" s="237"/>
      <c r="BJ107" s="246">
        <f t="shared" si="47"/>
        <v>25297.051877142174</v>
      </c>
      <c r="BN107" s="233" t="s">
        <v>424</v>
      </c>
      <c r="BO107" s="240"/>
      <c r="BP107" s="240"/>
      <c r="BQ107" s="246">
        <f t="shared" si="50"/>
        <v>0</v>
      </c>
    </row>
    <row r="108" spans="36:74">
      <c r="AJ108" s="233"/>
      <c r="AK108" s="233"/>
      <c r="AT108" s="233" t="s">
        <v>456</v>
      </c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Ore_to_PI!$CB$206</f>
        <v>8855804.320336977</v>
      </c>
      <c r="BF108" s="237"/>
      <c r="BG108" s="237"/>
      <c r="BH108" s="237"/>
      <c r="BI108" s="237"/>
      <c r="BJ108" s="246">
        <f t="shared" si="47"/>
        <v>8855804.320336977</v>
      </c>
      <c r="BN108" s="233" t="s">
        <v>456</v>
      </c>
      <c r="BO108" s="240"/>
      <c r="BP108" s="240"/>
      <c r="BQ108" s="246">
        <f t="shared" si="50"/>
        <v>0</v>
      </c>
    </row>
    <row r="109" spans="36:74">
      <c r="AJ109" s="233"/>
      <c r="AK109" s="233"/>
      <c r="AT109" s="233" t="s">
        <v>425</v>
      </c>
      <c r="AU109" s="237"/>
      <c r="AV109" s="237"/>
      <c r="AW109" s="237"/>
      <c r="AX109" s="237"/>
      <c r="AY109" s="237"/>
      <c r="AZ109" s="237"/>
      <c r="BA109" s="237"/>
      <c r="BB109" s="237"/>
      <c r="BC109" s="237"/>
      <c r="BD109" s="237"/>
      <c r="BE109" s="237"/>
      <c r="BF109" s="237"/>
      <c r="BG109" s="237"/>
      <c r="BH109" s="237">
        <f>Ore_to_PI!$CW$126</f>
        <v>242016.07607977447</v>
      </c>
      <c r="BI109" s="237"/>
      <c r="BJ109" s="246">
        <f t="shared" si="47"/>
        <v>242016.07607977447</v>
      </c>
      <c r="BN109" s="233" t="s">
        <v>425</v>
      </c>
      <c r="BO109" s="240"/>
      <c r="BP109" s="240"/>
      <c r="BQ109" s="246">
        <f t="shared" si="50"/>
        <v>0</v>
      </c>
    </row>
    <row r="110" spans="36:74">
      <c r="AJ110" s="233"/>
      <c r="AK110" s="233"/>
      <c r="AT110" s="233" t="s">
        <v>427</v>
      </c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37"/>
      <c r="BH110" s="237"/>
      <c r="BI110" s="239"/>
      <c r="BJ110" s="246">
        <f t="shared" si="47"/>
        <v>0</v>
      </c>
      <c r="BN110" s="233" t="s">
        <v>427</v>
      </c>
      <c r="BO110" s="240"/>
      <c r="BP110" s="240">
        <f>Ore_to_PI!CW114</f>
        <v>7739.2511800711582</v>
      </c>
      <c r="BQ110" s="246">
        <f t="shared" si="50"/>
        <v>7739.2511800711582</v>
      </c>
    </row>
    <row r="111" spans="36:74">
      <c r="AJ111" s="233"/>
      <c r="AK111" s="233"/>
      <c r="AT111" s="233" t="s">
        <v>426</v>
      </c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37"/>
      <c r="BH111" s="237"/>
      <c r="BI111" s="237"/>
      <c r="BJ111" s="246">
        <f t="shared" si="47"/>
        <v>0</v>
      </c>
      <c r="BN111" s="233" t="s">
        <v>426</v>
      </c>
      <c r="BO111" s="240"/>
      <c r="BP111" s="240">
        <f>Ore_to_PI!CW138</f>
        <v>87222.135331413883</v>
      </c>
      <c r="BQ111" s="246">
        <f t="shared" si="50"/>
        <v>87222.135331413883</v>
      </c>
    </row>
    <row r="112" spans="36:74">
      <c r="AJ112" s="233"/>
      <c r="AK112" s="233"/>
      <c r="AT112" s="233" t="s">
        <v>484</v>
      </c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37"/>
      <c r="BH112" s="237">
        <f>Ore_to_PI!$CW$206</f>
        <v>6408288.6211381694</v>
      </c>
      <c r="BI112" s="237"/>
      <c r="BJ112" s="246">
        <f t="shared" si="47"/>
        <v>6408288.6211381694</v>
      </c>
      <c r="BN112" s="233" t="s">
        <v>484</v>
      </c>
      <c r="BO112" s="240"/>
      <c r="BP112" s="240"/>
      <c r="BQ112" s="246">
        <f t="shared" si="50"/>
        <v>0</v>
      </c>
    </row>
    <row r="113" spans="5:69" ht="16.05" customHeight="1">
      <c r="AJ113" s="233"/>
      <c r="AK113" s="233"/>
      <c r="AT113" s="247" t="s">
        <v>422</v>
      </c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/>
      <c r="BE113" s="237"/>
      <c r="BF113" s="237">
        <f>Ore_to_PI!$CW$234</f>
        <v>4026178.1360752485</v>
      </c>
      <c r="BG113" s="237"/>
      <c r="BH113" s="237"/>
      <c r="BI113" s="237"/>
      <c r="BJ113" s="246">
        <f t="shared" si="47"/>
        <v>4026178.1360752485</v>
      </c>
      <c r="BN113" s="247" t="s">
        <v>422</v>
      </c>
      <c r="BO113" s="240"/>
      <c r="BP113" s="240"/>
      <c r="BQ113" s="246">
        <f t="shared" si="50"/>
        <v>0</v>
      </c>
    </row>
    <row r="114" spans="5:69" ht="16.05" customHeight="1">
      <c r="AJ114" s="233"/>
      <c r="AK114" s="233"/>
      <c r="AT114" s="247" t="s">
        <v>552</v>
      </c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7"/>
      <c r="BG114" s="237"/>
      <c r="BH114" s="237"/>
      <c r="BI114" s="237"/>
      <c r="BJ114" s="246">
        <f t="shared" si="47"/>
        <v>0</v>
      </c>
      <c r="BN114" s="247" t="s">
        <v>552</v>
      </c>
      <c r="BO114" s="240"/>
      <c r="BP114" s="240">
        <f>Ore_to_PI!CW267</f>
        <v>955411.7785075705</v>
      </c>
      <c r="BQ114" s="246">
        <f t="shared" si="50"/>
        <v>955411.7785075705</v>
      </c>
    </row>
    <row r="115" spans="5:69">
      <c r="AJ115" s="233"/>
      <c r="AK115" s="233"/>
      <c r="AT115" s="233" t="s">
        <v>421</v>
      </c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7"/>
      <c r="BG115" s="237"/>
      <c r="BH115" s="237"/>
      <c r="BI115" s="237"/>
      <c r="BJ115" s="246">
        <f t="shared" si="47"/>
        <v>0</v>
      </c>
      <c r="BN115" s="233" t="s">
        <v>421</v>
      </c>
      <c r="BO115" s="240"/>
      <c r="BP115" s="240">
        <f>Ore_to_PI!CW218</f>
        <v>8991.620323109395</v>
      </c>
      <c r="BQ115" s="246">
        <f t="shared" si="50"/>
        <v>8991.620323109395</v>
      </c>
    </row>
    <row r="116" spans="5:69">
      <c r="AJ116" s="233"/>
      <c r="AK116" s="233"/>
      <c r="AT116" s="134" t="s">
        <v>423</v>
      </c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37"/>
      <c r="BH116" s="237"/>
      <c r="BI116" s="237"/>
      <c r="BJ116" s="246">
        <f t="shared" si="47"/>
        <v>0</v>
      </c>
      <c r="BN116" s="134" t="s">
        <v>423</v>
      </c>
      <c r="BO116" s="240"/>
      <c r="BP116" s="240">
        <f>Ore_to_PI!CW251</f>
        <v>303788.26554911444</v>
      </c>
      <c r="BQ116" s="246">
        <f t="shared" si="50"/>
        <v>303788.26554911444</v>
      </c>
    </row>
    <row r="117" spans="5:69">
      <c r="AJ117" s="233"/>
      <c r="AK117" s="233"/>
      <c r="AT117" s="233" t="s">
        <v>515</v>
      </c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37">
        <f>Ore_to_PI!$DQ$233</f>
        <v>4043367.3234254471</v>
      </c>
      <c r="BH117" s="237"/>
      <c r="BI117" s="239"/>
      <c r="BJ117" s="246">
        <f t="shared" si="47"/>
        <v>4043367.3234254471</v>
      </c>
      <c r="BN117" s="233" t="s">
        <v>515</v>
      </c>
      <c r="BO117" s="240"/>
      <c r="BP117" s="240"/>
      <c r="BQ117" s="246">
        <f t="shared" si="50"/>
        <v>0</v>
      </c>
    </row>
    <row r="118" spans="5:69">
      <c r="AJ118" s="233"/>
      <c r="AK118" s="233"/>
      <c r="AT118" s="233" t="s">
        <v>517</v>
      </c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37"/>
      <c r="BH118" s="237"/>
      <c r="BI118" s="239">
        <f>Ore_to_PI!$EM$152</f>
        <v>2830357.1263978118</v>
      </c>
      <c r="BJ118" s="246">
        <f t="shared" si="47"/>
        <v>2830357.1263978118</v>
      </c>
      <c r="BN118" s="233" t="s">
        <v>517</v>
      </c>
      <c r="BO118" s="240">
        <f>Ore_to_PI!$FG$233</f>
        <v>1213010.1970276341</v>
      </c>
      <c r="BP118" s="240"/>
      <c r="BQ118" s="246">
        <f t="shared" si="50"/>
        <v>1213010.1970276341</v>
      </c>
    </row>
    <row r="119" spans="5:69">
      <c r="AJ119" s="233"/>
      <c r="AK119" s="233"/>
      <c r="AT119" s="233" t="s">
        <v>445</v>
      </c>
      <c r="AU119" s="237"/>
      <c r="AV119" s="237"/>
      <c r="AW119" s="237"/>
      <c r="AX119" s="237"/>
      <c r="AY119" s="237"/>
      <c r="AZ119" s="237"/>
      <c r="BA119" s="237"/>
      <c r="BB119" s="237"/>
      <c r="BC119" s="237"/>
      <c r="BD119" s="237"/>
      <c r="BE119" s="237"/>
      <c r="BF119" s="237"/>
      <c r="BG119" s="237"/>
      <c r="BH119" s="237"/>
      <c r="BI119" s="239">
        <f>Ore_to_PI!EM126</f>
        <v>6682782.3361421349</v>
      </c>
      <c r="BJ119" s="246">
        <f t="shared" si="47"/>
        <v>6682782.3361421349</v>
      </c>
      <c r="BN119" s="233" t="s">
        <v>445</v>
      </c>
      <c r="BO119" s="240"/>
      <c r="BP119" s="240"/>
      <c r="BQ119" s="246">
        <f t="shared" si="50"/>
        <v>0</v>
      </c>
    </row>
    <row r="120" spans="5:69">
      <c r="AJ120" s="233"/>
      <c r="AK120" s="233"/>
      <c r="AT120" s="233" t="s">
        <v>446</v>
      </c>
      <c r="AU120" s="237"/>
      <c r="AV120" s="237"/>
      <c r="AW120" s="237"/>
      <c r="AX120" s="237"/>
      <c r="AY120" s="237"/>
      <c r="AZ120" s="237"/>
      <c r="BA120" s="237"/>
      <c r="BB120" s="237"/>
      <c r="BC120" s="237"/>
      <c r="BD120" s="237"/>
      <c r="BE120" s="237"/>
      <c r="BF120" s="237"/>
      <c r="BG120" s="237"/>
      <c r="BH120" s="237"/>
      <c r="BI120" s="237"/>
      <c r="BJ120" s="246">
        <f t="shared" si="47"/>
        <v>0</v>
      </c>
      <c r="BN120" s="233" t="s">
        <v>446</v>
      </c>
      <c r="BO120" s="240">
        <f>Ore_to_PI!FM126</f>
        <v>4157895.2984628798</v>
      </c>
      <c r="BP120" s="240"/>
      <c r="BQ120" s="246">
        <f t="shared" si="50"/>
        <v>4157895.2984628798</v>
      </c>
    </row>
    <row r="121" spans="5:69">
      <c r="AJ121" s="233"/>
      <c r="AK121" s="233"/>
      <c r="AT121" s="233" t="s">
        <v>447</v>
      </c>
      <c r="AU121" s="237"/>
      <c r="AV121" s="237"/>
      <c r="AW121" s="237"/>
      <c r="AX121" s="237"/>
      <c r="AY121" s="237"/>
      <c r="AZ121" s="237"/>
      <c r="BA121" s="237"/>
      <c r="BB121" s="237"/>
      <c r="BC121" s="237"/>
      <c r="BD121" s="237"/>
      <c r="BE121" s="237"/>
      <c r="BF121" s="237"/>
      <c r="BG121" s="237"/>
      <c r="BH121" s="237"/>
      <c r="BI121" s="237"/>
      <c r="BJ121" s="246">
        <f t="shared" si="47"/>
        <v>0</v>
      </c>
      <c r="BN121" s="233" t="s">
        <v>447</v>
      </c>
      <c r="BO121" s="240"/>
      <c r="BP121" s="240">
        <f>Ore_to_PI!FM141</f>
        <v>404209.15818875749</v>
      </c>
      <c r="BQ121" s="246">
        <f t="shared" si="50"/>
        <v>404209.15818875749</v>
      </c>
    </row>
    <row r="122" spans="5:69">
      <c r="AJ122" s="233"/>
      <c r="AK122" s="233"/>
      <c r="AT122" s="233" t="s">
        <v>457</v>
      </c>
      <c r="AU122" s="237"/>
      <c r="AV122" s="237"/>
      <c r="AW122" s="237"/>
      <c r="AX122" s="237"/>
      <c r="AY122" s="237"/>
      <c r="AZ122" s="237"/>
      <c r="BA122" s="237"/>
      <c r="BB122" s="237"/>
      <c r="BC122" s="237"/>
      <c r="BD122" s="237"/>
      <c r="BE122" s="237"/>
      <c r="BF122" s="237"/>
      <c r="BG122" s="237"/>
      <c r="BH122" s="237"/>
      <c r="BI122" s="237"/>
      <c r="BJ122" s="246">
        <f t="shared" si="47"/>
        <v>0</v>
      </c>
      <c r="BN122" s="233" t="s">
        <v>457</v>
      </c>
      <c r="BO122" s="240"/>
      <c r="BP122" s="240">
        <f>Ore_to_PI!FM104</f>
        <v>67875.356217847453</v>
      </c>
      <c r="BQ122" s="246">
        <f t="shared" si="50"/>
        <v>67875.356217847453</v>
      </c>
    </row>
    <row r="123" spans="5:69">
      <c r="AJ123" s="233"/>
      <c r="AK123" s="233"/>
      <c r="AT123" s="233"/>
      <c r="AU123" s="390" t="s">
        <v>328</v>
      </c>
      <c r="AV123" s="390"/>
      <c r="AW123" s="390"/>
      <c r="AX123" s="390"/>
      <c r="AY123" s="390"/>
      <c r="AZ123" s="390"/>
      <c r="BA123" s="390"/>
      <c r="BB123" s="390"/>
      <c r="BC123" s="390"/>
      <c r="BD123" s="390"/>
      <c r="BE123" s="390"/>
      <c r="BF123" s="390"/>
      <c r="BG123" s="390"/>
      <c r="BH123" s="390"/>
      <c r="BI123" s="390"/>
      <c r="BJ123" s="52" t="s">
        <v>369</v>
      </c>
      <c r="BO123" s="390" t="s">
        <v>330</v>
      </c>
      <c r="BP123" s="390"/>
      <c r="BQ123" s="52" t="s">
        <v>381</v>
      </c>
    </row>
    <row r="124" spans="5:69">
      <c r="AJ124" s="233"/>
      <c r="AK124" s="233"/>
      <c r="AT124" s="233"/>
      <c r="AU124" s="246">
        <f>SUM(AU87:AU122)</f>
        <v>202456.09318826307</v>
      </c>
      <c r="AV124" s="246">
        <f>SUM(AV87:AV122)</f>
        <v>25579.496946587489</v>
      </c>
      <c r="AW124" s="246">
        <f>SUM(AW87:AW122)</f>
        <v>8954947.7300760113</v>
      </c>
      <c r="AX124" s="246">
        <f t="shared" ref="AX124:BI124" si="51">SUM(AX87:AX122)</f>
        <v>717977.11143222859</v>
      </c>
      <c r="AY124" s="246">
        <f t="shared" si="51"/>
        <v>28121.937524887093</v>
      </c>
      <c r="AZ124" s="246">
        <f t="shared" si="51"/>
        <v>8856086.4491080083</v>
      </c>
      <c r="BA124" s="246">
        <f t="shared" si="51"/>
        <v>120810.95849921908</v>
      </c>
      <c r="BB124" s="246">
        <f t="shared" si="51"/>
        <v>25331.72997230629</v>
      </c>
      <c r="BC124" s="246">
        <f t="shared" si="51"/>
        <v>8855854.6784211304</v>
      </c>
      <c r="BD124" s="246">
        <f t="shared" si="51"/>
        <v>1979045.0406719043</v>
      </c>
      <c r="BE124" s="246">
        <f t="shared" si="51"/>
        <v>19454075.052631274</v>
      </c>
      <c r="BF124" s="246">
        <f t="shared" si="51"/>
        <v>4059369.9954689462</v>
      </c>
      <c r="BG124" s="246">
        <f t="shared" si="51"/>
        <v>4043367.3234254471</v>
      </c>
      <c r="BH124" s="246">
        <f t="shared" si="51"/>
        <v>6738376.4034630982</v>
      </c>
      <c r="BI124" s="246">
        <f t="shared" si="51"/>
        <v>12202453.882342203</v>
      </c>
      <c r="BO124" s="52"/>
      <c r="BP124" s="52"/>
    </row>
    <row r="125" spans="5:69" ht="13.05" customHeight="1">
      <c r="F125" s="391"/>
      <c r="G125" s="391"/>
      <c r="H125" s="138"/>
      <c r="I125" s="138"/>
      <c r="J125" s="138"/>
      <c r="K125" s="138"/>
      <c r="L125" s="138"/>
      <c r="M125" s="138"/>
      <c r="N125" s="138"/>
      <c r="O125" s="138"/>
      <c r="P125" s="138"/>
      <c r="Q125" s="138"/>
      <c r="R125" s="138"/>
      <c r="S125" s="138"/>
      <c r="T125" s="138"/>
      <c r="U125" s="138"/>
      <c r="V125" s="138"/>
      <c r="W125" s="138"/>
      <c r="X125" s="138"/>
      <c r="Y125" s="138"/>
      <c r="Z125" s="138"/>
      <c r="AA125" s="138"/>
      <c r="AB125" s="138"/>
      <c r="AC125" s="138"/>
      <c r="AD125" s="138"/>
      <c r="AE125" s="138"/>
      <c r="AF125" s="138"/>
      <c r="AG125" s="138"/>
      <c r="AH125" s="138"/>
      <c r="AI125" s="138"/>
      <c r="AJ125" s="233"/>
      <c r="AK125" s="233"/>
      <c r="AL125" s="138"/>
      <c r="AM125" s="138"/>
      <c r="AN125" s="138"/>
      <c r="AO125" s="138"/>
      <c r="AP125" s="138"/>
      <c r="AQ125" s="138"/>
      <c r="AR125" s="138"/>
      <c r="AU125" s="390" t="s">
        <v>368</v>
      </c>
      <c r="AV125" s="390"/>
      <c r="AW125" s="390"/>
      <c r="AX125" s="390"/>
      <c r="AY125" s="390"/>
      <c r="AZ125" s="390"/>
      <c r="BA125" s="390"/>
      <c r="BB125" s="390"/>
      <c r="BC125" s="390"/>
      <c r="BD125" s="390"/>
      <c r="BE125" s="390"/>
      <c r="BF125" s="390"/>
      <c r="BG125" s="390"/>
      <c r="BH125" s="390"/>
      <c r="BI125" s="390"/>
      <c r="BO125" s="52"/>
      <c r="BP125" s="52"/>
    </row>
    <row r="126" spans="5:69" ht="235.95" customHeight="1">
      <c r="E126" s="60"/>
      <c r="F126" s="234" t="s">
        <v>333</v>
      </c>
      <c r="G126" s="234" t="s">
        <v>335</v>
      </c>
      <c r="H126" s="234" t="s">
        <v>336</v>
      </c>
      <c r="I126" s="234" t="s">
        <v>355</v>
      </c>
      <c r="J126" s="234" t="s">
        <v>377</v>
      </c>
      <c r="K126" s="234" t="s">
        <v>466</v>
      </c>
      <c r="L126" s="234" t="s">
        <v>467</v>
      </c>
      <c r="M126" s="234" t="s">
        <v>411</v>
      </c>
      <c r="N126" s="234" t="s">
        <v>459</v>
      </c>
      <c r="O126" s="235" t="s">
        <v>442</v>
      </c>
      <c r="P126" s="234" t="s">
        <v>409</v>
      </c>
      <c r="Q126" s="235" t="s">
        <v>412</v>
      </c>
      <c r="R126" s="234" t="s">
        <v>437</v>
      </c>
      <c r="S126" s="236" t="s">
        <v>430</v>
      </c>
      <c r="T126" s="234" t="s">
        <v>416</v>
      </c>
      <c r="U126" s="235" t="s">
        <v>441</v>
      </c>
      <c r="V126" s="235" t="s">
        <v>436</v>
      </c>
      <c r="W126" s="235" t="s">
        <v>433</v>
      </c>
      <c r="X126" s="235" t="s">
        <v>439</v>
      </c>
      <c r="Y126" s="236" t="s">
        <v>438</v>
      </c>
      <c r="Z126" s="236" t="s">
        <v>424</v>
      </c>
      <c r="AA126" s="236" t="s">
        <v>456</v>
      </c>
      <c r="AB126" s="236" t="s">
        <v>425</v>
      </c>
      <c r="AC126" s="236" t="s">
        <v>427</v>
      </c>
      <c r="AD126" s="236" t="s">
        <v>426</v>
      </c>
      <c r="AE126" s="236" t="s">
        <v>484</v>
      </c>
      <c r="AF126" s="238" t="s">
        <v>422</v>
      </c>
      <c r="AG126" s="238" t="s">
        <v>552</v>
      </c>
      <c r="AH126" s="236" t="s">
        <v>421</v>
      </c>
      <c r="AI126" s="234" t="s">
        <v>423</v>
      </c>
      <c r="AJ126" s="236" t="s">
        <v>515</v>
      </c>
      <c r="AK126" s="236" t="s">
        <v>517</v>
      </c>
      <c r="AL126" s="236" t="s">
        <v>445</v>
      </c>
      <c r="AM126" s="236" t="s">
        <v>446</v>
      </c>
      <c r="AN126" s="236" t="s">
        <v>447</v>
      </c>
      <c r="AO126" s="236" t="s">
        <v>457</v>
      </c>
    </row>
    <row r="127" spans="5:69">
      <c r="E127" s="134" t="s">
        <v>325</v>
      </c>
      <c r="F127" s="237"/>
      <c r="G127" s="237"/>
      <c r="H127" s="237"/>
      <c r="I127" s="237"/>
      <c r="J127" s="237"/>
      <c r="K127" s="237"/>
      <c r="L127" s="237"/>
      <c r="M127" s="237"/>
      <c r="N127" s="237"/>
      <c r="O127" s="237">
        <f>Ore_to_PI!AO42</f>
        <v>108184.8596728804</v>
      </c>
      <c r="P127" s="237">
        <f>Ore_to_PI!AO63</f>
        <v>2244.7960862667505</v>
      </c>
      <c r="Q127" s="237"/>
      <c r="R127" s="237"/>
      <c r="S127" s="237"/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37"/>
      <c r="AN127" s="237"/>
      <c r="AO127" s="237"/>
      <c r="AP127" s="246">
        <f>SUM(F127:AO127)</f>
        <v>110429.65575914715</v>
      </c>
    </row>
    <row r="128" spans="5:69">
      <c r="E128" s="134" t="s">
        <v>326</v>
      </c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>
        <f>Ore_to_PI!AP126</f>
        <v>25297.051877142174</v>
      </c>
      <c r="R128" s="237">
        <f>Ore_to_PI!AP142</f>
        <v>6.7177820097776806</v>
      </c>
      <c r="S128" s="237"/>
      <c r="T128" s="237"/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37"/>
      <c r="AN128" s="237"/>
      <c r="AO128" s="237"/>
      <c r="AP128" s="246">
        <f>SUM(F128:AO128)</f>
        <v>25303.769659151953</v>
      </c>
    </row>
    <row r="129" spans="5:68">
      <c r="E129" s="134" t="s">
        <v>327</v>
      </c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>
        <f>Ore_to_PI!AP206</f>
        <v>8855804.320336977</v>
      </c>
      <c r="T129" s="237">
        <f>Ore_to_PI!AP227</f>
        <v>555.77441893806406</v>
      </c>
      <c r="U129" s="237"/>
      <c r="V129" s="237"/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37"/>
      <c r="AN129" s="237"/>
      <c r="AO129" s="237"/>
      <c r="AP129" s="246">
        <f t="shared" ref="AP129:AP141" si="52">SUM(F129:AO129)</f>
        <v>8856360.0947559159</v>
      </c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H129" s="52"/>
      <c r="BI129" s="52"/>
      <c r="BO129" s="52"/>
      <c r="BP129" s="52"/>
    </row>
    <row r="130" spans="5:68">
      <c r="E130" s="134" t="s">
        <v>455</v>
      </c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>
        <f>Ore_to_PI!BH42</f>
        <v>108184.8596728804</v>
      </c>
      <c r="V130" s="237"/>
      <c r="W130" s="237"/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37"/>
      <c r="AN130" s="237"/>
      <c r="AO130" s="237"/>
      <c r="AP130" s="246">
        <f t="shared" si="52"/>
        <v>108184.8596728804</v>
      </c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  <c r="BO130" s="52"/>
      <c r="BP130" s="52"/>
    </row>
    <row r="131" spans="5:68">
      <c r="E131" s="134" t="s">
        <v>435</v>
      </c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>
        <f>Ore_to_PI!BI126</f>
        <v>25297.051877142174</v>
      </c>
      <c r="W131" s="237"/>
      <c r="X131" s="237"/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37"/>
      <c r="AN131" s="237"/>
      <c r="AO131" s="237"/>
      <c r="AP131" s="246">
        <f t="shared" si="52"/>
        <v>25297.051877142174</v>
      </c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H131" s="52"/>
      <c r="BI131" s="52"/>
      <c r="BO131" s="52"/>
      <c r="BP131" s="52"/>
    </row>
    <row r="132" spans="5:68">
      <c r="E132" s="134" t="s">
        <v>434</v>
      </c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>
        <f>Ore_to_PI!BI206</f>
        <v>8855804.320336977</v>
      </c>
      <c r="X132" s="237"/>
      <c r="Y132" s="237"/>
      <c r="Z132" s="237"/>
      <c r="AA132" s="237"/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37"/>
      <c r="AN132" s="237"/>
      <c r="AO132" s="237"/>
      <c r="AP132" s="246">
        <f t="shared" si="52"/>
        <v>8855804.320336977</v>
      </c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O132" s="52"/>
      <c r="BP132" s="52"/>
    </row>
    <row r="133" spans="5:68">
      <c r="E133" s="134" t="s">
        <v>351</v>
      </c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>
        <f>Ore_to_PI!CA42</f>
        <v>88071.706245154463</v>
      </c>
      <c r="Y133" s="237">
        <f>Ore_to_PI!CA55</f>
        <v>21722.892325740406</v>
      </c>
      <c r="Z133" s="237"/>
      <c r="AA133" s="237"/>
      <c r="AB133" s="237"/>
      <c r="AC133" s="237"/>
      <c r="AD133" s="237"/>
      <c r="AE133" s="237"/>
      <c r="AF133" s="237"/>
      <c r="AG133" s="237"/>
      <c r="AH133" s="237"/>
      <c r="AI133" s="237"/>
      <c r="AJ133" s="237"/>
      <c r="AK133" s="237"/>
      <c r="AL133" s="237"/>
      <c r="AM133" s="237"/>
      <c r="AN133" s="237"/>
      <c r="AO133" s="237"/>
      <c r="AP133" s="246">
        <f t="shared" si="52"/>
        <v>109794.59857089487</v>
      </c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O133" s="52"/>
      <c r="BP133" s="52"/>
    </row>
    <row r="134" spans="5:68">
      <c r="E134" s="134" t="s">
        <v>348</v>
      </c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>
        <f>Ore_to_PI!CB126</f>
        <v>25297.051877142174</v>
      </c>
      <c r="AA134" s="237"/>
      <c r="AB134" s="237"/>
      <c r="AC134" s="237"/>
      <c r="AD134" s="237"/>
      <c r="AE134" s="237"/>
      <c r="AF134" s="237"/>
      <c r="AG134" s="237"/>
      <c r="AH134" s="237"/>
      <c r="AI134" s="237"/>
      <c r="AJ134" s="237"/>
      <c r="AK134" s="237"/>
      <c r="AL134" s="237"/>
      <c r="AM134" s="237"/>
      <c r="AN134" s="237"/>
      <c r="AO134" s="237"/>
      <c r="AP134" s="246">
        <f t="shared" si="52"/>
        <v>25297.051877142174</v>
      </c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O134" s="52"/>
      <c r="BP134" s="52"/>
    </row>
    <row r="135" spans="5:68">
      <c r="E135" s="134" t="s">
        <v>362</v>
      </c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>
        <f>Ore_to_PI!CB206</f>
        <v>8855804.320336977</v>
      </c>
      <c r="AB135" s="237"/>
      <c r="AC135" s="237"/>
      <c r="AD135" s="237"/>
      <c r="AE135" s="237"/>
      <c r="AF135" s="237"/>
      <c r="AG135" s="237"/>
      <c r="AH135" s="237"/>
      <c r="AI135" s="237"/>
      <c r="AJ135" s="237"/>
      <c r="AK135" s="237"/>
      <c r="AL135" s="237"/>
      <c r="AM135" s="237"/>
      <c r="AN135" s="237"/>
      <c r="AO135" s="237"/>
      <c r="AP135" s="246">
        <f t="shared" si="52"/>
        <v>8855804.320336977</v>
      </c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H135" s="52"/>
      <c r="BI135" s="52"/>
      <c r="BO135" s="52"/>
      <c r="BP135" s="52"/>
    </row>
    <row r="136" spans="5:68">
      <c r="E136" s="134" t="s">
        <v>349</v>
      </c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>
        <f>Ore_to_PI!CW126</f>
        <v>242016.07607977447</v>
      </c>
      <c r="AC136" s="237">
        <f>Ore_to_PI!CW114</f>
        <v>7739.2511800711582</v>
      </c>
      <c r="AD136" s="237">
        <f>Ore_to_PI!CW138</f>
        <v>87222.135331413883</v>
      </c>
      <c r="AE136" s="237"/>
      <c r="AF136" s="237"/>
      <c r="AG136" s="237"/>
      <c r="AH136" s="237"/>
      <c r="AI136" s="237"/>
      <c r="AJ136" s="237"/>
      <c r="AK136" s="237"/>
      <c r="AL136" s="237"/>
      <c r="AM136" s="237"/>
      <c r="AN136" s="237"/>
      <c r="AO136" s="237"/>
      <c r="AP136" s="246">
        <f t="shared" si="52"/>
        <v>336977.46259125951</v>
      </c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O136" s="52"/>
      <c r="BP136" s="52"/>
    </row>
    <row r="137" spans="5:68">
      <c r="E137" s="134" t="s">
        <v>344</v>
      </c>
      <c r="F137" s="237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37"/>
      <c r="AB137" s="237"/>
      <c r="AC137" s="237"/>
      <c r="AD137" s="237"/>
      <c r="AE137" s="237">
        <f>Ore_to_PI!CW206</f>
        <v>6408288.6211381694</v>
      </c>
      <c r="AF137" s="237">
        <f>Ore_to_PI!CW234</f>
        <v>4026178.1360752485</v>
      </c>
      <c r="AG137" s="237">
        <f>Ore_to_PI!CW267</f>
        <v>955411.7785075705</v>
      </c>
      <c r="AH137" s="237">
        <f>Ore_to_PI!CW218</f>
        <v>8991.620323109395</v>
      </c>
      <c r="AI137" s="237">
        <f>Ore_to_PI!CW251</f>
        <v>303788.26554911444</v>
      </c>
      <c r="AJ137" s="237"/>
      <c r="AK137" s="237"/>
      <c r="AL137" s="237"/>
      <c r="AM137" s="237"/>
      <c r="AN137" s="237"/>
      <c r="AO137" s="237"/>
      <c r="AP137" s="246">
        <f t="shared" si="52"/>
        <v>11702658.42159321</v>
      </c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O137" s="52"/>
      <c r="BP137" s="52"/>
    </row>
    <row r="138" spans="5:68">
      <c r="E138" s="134" t="s">
        <v>514</v>
      </c>
      <c r="F138" s="237"/>
      <c r="G138" s="237"/>
      <c r="H138" s="237"/>
      <c r="I138" s="237"/>
      <c r="J138" s="237"/>
      <c r="K138" s="237"/>
      <c r="L138" s="237"/>
      <c r="M138" s="237"/>
      <c r="N138" s="237"/>
      <c r="O138" s="237"/>
      <c r="P138" s="237"/>
      <c r="Q138" s="237"/>
      <c r="R138" s="237"/>
      <c r="S138" s="237"/>
      <c r="T138" s="237"/>
      <c r="U138" s="237"/>
      <c r="V138" s="237"/>
      <c r="W138" s="237"/>
      <c r="X138" s="237"/>
      <c r="Y138" s="237"/>
      <c r="Z138" s="237"/>
      <c r="AA138" s="237"/>
      <c r="AB138" s="237"/>
      <c r="AC138" s="237"/>
      <c r="AD138" s="237"/>
      <c r="AE138" s="237"/>
      <c r="AF138" s="237"/>
      <c r="AG138" s="237"/>
      <c r="AH138" s="237"/>
      <c r="AI138" s="237"/>
      <c r="AJ138" s="237">
        <f>Ore_to_PI!DQ233</f>
        <v>4043367.3234254471</v>
      </c>
      <c r="AK138" s="237"/>
      <c r="AL138" s="237"/>
      <c r="AM138" s="237"/>
      <c r="AN138" s="237"/>
      <c r="AO138" s="237"/>
      <c r="AP138" s="246">
        <f t="shared" si="52"/>
        <v>4043367.3234254471</v>
      </c>
    </row>
    <row r="139" spans="5:68">
      <c r="E139" s="134" t="s">
        <v>516</v>
      </c>
      <c r="F139" s="237"/>
      <c r="G139" s="237"/>
      <c r="H139" s="237"/>
      <c r="I139" s="237"/>
      <c r="J139" s="237"/>
      <c r="K139" s="237"/>
      <c r="L139" s="237"/>
      <c r="M139" s="237"/>
      <c r="N139" s="237"/>
      <c r="O139" s="237"/>
      <c r="P139" s="237"/>
      <c r="Q139" s="237"/>
      <c r="R139" s="237"/>
      <c r="S139" s="237"/>
      <c r="T139" s="237"/>
      <c r="U139" s="237"/>
      <c r="V139" s="237"/>
      <c r="W139" s="237"/>
      <c r="X139" s="237"/>
      <c r="Y139" s="237"/>
      <c r="Z139" s="237"/>
      <c r="AA139" s="237"/>
      <c r="AB139" s="237"/>
      <c r="AC139" s="237"/>
      <c r="AD139" s="237"/>
      <c r="AE139" s="237"/>
      <c r="AF139" s="237"/>
      <c r="AG139" s="237"/>
      <c r="AH139" s="237"/>
      <c r="AI139" s="237"/>
      <c r="AJ139" s="237"/>
      <c r="AK139" s="237">
        <f>Ore_to_PI!$EL$233</f>
        <v>4043367.3234254471</v>
      </c>
      <c r="AL139" s="237"/>
      <c r="AM139" s="237"/>
      <c r="AN139" s="237"/>
      <c r="AO139" s="237"/>
      <c r="AP139" s="246">
        <f t="shared" si="52"/>
        <v>4043367.3234254471</v>
      </c>
    </row>
    <row r="140" spans="5:68">
      <c r="E140" s="134" t="s">
        <v>76</v>
      </c>
      <c r="F140" s="237"/>
      <c r="G140" s="237"/>
      <c r="H140" s="237"/>
      <c r="I140" s="237"/>
      <c r="J140" s="237"/>
      <c r="K140" s="237"/>
      <c r="L140" s="237"/>
      <c r="M140" s="237"/>
      <c r="N140" s="237"/>
      <c r="O140" s="237"/>
      <c r="P140" s="237"/>
      <c r="Q140" s="237"/>
      <c r="R140" s="237"/>
      <c r="S140" s="237"/>
      <c r="T140" s="237"/>
      <c r="U140" s="237"/>
      <c r="V140" s="237"/>
      <c r="W140" s="237"/>
      <c r="X140" s="237"/>
      <c r="Y140" s="237"/>
      <c r="Z140" s="237"/>
      <c r="AA140" s="237"/>
      <c r="AB140" s="237"/>
      <c r="AC140" s="237"/>
      <c r="AD140" s="237"/>
      <c r="AE140" s="237"/>
      <c r="AF140" s="237"/>
      <c r="AG140" s="237"/>
      <c r="AH140" s="237"/>
      <c r="AI140" s="239"/>
      <c r="AJ140" s="237"/>
      <c r="AK140" s="237"/>
      <c r="AL140" s="239">
        <f>Ore_to_PI!EM126</f>
        <v>6682782.3361421349</v>
      </c>
      <c r="AM140" s="237"/>
      <c r="AN140" s="237"/>
      <c r="AO140" s="237"/>
      <c r="AP140" s="246">
        <f t="shared" si="52"/>
        <v>6682782.3361421349</v>
      </c>
    </row>
    <row r="141" spans="5:68">
      <c r="E141" s="134" t="s">
        <v>337</v>
      </c>
      <c r="F141" s="237"/>
      <c r="G141" s="237"/>
      <c r="H141" s="237"/>
      <c r="I141" s="239"/>
      <c r="J141" s="237"/>
      <c r="K141" s="237"/>
      <c r="L141" s="237"/>
      <c r="M141" s="237"/>
      <c r="N141" s="237"/>
      <c r="O141" s="237"/>
      <c r="P141" s="237"/>
      <c r="Q141" s="237"/>
      <c r="R141" s="237"/>
      <c r="S141" s="237"/>
      <c r="T141" s="237"/>
      <c r="U141" s="237"/>
      <c r="V141" s="237"/>
      <c r="W141" s="237"/>
      <c r="X141" s="237"/>
      <c r="Y141" s="237"/>
      <c r="Z141" s="237"/>
      <c r="AA141" s="237"/>
      <c r="AB141" s="237"/>
      <c r="AC141" s="237"/>
      <c r="AD141" s="243"/>
      <c r="AE141" s="237"/>
      <c r="AF141" s="237"/>
      <c r="AG141" s="237"/>
      <c r="AH141" s="237"/>
      <c r="AI141" s="237"/>
      <c r="AJ141" s="237"/>
      <c r="AK141" s="237"/>
      <c r="AL141" s="237"/>
      <c r="AM141" s="237">
        <f>Ore_to_PI!FM126</f>
        <v>4157895.2984628798</v>
      </c>
      <c r="AN141" s="237">
        <f>Ore_to_PI!FM141</f>
        <v>404209.15818875749</v>
      </c>
      <c r="AO141" s="237">
        <f>Ore_to_PI!FM104</f>
        <v>67875.356217847453</v>
      </c>
      <c r="AP141" s="246">
        <f t="shared" si="52"/>
        <v>4629979.8128694845</v>
      </c>
    </row>
    <row r="142" spans="5:68">
      <c r="E142" s="134"/>
      <c r="F142" s="390" t="s">
        <v>329</v>
      </c>
      <c r="G142" s="390"/>
      <c r="H142" s="390"/>
      <c r="I142" s="390"/>
      <c r="J142" s="390"/>
      <c r="K142" s="390"/>
      <c r="L142" s="390"/>
      <c r="M142" s="390"/>
      <c r="N142" s="390"/>
      <c r="O142" s="390"/>
      <c r="P142" s="390"/>
      <c r="Q142" s="390"/>
      <c r="R142" s="390"/>
      <c r="S142" s="390"/>
      <c r="T142" s="390"/>
      <c r="U142" s="390"/>
      <c r="V142" s="390"/>
      <c r="W142" s="390"/>
      <c r="X142" s="390"/>
      <c r="Y142" s="390"/>
      <c r="Z142" s="390"/>
      <c r="AA142" s="390"/>
      <c r="AB142" s="390"/>
      <c r="AC142" s="390"/>
      <c r="AD142" s="390"/>
      <c r="AE142" s="390"/>
      <c r="AF142" s="390"/>
      <c r="AG142" s="390"/>
      <c r="AH142" s="390"/>
      <c r="AI142" s="390"/>
      <c r="AJ142" s="390"/>
      <c r="AK142" s="390"/>
      <c r="AL142" s="390"/>
      <c r="AM142" s="390"/>
      <c r="AN142" s="390"/>
      <c r="AO142" s="390"/>
      <c r="AP142" s="52" t="s">
        <v>365</v>
      </c>
      <c r="AQ142" s="52"/>
    </row>
    <row r="143" spans="5:68">
      <c r="E143" s="134"/>
      <c r="F143" s="246">
        <f t="shared" ref="F143:AO143" si="53">SUM(F127:F141)</f>
        <v>0</v>
      </c>
      <c r="G143" s="246">
        <f t="shared" si="53"/>
        <v>0</v>
      </c>
      <c r="H143" s="246">
        <f t="shared" si="53"/>
        <v>0</v>
      </c>
      <c r="I143" s="246">
        <f t="shared" si="53"/>
        <v>0</v>
      </c>
      <c r="J143" s="246">
        <f t="shared" si="53"/>
        <v>0</v>
      </c>
      <c r="K143" s="246">
        <f t="shared" si="53"/>
        <v>0</v>
      </c>
      <c r="L143" s="246">
        <f t="shared" si="53"/>
        <v>0</v>
      </c>
      <c r="M143" s="246">
        <f t="shared" si="53"/>
        <v>0</v>
      </c>
      <c r="N143" s="246">
        <f t="shared" si="53"/>
        <v>0</v>
      </c>
      <c r="O143" s="246">
        <f t="shared" si="53"/>
        <v>108184.8596728804</v>
      </c>
      <c r="P143" s="246">
        <f t="shared" si="53"/>
        <v>2244.7960862667505</v>
      </c>
      <c r="Q143" s="246">
        <f t="shared" si="53"/>
        <v>25297.051877142174</v>
      </c>
      <c r="R143" s="246">
        <f t="shared" si="53"/>
        <v>6.7177820097776806</v>
      </c>
      <c r="S143" s="246">
        <f t="shared" si="53"/>
        <v>8855804.320336977</v>
      </c>
      <c r="T143" s="246">
        <f t="shared" si="53"/>
        <v>555.77441893806406</v>
      </c>
      <c r="U143" s="246">
        <f t="shared" si="53"/>
        <v>108184.8596728804</v>
      </c>
      <c r="V143" s="246">
        <f t="shared" si="53"/>
        <v>25297.051877142174</v>
      </c>
      <c r="W143" s="246">
        <f t="shared" si="53"/>
        <v>8855804.320336977</v>
      </c>
      <c r="X143" s="246">
        <f t="shared" si="53"/>
        <v>88071.706245154463</v>
      </c>
      <c r="Y143" s="246">
        <f t="shared" si="53"/>
        <v>21722.892325740406</v>
      </c>
      <c r="Z143" s="246">
        <f t="shared" si="53"/>
        <v>25297.051877142174</v>
      </c>
      <c r="AA143" s="246">
        <f t="shared" si="53"/>
        <v>8855804.320336977</v>
      </c>
      <c r="AB143" s="246">
        <f t="shared" si="53"/>
        <v>242016.07607977447</v>
      </c>
      <c r="AC143" s="246">
        <f t="shared" si="53"/>
        <v>7739.2511800711582</v>
      </c>
      <c r="AD143" s="246">
        <f t="shared" si="53"/>
        <v>87222.135331413883</v>
      </c>
      <c r="AE143" s="246">
        <f t="shared" si="53"/>
        <v>6408288.6211381694</v>
      </c>
      <c r="AF143" s="246">
        <f t="shared" si="53"/>
        <v>4026178.1360752485</v>
      </c>
      <c r="AG143" s="246">
        <f t="shared" si="53"/>
        <v>955411.7785075705</v>
      </c>
      <c r="AH143" s="246">
        <f t="shared" si="53"/>
        <v>8991.620323109395</v>
      </c>
      <c r="AI143" s="246">
        <f t="shared" si="53"/>
        <v>303788.26554911444</v>
      </c>
      <c r="AJ143" s="246">
        <f t="shared" si="53"/>
        <v>4043367.3234254471</v>
      </c>
      <c r="AK143" s="246">
        <f t="shared" si="53"/>
        <v>4043367.3234254471</v>
      </c>
      <c r="AL143" s="246">
        <f t="shared" si="53"/>
        <v>6682782.3361421349</v>
      </c>
      <c r="AM143" s="246">
        <f t="shared" si="53"/>
        <v>4157895.2984628798</v>
      </c>
      <c r="AN143" s="246">
        <f t="shared" si="53"/>
        <v>404209.15818875749</v>
      </c>
      <c r="AO143" s="246">
        <f t="shared" si="53"/>
        <v>67875.356217847453</v>
      </c>
    </row>
    <row r="144" spans="5:68">
      <c r="E144" s="134"/>
      <c r="F144" s="390" t="s">
        <v>366</v>
      </c>
      <c r="G144" s="390"/>
      <c r="H144" s="390"/>
      <c r="I144" s="390"/>
      <c r="J144" s="390"/>
      <c r="K144" s="390"/>
      <c r="L144" s="390"/>
      <c r="M144" s="390"/>
      <c r="N144" s="390"/>
      <c r="O144" s="390"/>
      <c r="P144" s="390"/>
      <c r="Q144" s="390"/>
      <c r="R144" s="390"/>
      <c r="S144" s="390"/>
      <c r="T144" s="390"/>
      <c r="U144" s="390"/>
      <c r="V144" s="390"/>
      <c r="W144" s="390"/>
      <c r="X144" s="390"/>
      <c r="Y144" s="390"/>
      <c r="Z144" s="390"/>
      <c r="AA144" s="390"/>
      <c r="AB144" s="390"/>
      <c r="AC144" s="390"/>
      <c r="AD144" s="390"/>
      <c r="AE144" s="390"/>
      <c r="AF144" s="390"/>
      <c r="AG144" s="390"/>
      <c r="AH144" s="390"/>
      <c r="AI144" s="390"/>
      <c r="AJ144" s="390"/>
      <c r="AK144" s="390"/>
      <c r="AL144" s="390"/>
      <c r="AM144" s="390"/>
      <c r="AN144" s="390"/>
      <c r="AO144" s="390"/>
    </row>
    <row r="145" spans="5:43">
      <c r="E145" s="134"/>
    </row>
    <row r="146" spans="5:43">
      <c r="E146" s="134"/>
    </row>
    <row r="147" spans="5:43">
      <c r="E147" s="134"/>
    </row>
    <row r="148" spans="5:43">
      <c r="E148" s="134"/>
    </row>
    <row r="149" spans="5:43">
      <c r="E149" s="134"/>
    </row>
    <row r="150" spans="5:43">
      <c r="E150" s="134"/>
    </row>
    <row r="151" spans="5:43">
      <c r="E151" s="134"/>
    </row>
    <row r="152" spans="5:43">
      <c r="E152" s="134"/>
    </row>
    <row r="153" spans="5:43">
      <c r="E153" s="134"/>
    </row>
    <row r="154" spans="5:43">
      <c r="E154" s="134"/>
    </row>
    <row r="155" spans="5:43" ht="235.95" customHeight="1">
      <c r="E155" s="134"/>
      <c r="F155" s="234" t="s">
        <v>333</v>
      </c>
      <c r="G155" s="234" t="s">
        <v>335</v>
      </c>
      <c r="H155" s="234" t="s">
        <v>336</v>
      </c>
      <c r="I155" s="234" t="s">
        <v>355</v>
      </c>
      <c r="J155" s="234" t="s">
        <v>377</v>
      </c>
      <c r="K155" s="234" t="s">
        <v>466</v>
      </c>
      <c r="L155" s="234" t="s">
        <v>467</v>
      </c>
      <c r="M155" s="234" t="s">
        <v>411</v>
      </c>
      <c r="N155" s="234" t="s">
        <v>459</v>
      </c>
      <c r="O155" s="235" t="s">
        <v>442</v>
      </c>
      <c r="P155" s="234" t="s">
        <v>409</v>
      </c>
      <c r="Q155" s="235" t="s">
        <v>412</v>
      </c>
      <c r="R155" s="234" t="s">
        <v>437</v>
      </c>
      <c r="S155" s="236" t="s">
        <v>430</v>
      </c>
      <c r="T155" s="234" t="s">
        <v>416</v>
      </c>
      <c r="U155" s="235" t="s">
        <v>441</v>
      </c>
      <c r="V155" s="235" t="s">
        <v>436</v>
      </c>
      <c r="W155" s="235" t="s">
        <v>433</v>
      </c>
      <c r="X155" s="235" t="s">
        <v>439</v>
      </c>
      <c r="Y155" s="236" t="s">
        <v>438</v>
      </c>
      <c r="Z155" s="236" t="s">
        <v>424</v>
      </c>
      <c r="AA155" s="236" t="s">
        <v>456</v>
      </c>
      <c r="AB155" s="236" t="s">
        <v>425</v>
      </c>
      <c r="AC155" s="236" t="s">
        <v>427</v>
      </c>
      <c r="AD155" s="236" t="s">
        <v>426</v>
      </c>
      <c r="AE155" s="236" t="s">
        <v>484</v>
      </c>
      <c r="AF155" s="238" t="s">
        <v>422</v>
      </c>
      <c r="AG155" s="238" t="s">
        <v>552</v>
      </c>
      <c r="AH155" s="236" t="s">
        <v>421</v>
      </c>
      <c r="AI155" s="234" t="s">
        <v>423</v>
      </c>
      <c r="AJ155" s="236" t="s">
        <v>515</v>
      </c>
      <c r="AK155" s="236" t="s">
        <v>517</v>
      </c>
      <c r="AL155" s="236" t="s">
        <v>445</v>
      </c>
      <c r="AM155" s="236" t="s">
        <v>446</v>
      </c>
      <c r="AN155" s="236" t="s">
        <v>447</v>
      </c>
      <c r="AO155" s="236" t="s">
        <v>457</v>
      </c>
      <c r="AP155" s="236"/>
      <c r="AQ155" s="236"/>
    </row>
    <row r="156" spans="5:43">
      <c r="E156" s="134" t="s">
        <v>332</v>
      </c>
      <c r="F156" s="240">
        <f>Ore_to_PI!V42</f>
        <v>108184.8596728804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  <c r="AM156" s="240"/>
      <c r="AN156" s="240"/>
      <c r="AO156" s="240"/>
    </row>
    <row r="157" spans="5:43" ht="16.05" customHeight="1">
      <c r="E157" s="232" t="s">
        <v>334</v>
      </c>
      <c r="F157" s="240"/>
      <c r="G157" s="240">
        <f>Ore_to_PI!V126</f>
        <v>25297.051877142174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M157" s="240"/>
      <c r="AN157" s="240"/>
      <c r="AO157" s="240"/>
    </row>
    <row r="158" spans="5:43">
      <c r="E158" s="233" t="s">
        <v>356</v>
      </c>
      <c r="F158" s="240"/>
      <c r="G158" s="240"/>
      <c r="H158" s="240">
        <f>Ore_to_PI!V206</f>
        <v>8850991.3601140417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  <c r="AM158" s="240"/>
      <c r="AN158" s="240"/>
      <c r="AO158" s="240"/>
    </row>
    <row r="159" spans="5:43">
      <c r="E159" s="134" t="s">
        <v>380</v>
      </c>
      <c r="F159" s="240"/>
      <c r="G159" s="240"/>
      <c r="H159" s="240"/>
      <c r="I159" s="245">
        <f>Ore_to_PI!V236+Ore_to_PI!V163+Ore_to_PI!V72+Ore_to_PI!CB232+Ore_to_PI!CB140+Ore_to_PI!EM140</f>
        <v>29146.460466184486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  <c r="AM159" s="240"/>
      <c r="AN159" s="240"/>
      <c r="AO159" s="240"/>
    </row>
    <row r="160" spans="5:43">
      <c r="E160" s="134" t="s">
        <v>376</v>
      </c>
      <c r="F160" s="240"/>
      <c r="G160" s="240"/>
      <c r="H160" s="240"/>
      <c r="I160" s="240"/>
      <c r="J160" s="240">
        <f>Ore_to_PI!EM114+Ore_to_PI!CB152+Ore_to_PI!CB244</f>
        <v>14864300.668385513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M160" s="240"/>
      <c r="AN160" s="240"/>
      <c r="AO160" s="240"/>
    </row>
    <row r="161" spans="5:47">
      <c r="E161" s="134" t="s">
        <v>469</v>
      </c>
      <c r="F161" s="240"/>
      <c r="G161" s="240"/>
      <c r="H161" s="240"/>
      <c r="I161" s="240"/>
      <c r="J161" s="240"/>
      <c r="K161" s="240">
        <f>Ore_to_PI!V59+Ore_to_PI!V140+Ore_to_PI!V222</f>
        <v>117713.24639155329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  <c r="AM161" s="240"/>
      <c r="AN161" s="240"/>
      <c r="AO161" s="240"/>
      <c r="AU161" s="238"/>
    </row>
    <row r="162" spans="5:47">
      <c r="E162" s="134" t="s">
        <v>468</v>
      </c>
      <c r="F162" s="240"/>
      <c r="G162" s="240"/>
      <c r="H162" s="240"/>
      <c r="I162" s="240"/>
      <c r="J162" s="240"/>
      <c r="K162" s="240"/>
      <c r="L162" s="240">
        <f>Ore_to_PI!V151</f>
        <v>24.076233417548465</v>
      </c>
      <c r="M162" s="240"/>
      <c r="N162" s="240"/>
      <c r="O162" s="240"/>
      <c r="P162" s="240"/>
      <c r="Q162" s="240"/>
      <c r="R162" s="240"/>
      <c r="S162" s="240"/>
      <c r="T162" s="240"/>
      <c r="U162" s="240"/>
      <c r="V162" s="240"/>
      <c r="W162" s="240"/>
      <c r="X162" s="240"/>
      <c r="Y162" s="240"/>
      <c r="Z162" s="240"/>
      <c r="AA162" s="240"/>
      <c r="AB162" s="240"/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</row>
    <row r="163" spans="5:47">
      <c r="E163" s="134" t="s">
        <v>410</v>
      </c>
      <c r="F163" s="240"/>
      <c r="G163" s="240"/>
      <c r="H163" s="240"/>
      <c r="I163" s="240"/>
      <c r="J163" s="240"/>
      <c r="K163" s="240"/>
      <c r="L163" s="240"/>
      <c r="M163" s="240">
        <f>Ore_to_PI!EM101</f>
        <v>29112.263489807588</v>
      </c>
      <c r="N163" s="240"/>
      <c r="O163" s="240"/>
      <c r="P163" s="240"/>
      <c r="Q163" s="240"/>
      <c r="R163" s="240"/>
      <c r="S163" s="240"/>
      <c r="T163" s="240"/>
      <c r="U163" s="240"/>
      <c r="V163" s="240"/>
      <c r="W163" s="240"/>
      <c r="X163" s="240"/>
      <c r="Y163" s="240"/>
      <c r="Z163" s="240"/>
      <c r="AA163" s="240"/>
      <c r="AB163" s="240"/>
      <c r="AC163" s="240"/>
      <c r="AD163" s="240"/>
      <c r="AE163" s="240"/>
      <c r="AF163" s="240"/>
      <c r="AG163" s="240"/>
      <c r="AH163" s="240"/>
      <c r="AI163" s="240"/>
      <c r="AJ163" s="240"/>
      <c r="AK163" s="240"/>
      <c r="AL163" s="240"/>
      <c r="AM163" s="240"/>
      <c r="AN163" s="240"/>
      <c r="AO163" s="240"/>
    </row>
    <row r="164" spans="5:47">
      <c r="E164" s="134" t="s">
        <v>458</v>
      </c>
      <c r="F164" s="240"/>
      <c r="G164" s="240"/>
      <c r="H164" s="240"/>
      <c r="I164" s="240"/>
      <c r="J164" s="240"/>
      <c r="K164" s="240"/>
      <c r="L164" s="240"/>
      <c r="M164" s="240"/>
      <c r="N164" s="240">
        <f>Ore_to_PI!EU117+Ore_to_PI!BM116+Ore_to_PI!AU113+Ore_to_PI!AC195+Ore_to_PI!AU190+Ore_to_PI!BM195+Ore_to_PI!DD229+Ore_to_PI!BN35+Ore_to_PI!AU28</f>
        <v>1058348.7350491155</v>
      </c>
      <c r="O164" s="240"/>
      <c r="P164" s="240"/>
      <c r="Q164" s="240"/>
      <c r="R164" s="240"/>
      <c r="S164" s="240"/>
      <c r="T164" s="240"/>
      <c r="U164" s="240"/>
      <c r="V164" s="240"/>
      <c r="W164" s="240"/>
      <c r="X164" s="240"/>
      <c r="Y164" s="240"/>
      <c r="Z164" s="240"/>
      <c r="AA164" s="240"/>
      <c r="AB164" s="240"/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</row>
    <row r="165" spans="5:47">
      <c r="F165" s="390" t="s">
        <v>56</v>
      </c>
      <c r="G165" s="390"/>
      <c r="H165" s="390"/>
      <c r="I165" s="390"/>
      <c r="J165" s="390"/>
      <c r="K165" s="390"/>
      <c r="L165" s="390"/>
      <c r="M165" s="390"/>
      <c r="N165" s="390"/>
      <c r="O165" s="390"/>
      <c r="P165" s="390"/>
      <c r="Q165" s="390"/>
      <c r="R165" s="390"/>
      <c r="S165" s="390"/>
      <c r="T165" s="390"/>
      <c r="U165" s="390"/>
      <c r="V165" s="390"/>
      <c r="W165" s="390"/>
      <c r="X165" s="390"/>
      <c r="Y165" s="390"/>
      <c r="Z165" s="390"/>
      <c r="AA165" s="390"/>
      <c r="AB165" s="390"/>
      <c r="AC165" s="390"/>
      <c r="AD165" s="390"/>
      <c r="AE165" s="390"/>
      <c r="AF165" s="390"/>
      <c r="AG165" s="390"/>
      <c r="AH165" s="390"/>
      <c r="AI165" s="390"/>
      <c r="AJ165" s="390"/>
      <c r="AK165" s="390"/>
      <c r="AL165" s="390"/>
      <c r="AM165" s="390"/>
      <c r="AN165" s="390"/>
      <c r="AO165" s="390"/>
      <c r="AP165" s="52"/>
      <c r="AQ165" s="52"/>
    </row>
    <row r="166" spans="5:47">
      <c r="F166" s="246">
        <f t="shared" ref="F166:AO166" si="54">SUM(F156:F164)</f>
        <v>108184.8596728804</v>
      </c>
      <c r="G166" s="246">
        <f t="shared" si="54"/>
        <v>25297.051877142174</v>
      </c>
      <c r="H166" s="246">
        <f t="shared" si="54"/>
        <v>8850991.3601140417</v>
      </c>
      <c r="I166" s="246">
        <f t="shared" si="54"/>
        <v>29146.460466184486</v>
      </c>
      <c r="J166" s="246">
        <f t="shared" si="54"/>
        <v>14864300.668385513</v>
      </c>
      <c r="K166" s="246">
        <f t="shared" si="54"/>
        <v>117713.24639155329</v>
      </c>
      <c r="L166" s="246">
        <f t="shared" si="54"/>
        <v>24.076233417548465</v>
      </c>
      <c r="M166" s="246">
        <f t="shared" si="54"/>
        <v>29112.263489807588</v>
      </c>
      <c r="N166" s="246">
        <f t="shared" si="54"/>
        <v>1058348.7350491155</v>
      </c>
      <c r="O166" s="246">
        <f t="shared" si="54"/>
        <v>0</v>
      </c>
      <c r="P166" s="246">
        <f t="shared" si="54"/>
        <v>0</v>
      </c>
      <c r="Q166" s="246">
        <f t="shared" si="54"/>
        <v>0</v>
      </c>
      <c r="R166" s="246">
        <f t="shared" si="54"/>
        <v>0</v>
      </c>
      <c r="S166" s="246">
        <f t="shared" si="54"/>
        <v>0</v>
      </c>
      <c r="T166" s="246">
        <f t="shared" si="54"/>
        <v>0</v>
      </c>
      <c r="U166" s="246">
        <f t="shared" si="54"/>
        <v>0</v>
      </c>
      <c r="V166" s="246">
        <f t="shared" si="54"/>
        <v>0</v>
      </c>
      <c r="W166" s="246">
        <f t="shared" si="54"/>
        <v>0</v>
      </c>
      <c r="X166" s="246">
        <f t="shared" si="54"/>
        <v>0</v>
      </c>
      <c r="Y166" s="246">
        <f t="shared" si="54"/>
        <v>0</v>
      </c>
      <c r="Z166" s="246">
        <f t="shared" si="54"/>
        <v>0</v>
      </c>
      <c r="AA166" s="246">
        <f t="shared" si="54"/>
        <v>0</v>
      </c>
      <c r="AB166" s="246">
        <f t="shared" si="54"/>
        <v>0</v>
      </c>
      <c r="AC166" s="246">
        <f t="shared" si="54"/>
        <v>0</v>
      </c>
      <c r="AD166" s="246">
        <f t="shared" si="54"/>
        <v>0</v>
      </c>
      <c r="AE166" s="246">
        <f t="shared" si="54"/>
        <v>0</v>
      </c>
      <c r="AF166" s="246">
        <f t="shared" si="54"/>
        <v>0</v>
      </c>
      <c r="AG166" s="246">
        <f t="shared" si="54"/>
        <v>0</v>
      </c>
      <c r="AH166" s="246">
        <f t="shared" si="54"/>
        <v>0</v>
      </c>
      <c r="AI166" s="246">
        <f t="shared" si="54"/>
        <v>0</v>
      </c>
      <c r="AJ166" s="246">
        <f t="shared" si="54"/>
        <v>0</v>
      </c>
      <c r="AK166" s="246">
        <f t="shared" si="54"/>
        <v>0</v>
      </c>
      <c r="AL166" s="246">
        <f t="shared" si="54"/>
        <v>0</v>
      </c>
      <c r="AM166" s="246">
        <f t="shared" si="54"/>
        <v>0</v>
      </c>
      <c r="AN166" s="246">
        <f t="shared" si="54"/>
        <v>0</v>
      </c>
      <c r="AO166" s="246">
        <f t="shared" si="54"/>
        <v>0</v>
      </c>
    </row>
    <row r="167" spans="5:47">
      <c r="F167" s="390" t="s">
        <v>367</v>
      </c>
      <c r="G167" s="390"/>
      <c r="H167" s="390"/>
      <c r="I167" s="390"/>
      <c r="J167" s="390"/>
      <c r="K167" s="390"/>
      <c r="L167" s="390"/>
      <c r="M167" s="390"/>
      <c r="N167" s="390"/>
      <c r="O167" s="390"/>
      <c r="P167" s="390"/>
      <c r="Q167" s="390"/>
      <c r="R167" s="390"/>
      <c r="S167" s="390"/>
      <c r="T167" s="390"/>
      <c r="U167" s="390"/>
      <c r="V167" s="390"/>
      <c r="W167" s="390"/>
      <c r="X167" s="390"/>
      <c r="Y167" s="390"/>
      <c r="Z167" s="390"/>
      <c r="AA167" s="390"/>
      <c r="AB167" s="390"/>
      <c r="AC167" s="390"/>
      <c r="AD167" s="390"/>
      <c r="AE167" s="390"/>
      <c r="AF167" s="390"/>
      <c r="AG167" s="390"/>
      <c r="AH167" s="390"/>
      <c r="AI167" s="390"/>
      <c r="AJ167" s="390"/>
      <c r="AK167" s="390"/>
      <c r="AL167" s="390"/>
      <c r="AM167" s="390"/>
      <c r="AN167" s="390"/>
      <c r="AO167" s="390"/>
      <c r="AP167" s="52"/>
      <c r="AQ167" s="52"/>
    </row>
    <row r="171" spans="5:47">
      <c r="F171" s="390" t="s">
        <v>461</v>
      </c>
      <c r="G171" s="390"/>
      <c r="H171" s="390"/>
      <c r="I171" s="390"/>
      <c r="J171" s="390"/>
      <c r="K171" s="390"/>
      <c r="L171" s="390"/>
      <c r="M171" s="390"/>
      <c r="N171" s="390"/>
      <c r="O171" s="241"/>
      <c r="P171" s="241"/>
      <c r="Q171" s="241"/>
      <c r="R171" s="241"/>
      <c r="S171" s="241"/>
      <c r="T171" s="241"/>
      <c r="U171" s="241"/>
      <c r="V171" s="241"/>
      <c r="W171" s="241"/>
      <c r="X171" s="52"/>
      <c r="Y171" s="52"/>
    </row>
    <row r="174" spans="5:47">
      <c r="E174" s="134" t="s">
        <v>333</v>
      </c>
      <c r="F174" s="246">
        <f t="array" ref="F174:F209">TRANSPOSE((F166:AO166))</f>
        <v>108184.8596728804</v>
      </c>
      <c r="H174" s="246">
        <f t="array" ref="H174:H209">TRANSPOSE(F143:AO143)</f>
        <v>0</v>
      </c>
      <c r="J174" s="246">
        <f t="shared" ref="J174:J200" si="55">BJ87</f>
        <v>108184.8596728804</v>
      </c>
      <c r="L174" s="246">
        <f t="array" ref="L174:L209">BQ87:BQ122</f>
        <v>0</v>
      </c>
      <c r="N174" s="250">
        <f>F174+H174-J174-L174</f>
        <v>0</v>
      </c>
    </row>
    <row r="175" spans="5:47">
      <c r="E175" s="134" t="s">
        <v>335</v>
      </c>
      <c r="F175" s="246">
        <v>25297.051877142174</v>
      </c>
      <c r="H175" s="246">
        <v>0</v>
      </c>
      <c r="J175" s="246">
        <f t="shared" si="55"/>
        <v>25297.051877142174</v>
      </c>
      <c r="L175" s="246">
        <v>0</v>
      </c>
      <c r="N175" s="250">
        <f>F175+H175-J175-L175</f>
        <v>0</v>
      </c>
    </row>
    <row r="176" spans="5:47">
      <c r="E176" s="134" t="s">
        <v>336</v>
      </c>
      <c r="F176" s="246">
        <v>8850991.3601140417</v>
      </c>
      <c r="H176" s="246">
        <v>0</v>
      </c>
      <c r="J176" s="246">
        <f t="shared" si="55"/>
        <v>8850991.3601140417</v>
      </c>
      <c r="L176" s="246">
        <v>0</v>
      </c>
      <c r="N176" s="250">
        <f>F176+H176-J176-L176</f>
        <v>0</v>
      </c>
    </row>
    <row r="177" spans="5:14">
      <c r="E177" s="134" t="s">
        <v>355</v>
      </c>
      <c r="F177" s="246">
        <v>29146.460466184486</v>
      </c>
      <c r="H177" s="246">
        <v>0</v>
      </c>
      <c r="J177" s="246">
        <f t="shared" si="55"/>
        <v>29146.460466184486</v>
      </c>
      <c r="L177" s="246">
        <v>0</v>
      </c>
      <c r="N177" s="250">
        <f>ROUND(F177+H177-J177-L177, 10)</f>
        <v>0</v>
      </c>
    </row>
    <row r="178" spans="5:14">
      <c r="E178" s="134" t="s">
        <v>377</v>
      </c>
      <c r="F178" s="246">
        <v>14864300.668385513</v>
      </c>
      <c r="H178" s="246">
        <v>0</v>
      </c>
      <c r="J178" s="246">
        <f t="shared" si="55"/>
        <v>14864300.668385513</v>
      </c>
      <c r="L178" s="246">
        <v>0</v>
      </c>
      <c r="N178" s="250">
        <f t="shared" ref="N178:N193" si="56">F178+H178-J178-L178</f>
        <v>0</v>
      </c>
    </row>
    <row r="179" spans="5:14">
      <c r="E179" s="134" t="s">
        <v>466</v>
      </c>
      <c r="F179" s="246">
        <v>117713.24639155329</v>
      </c>
      <c r="H179" s="246">
        <v>0</v>
      </c>
      <c r="J179" s="246">
        <f t="shared" si="55"/>
        <v>117713.24639155329</v>
      </c>
      <c r="L179" s="246">
        <v>0</v>
      </c>
      <c r="N179" s="250">
        <f t="shared" si="56"/>
        <v>0</v>
      </c>
    </row>
    <row r="180" spans="5:14">
      <c r="E180" s="134" t="s">
        <v>467</v>
      </c>
      <c r="F180" s="246">
        <v>24.076233417548465</v>
      </c>
      <c r="H180" s="246">
        <v>0</v>
      </c>
      <c r="J180" s="246">
        <f t="shared" si="55"/>
        <v>24.076233417548465</v>
      </c>
      <c r="L180" s="246">
        <v>0</v>
      </c>
      <c r="N180" s="250">
        <f t="shared" si="56"/>
        <v>0</v>
      </c>
    </row>
    <row r="181" spans="5:14">
      <c r="E181" s="134" t="s">
        <v>411</v>
      </c>
      <c r="F181" s="246">
        <v>29112.263489807588</v>
      </c>
      <c r="H181" s="246">
        <v>0</v>
      </c>
      <c r="J181" s="246">
        <f t="shared" si="55"/>
        <v>29112.263489807588</v>
      </c>
      <c r="L181" s="246">
        <v>0</v>
      </c>
      <c r="N181" s="250">
        <f t="shared" si="56"/>
        <v>0</v>
      </c>
    </row>
    <row r="182" spans="5:14">
      <c r="E182" s="134" t="s">
        <v>459</v>
      </c>
      <c r="F182" s="246">
        <v>1058348.7350491155</v>
      </c>
      <c r="H182" s="246">
        <v>0</v>
      </c>
      <c r="J182" s="246">
        <f t="shared" si="55"/>
        <v>1058348.7350491155</v>
      </c>
      <c r="L182" s="246">
        <v>0</v>
      </c>
      <c r="N182" s="250">
        <f t="shared" si="56"/>
        <v>0</v>
      </c>
    </row>
    <row r="183" spans="5:14" ht="16.05" customHeight="1">
      <c r="E183" s="232" t="s">
        <v>442</v>
      </c>
      <c r="F183" s="246">
        <v>0</v>
      </c>
      <c r="H183" s="246">
        <v>108184.8596728804</v>
      </c>
      <c r="J183" s="246">
        <f t="shared" si="55"/>
        <v>108184.8596728804</v>
      </c>
      <c r="L183" s="246">
        <v>0</v>
      </c>
      <c r="N183" s="250">
        <f t="shared" si="56"/>
        <v>0</v>
      </c>
    </row>
    <row r="184" spans="5:14">
      <c r="E184" s="134" t="s">
        <v>409</v>
      </c>
      <c r="F184" s="246">
        <v>0</v>
      </c>
      <c r="H184" s="246">
        <v>2244.7960862667505</v>
      </c>
      <c r="J184" s="246">
        <f t="shared" si="55"/>
        <v>0</v>
      </c>
      <c r="L184" s="246">
        <v>2244.7960862667505</v>
      </c>
      <c r="N184" s="250">
        <f t="shared" si="56"/>
        <v>0</v>
      </c>
    </row>
    <row r="185" spans="5:14" ht="16.05" customHeight="1">
      <c r="E185" s="232" t="s">
        <v>412</v>
      </c>
      <c r="F185" s="246">
        <v>0</v>
      </c>
      <c r="H185" s="246">
        <v>25297.051877142174</v>
      </c>
      <c r="J185" s="246">
        <f t="shared" si="55"/>
        <v>25297.051877142174</v>
      </c>
      <c r="L185" s="246">
        <v>0</v>
      </c>
      <c r="N185" s="250">
        <f t="shared" si="56"/>
        <v>0</v>
      </c>
    </row>
    <row r="186" spans="5:14">
      <c r="E186" s="134" t="s">
        <v>437</v>
      </c>
      <c r="F186" s="246">
        <v>0</v>
      </c>
      <c r="H186" s="246">
        <v>6.7177820097776806</v>
      </c>
      <c r="J186" s="246">
        <f t="shared" si="55"/>
        <v>0</v>
      </c>
      <c r="L186" s="246">
        <v>6.7177820097776806</v>
      </c>
      <c r="N186" s="250">
        <f t="shared" si="56"/>
        <v>0</v>
      </c>
    </row>
    <row r="187" spans="5:14">
      <c r="E187" s="233" t="s">
        <v>430</v>
      </c>
      <c r="F187" s="246">
        <v>0</v>
      </c>
      <c r="G187" s="52" t="s">
        <v>371</v>
      </c>
      <c r="H187" s="246">
        <v>8855804.320336977</v>
      </c>
      <c r="I187" s="52" t="s">
        <v>373</v>
      </c>
      <c r="J187" s="246">
        <f t="shared" si="55"/>
        <v>8855804.320336977</v>
      </c>
      <c r="K187" s="52" t="s">
        <v>373</v>
      </c>
      <c r="L187" s="246">
        <v>0</v>
      </c>
      <c r="M187" s="52" t="s">
        <v>374</v>
      </c>
      <c r="N187" s="250">
        <f t="shared" si="56"/>
        <v>0</v>
      </c>
    </row>
    <row r="188" spans="5:14">
      <c r="E188" s="134" t="s">
        <v>416</v>
      </c>
      <c r="F188" s="246">
        <v>0</v>
      </c>
      <c r="H188" s="246">
        <v>555.77441893806406</v>
      </c>
      <c r="J188" s="246">
        <f t="shared" si="55"/>
        <v>0</v>
      </c>
      <c r="L188" s="246">
        <v>555.77441893806406</v>
      </c>
      <c r="N188" s="250">
        <f t="shared" si="56"/>
        <v>0</v>
      </c>
    </row>
    <row r="189" spans="5:14" ht="16.05" customHeight="1">
      <c r="E189" s="232" t="s">
        <v>441</v>
      </c>
      <c r="F189" s="246">
        <v>0</v>
      </c>
      <c r="H189" s="246">
        <v>108184.8596728804</v>
      </c>
      <c r="J189" s="246">
        <f t="shared" si="55"/>
        <v>108184.8596728804</v>
      </c>
      <c r="L189" s="246">
        <v>0</v>
      </c>
      <c r="N189" s="250">
        <f t="shared" si="56"/>
        <v>0</v>
      </c>
    </row>
    <row r="190" spans="5:14" ht="16.05" customHeight="1">
      <c r="E190" s="232" t="s">
        <v>436</v>
      </c>
      <c r="F190" s="246">
        <v>0</v>
      </c>
      <c r="H190" s="246">
        <v>25297.051877142174</v>
      </c>
      <c r="J190" s="246">
        <f t="shared" si="55"/>
        <v>25297.051877142174</v>
      </c>
      <c r="L190" s="246">
        <v>0</v>
      </c>
      <c r="N190" s="250">
        <f t="shared" si="56"/>
        <v>0</v>
      </c>
    </row>
    <row r="191" spans="5:14" ht="16.05" customHeight="1">
      <c r="E191" s="232" t="s">
        <v>433</v>
      </c>
      <c r="F191" s="246">
        <v>0</v>
      </c>
      <c r="H191" s="246">
        <v>8855804.320336977</v>
      </c>
      <c r="J191" s="246">
        <f t="shared" si="55"/>
        <v>8855804.320336977</v>
      </c>
      <c r="L191" s="246">
        <v>0</v>
      </c>
      <c r="N191" s="250">
        <f t="shared" si="56"/>
        <v>0</v>
      </c>
    </row>
    <row r="192" spans="5:14" ht="16.05" customHeight="1">
      <c r="E192" s="232" t="s">
        <v>439</v>
      </c>
      <c r="F192" s="246">
        <v>0</v>
      </c>
      <c r="H192" s="246">
        <v>88071.706245154463</v>
      </c>
      <c r="J192" s="246">
        <f t="shared" si="55"/>
        <v>88071.706245154463</v>
      </c>
      <c r="L192" s="246">
        <v>0</v>
      </c>
      <c r="N192" s="250">
        <f t="shared" si="56"/>
        <v>0</v>
      </c>
    </row>
    <row r="193" spans="5:22">
      <c r="E193" s="233" t="s">
        <v>438</v>
      </c>
      <c r="F193" s="246">
        <v>0</v>
      </c>
      <c r="H193" s="246">
        <v>21722.892325740406</v>
      </c>
      <c r="J193" s="246">
        <f t="shared" si="55"/>
        <v>0</v>
      </c>
      <c r="L193" s="246">
        <v>21722.892325740406</v>
      </c>
      <c r="N193" s="250">
        <f t="shared" si="56"/>
        <v>0</v>
      </c>
    </row>
    <row r="194" spans="5:22">
      <c r="E194" s="233" t="s">
        <v>424</v>
      </c>
      <c r="F194" s="246">
        <v>0</v>
      </c>
      <c r="H194" s="246">
        <v>25297.051877142174</v>
      </c>
      <c r="J194" s="246">
        <f t="shared" si="55"/>
        <v>25297.051877142174</v>
      </c>
      <c r="L194" s="246">
        <v>0</v>
      </c>
      <c r="N194" s="250">
        <f t="shared" ref="N194:N209" si="57">F194+H194-J194-L194</f>
        <v>0</v>
      </c>
      <c r="Q194" s="52"/>
      <c r="S194" s="52"/>
      <c r="T194" s="52"/>
      <c r="U194" s="52"/>
    </row>
    <row r="195" spans="5:22">
      <c r="E195" s="233" t="s">
        <v>456</v>
      </c>
      <c r="F195" s="246">
        <v>0</v>
      </c>
      <c r="H195" s="246">
        <v>8855804.320336977</v>
      </c>
      <c r="J195" s="246">
        <f t="shared" si="55"/>
        <v>8855804.320336977</v>
      </c>
      <c r="L195" s="246">
        <v>0</v>
      </c>
      <c r="N195" s="250">
        <f t="shared" si="57"/>
        <v>0</v>
      </c>
      <c r="Q195" s="52"/>
      <c r="S195" s="52"/>
      <c r="T195" s="52"/>
      <c r="U195" s="52"/>
    </row>
    <row r="196" spans="5:22">
      <c r="E196" s="233" t="s">
        <v>425</v>
      </c>
      <c r="F196" s="246">
        <v>0</v>
      </c>
      <c r="H196" s="246">
        <v>242016.07607977447</v>
      </c>
      <c r="J196" s="246">
        <f t="shared" si="55"/>
        <v>242016.07607977447</v>
      </c>
      <c r="L196" s="246">
        <v>0</v>
      </c>
      <c r="N196" s="250">
        <f t="shared" si="57"/>
        <v>0</v>
      </c>
      <c r="Q196" s="52"/>
      <c r="S196" s="52"/>
      <c r="T196" s="52"/>
      <c r="U196" s="52"/>
    </row>
    <row r="197" spans="5:22">
      <c r="E197" s="233" t="s">
        <v>427</v>
      </c>
      <c r="F197" s="246">
        <v>0</v>
      </c>
      <c r="H197" s="246">
        <v>7739.2511800711582</v>
      </c>
      <c r="J197" s="246">
        <f t="shared" si="55"/>
        <v>0</v>
      </c>
      <c r="L197" s="246">
        <v>7739.2511800711582</v>
      </c>
      <c r="N197" s="250">
        <f t="shared" si="57"/>
        <v>0</v>
      </c>
      <c r="Q197" s="52"/>
      <c r="S197" s="52"/>
      <c r="T197" s="52"/>
      <c r="U197" s="52"/>
    </row>
    <row r="198" spans="5:22">
      <c r="E198" s="233" t="s">
        <v>426</v>
      </c>
      <c r="F198" s="246">
        <v>0</v>
      </c>
      <c r="H198" s="246">
        <v>87222.135331413883</v>
      </c>
      <c r="J198" s="246">
        <f t="shared" si="55"/>
        <v>0</v>
      </c>
      <c r="L198" s="246">
        <v>87222.135331413883</v>
      </c>
      <c r="N198" s="250">
        <f t="shared" si="57"/>
        <v>0</v>
      </c>
      <c r="Q198" s="52"/>
      <c r="S198" s="52"/>
      <c r="T198" s="52"/>
      <c r="U198" s="52"/>
    </row>
    <row r="199" spans="5:22">
      <c r="E199" s="233" t="s">
        <v>484</v>
      </c>
      <c r="F199" s="246">
        <v>0</v>
      </c>
      <c r="H199" s="246">
        <v>6408288.6211381694</v>
      </c>
      <c r="J199" s="246">
        <f t="shared" si="55"/>
        <v>6408288.6211381694</v>
      </c>
      <c r="L199" s="246">
        <v>0</v>
      </c>
      <c r="N199" s="250">
        <f t="shared" si="57"/>
        <v>0</v>
      </c>
    </row>
    <row r="200" spans="5:22" ht="16.05" customHeight="1">
      <c r="E200" s="247" t="s">
        <v>422</v>
      </c>
      <c r="F200" s="246">
        <v>0</v>
      </c>
      <c r="H200" s="246">
        <v>4026178.1360752485</v>
      </c>
      <c r="J200" s="246">
        <f t="shared" si="55"/>
        <v>4026178.1360752485</v>
      </c>
      <c r="L200" s="246">
        <v>0</v>
      </c>
      <c r="N200" s="250">
        <f t="shared" si="57"/>
        <v>0</v>
      </c>
    </row>
    <row r="201" spans="5:22" ht="16.05" customHeight="1">
      <c r="E201" s="247" t="s">
        <v>552</v>
      </c>
      <c r="F201" s="246">
        <v>0</v>
      </c>
      <c r="H201" s="246">
        <v>955411.7785075705</v>
      </c>
      <c r="J201" s="246">
        <f t="shared" ref="J201:J209" si="58">BJ114</f>
        <v>0</v>
      </c>
      <c r="L201" s="246">
        <v>955411.7785075705</v>
      </c>
      <c r="N201" s="250">
        <f t="shared" si="57"/>
        <v>0</v>
      </c>
    </row>
    <row r="202" spans="5:22">
      <c r="E202" s="233" t="s">
        <v>421</v>
      </c>
      <c r="F202" s="246">
        <v>0</v>
      </c>
      <c r="H202" s="246">
        <v>8991.620323109395</v>
      </c>
      <c r="J202" s="246">
        <f t="shared" si="58"/>
        <v>0</v>
      </c>
      <c r="L202" s="246">
        <v>8991.620323109395</v>
      </c>
      <c r="N202" s="250">
        <f t="shared" si="57"/>
        <v>0</v>
      </c>
      <c r="O202" s="52"/>
    </row>
    <row r="203" spans="5:22">
      <c r="E203" s="134" t="s">
        <v>423</v>
      </c>
      <c r="F203" s="246">
        <v>0</v>
      </c>
      <c r="H203" s="246">
        <v>303788.26554911444</v>
      </c>
      <c r="J203" s="246">
        <f t="shared" si="58"/>
        <v>0</v>
      </c>
      <c r="L203" s="246">
        <v>303788.26554911444</v>
      </c>
      <c r="N203" s="250">
        <f t="shared" si="57"/>
        <v>0</v>
      </c>
    </row>
    <row r="204" spans="5:22">
      <c r="E204" s="233" t="s">
        <v>515</v>
      </c>
      <c r="F204" s="246">
        <v>0</v>
      </c>
      <c r="H204" s="246">
        <v>4043367.3234254471</v>
      </c>
      <c r="J204" s="246">
        <f t="shared" si="58"/>
        <v>4043367.3234254471</v>
      </c>
      <c r="L204" s="246">
        <v>0</v>
      </c>
      <c r="N204" s="250">
        <f t="shared" si="57"/>
        <v>0</v>
      </c>
    </row>
    <row r="205" spans="5:22">
      <c r="E205" s="233" t="s">
        <v>517</v>
      </c>
      <c r="F205" s="246">
        <v>0</v>
      </c>
      <c r="H205" s="246">
        <v>4043367.3234254471</v>
      </c>
      <c r="J205" s="246">
        <f t="shared" si="58"/>
        <v>2830357.1263978118</v>
      </c>
      <c r="L205" s="246">
        <v>1213010.1970276341</v>
      </c>
      <c r="N205" s="250">
        <f t="shared" si="57"/>
        <v>0</v>
      </c>
    </row>
    <row r="206" spans="5:22">
      <c r="E206" s="233" t="s">
        <v>445</v>
      </c>
      <c r="F206" s="246">
        <v>0</v>
      </c>
      <c r="H206" s="246">
        <v>6682782.3361421349</v>
      </c>
      <c r="J206" s="246">
        <f t="shared" si="58"/>
        <v>6682782.3361421349</v>
      </c>
      <c r="L206" s="246">
        <v>0</v>
      </c>
      <c r="N206" s="250">
        <f t="shared" si="57"/>
        <v>0</v>
      </c>
      <c r="S206" s="241"/>
      <c r="T206" s="241"/>
      <c r="U206" s="241"/>
      <c r="V206" s="241"/>
    </row>
    <row r="207" spans="5:22">
      <c r="E207" s="233" t="s">
        <v>446</v>
      </c>
      <c r="F207" s="246">
        <v>0</v>
      </c>
      <c r="H207" s="246">
        <v>4157895.2984628798</v>
      </c>
      <c r="J207" s="246">
        <f t="shared" si="58"/>
        <v>0</v>
      </c>
      <c r="L207" s="246">
        <v>4157895.2984628798</v>
      </c>
      <c r="N207" s="250">
        <f t="shared" si="57"/>
        <v>0</v>
      </c>
    </row>
    <row r="208" spans="5:22">
      <c r="E208" s="233" t="s">
        <v>447</v>
      </c>
      <c r="F208" s="246">
        <v>0</v>
      </c>
      <c r="H208" s="246">
        <v>404209.15818875749</v>
      </c>
      <c r="J208" s="246">
        <f t="shared" si="58"/>
        <v>0</v>
      </c>
      <c r="L208" s="246">
        <v>404209.15818875749</v>
      </c>
      <c r="N208" s="250">
        <f t="shared" si="57"/>
        <v>0</v>
      </c>
    </row>
    <row r="209" spans="5:18">
      <c r="E209" s="233" t="s">
        <v>457</v>
      </c>
      <c r="F209" s="246">
        <v>0</v>
      </c>
      <c r="H209" s="246">
        <v>67875.356217847453</v>
      </c>
      <c r="J209" s="246">
        <f t="shared" si="58"/>
        <v>0</v>
      </c>
      <c r="L209" s="246">
        <v>67875.356217847453</v>
      </c>
      <c r="N209" s="250">
        <f t="shared" si="57"/>
        <v>0</v>
      </c>
    </row>
    <row r="210" spans="5:18" ht="16.95" customHeight="1">
      <c r="E210" s="233"/>
      <c r="F210" s="14" t="s">
        <v>370</v>
      </c>
      <c r="H210" s="14" t="s">
        <v>372</v>
      </c>
      <c r="J210" s="52" t="s">
        <v>369</v>
      </c>
      <c r="L210" s="52" t="s">
        <v>38</v>
      </c>
      <c r="N210" s="52">
        <v>0</v>
      </c>
    </row>
    <row r="211" spans="5:18">
      <c r="E211" s="233"/>
      <c r="J211" s="52"/>
      <c r="L211" s="52"/>
    </row>
    <row r="212" spans="5:18">
      <c r="E212" s="233"/>
    </row>
    <row r="213" spans="5:18">
      <c r="F213" s="390" t="s">
        <v>490</v>
      </c>
      <c r="G213" s="390"/>
      <c r="H213" s="390"/>
      <c r="I213" s="390"/>
      <c r="J213" s="390"/>
      <c r="O213" s="241"/>
      <c r="P213" s="241"/>
    </row>
    <row r="216" spans="5:18">
      <c r="E216" s="134" t="s">
        <v>325</v>
      </c>
      <c r="F216" s="246">
        <f t="array" ref="F216:F230">TRANSPOSE((AU124:BI124))</f>
        <v>202456.09318826307</v>
      </c>
      <c r="H216" s="246">
        <f t="shared" ref="H216:H230" si="59">AP127</f>
        <v>110429.65575914715</v>
      </c>
      <c r="J216" s="246">
        <f>F216-H216</f>
        <v>92026.437429115918</v>
      </c>
    </row>
    <row r="217" spans="5:18">
      <c r="E217" s="134" t="s">
        <v>326</v>
      </c>
      <c r="F217" s="246">
        <v>25579.496946587489</v>
      </c>
      <c r="H217" s="246">
        <f t="shared" si="59"/>
        <v>25303.769659151953</v>
      </c>
      <c r="J217" s="246">
        <f t="shared" ref="J217:J230" si="60">F217-H217</f>
        <v>275.72728743553671</v>
      </c>
      <c r="Q217" s="241"/>
      <c r="R217" s="241"/>
    </row>
    <row r="218" spans="5:18">
      <c r="E218" s="134" t="s">
        <v>327</v>
      </c>
      <c r="F218" s="246">
        <v>8954947.7300760113</v>
      </c>
      <c r="H218" s="246">
        <f t="shared" si="59"/>
        <v>8856360.0947559159</v>
      </c>
      <c r="J218" s="246">
        <f t="shared" si="60"/>
        <v>98587.635320095345</v>
      </c>
    </row>
    <row r="219" spans="5:18">
      <c r="E219" s="134" t="s">
        <v>455</v>
      </c>
      <c r="F219" s="246">
        <v>717977.11143222859</v>
      </c>
      <c r="G219" s="14"/>
      <c r="H219" s="246">
        <f t="shared" si="59"/>
        <v>108184.8596728804</v>
      </c>
      <c r="I219" s="14"/>
      <c r="J219" s="246">
        <f t="shared" si="60"/>
        <v>609792.2517593482</v>
      </c>
    </row>
    <row r="220" spans="5:18">
      <c r="E220" s="134" t="s">
        <v>435</v>
      </c>
      <c r="F220" s="246">
        <v>28121.937524887093</v>
      </c>
      <c r="H220" s="246">
        <f t="shared" si="59"/>
        <v>25297.051877142174</v>
      </c>
      <c r="J220" s="246">
        <f t="shared" si="60"/>
        <v>2824.885647744919</v>
      </c>
      <c r="K220" s="241"/>
      <c r="L220" s="241"/>
      <c r="M220" s="241"/>
      <c r="N220" s="241"/>
    </row>
    <row r="221" spans="5:18">
      <c r="E221" s="134" t="s">
        <v>434</v>
      </c>
      <c r="F221" s="246">
        <v>8856086.4491080083</v>
      </c>
      <c r="H221" s="246">
        <f t="shared" si="59"/>
        <v>8855804.320336977</v>
      </c>
      <c r="J221" s="246">
        <f t="shared" si="60"/>
        <v>282.12877103127539</v>
      </c>
    </row>
    <row r="222" spans="5:18">
      <c r="E222" s="134" t="s">
        <v>351</v>
      </c>
      <c r="F222" s="246">
        <v>120810.95849921908</v>
      </c>
      <c r="H222" s="246">
        <f t="shared" si="59"/>
        <v>109794.59857089487</v>
      </c>
      <c r="J222" s="246">
        <f t="shared" si="60"/>
        <v>11016.359928324207</v>
      </c>
    </row>
    <row r="223" spans="5:18">
      <c r="E223" s="134" t="s">
        <v>348</v>
      </c>
      <c r="F223" s="246">
        <v>25331.72997230629</v>
      </c>
      <c r="G223" s="52" t="s">
        <v>378</v>
      </c>
      <c r="H223" s="246">
        <f t="shared" si="59"/>
        <v>25297.051877142174</v>
      </c>
      <c r="I223" s="52" t="s">
        <v>374</v>
      </c>
      <c r="J223" s="246">
        <f t="shared" si="60"/>
        <v>34.678095164115803</v>
      </c>
    </row>
    <row r="224" spans="5:18">
      <c r="E224" s="134" t="s">
        <v>362</v>
      </c>
      <c r="F224" s="246">
        <v>8855854.6784211304</v>
      </c>
      <c r="H224" s="246">
        <f t="shared" si="59"/>
        <v>8855804.320336977</v>
      </c>
      <c r="J224" s="246">
        <f t="shared" si="60"/>
        <v>50.35808415338397</v>
      </c>
    </row>
    <row r="225" spans="5:14">
      <c r="E225" s="134" t="s">
        <v>349</v>
      </c>
      <c r="F225" s="246">
        <v>1979045.0406719043</v>
      </c>
      <c r="H225" s="246">
        <f t="shared" si="59"/>
        <v>336977.46259125951</v>
      </c>
      <c r="J225" s="246">
        <f t="shared" si="60"/>
        <v>1642067.5780806448</v>
      </c>
    </row>
    <row r="226" spans="5:14">
      <c r="E226" s="134" t="s">
        <v>344</v>
      </c>
      <c r="F226" s="246">
        <v>19454075.052631274</v>
      </c>
      <c r="H226" s="246">
        <f t="shared" si="59"/>
        <v>11702658.42159321</v>
      </c>
      <c r="J226" s="246">
        <f t="shared" si="60"/>
        <v>7751416.6310380641</v>
      </c>
    </row>
    <row r="227" spans="5:14">
      <c r="E227" s="134" t="s">
        <v>514</v>
      </c>
      <c r="F227" s="246">
        <v>4059369.9954689462</v>
      </c>
      <c r="H227" s="246">
        <f t="shared" si="59"/>
        <v>4043367.3234254471</v>
      </c>
      <c r="J227" s="246">
        <f t="shared" si="60"/>
        <v>16002.672043499071</v>
      </c>
    </row>
    <row r="228" spans="5:14">
      <c r="E228" s="134" t="s">
        <v>516</v>
      </c>
      <c r="F228" s="246">
        <v>4043367.3234254471</v>
      </c>
      <c r="H228" s="246">
        <f t="shared" si="59"/>
        <v>4043367.3234254471</v>
      </c>
      <c r="J228" s="246">
        <f t="shared" si="60"/>
        <v>0</v>
      </c>
    </row>
    <row r="229" spans="5:14">
      <c r="E229" s="134" t="s">
        <v>76</v>
      </c>
      <c r="F229" s="246">
        <v>6738376.4034630982</v>
      </c>
      <c r="H229" s="246">
        <f t="shared" si="59"/>
        <v>6682782.3361421349</v>
      </c>
      <c r="J229" s="246">
        <f t="shared" si="60"/>
        <v>55594.067320963368</v>
      </c>
    </row>
    <row r="230" spans="5:14">
      <c r="E230" s="134" t="s">
        <v>337</v>
      </c>
      <c r="F230" s="246">
        <v>12202453.882342203</v>
      </c>
      <c r="G230" s="52"/>
      <c r="H230" s="246">
        <f t="shared" si="59"/>
        <v>4629979.8128694845</v>
      </c>
      <c r="J230" s="246">
        <f t="shared" si="60"/>
        <v>7572474.0694727181</v>
      </c>
    </row>
    <row r="231" spans="5:14">
      <c r="E231" s="233"/>
      <c r="F231" s="52" t="s">
        <v>368</v>
      </c>
      <c r="G231" s="52"/>
      <c r="H231" s="52" t="s">
        <v>365</v>
      </c>
      <c r="I231" s="52"/>
      <c r="J231" s="52" t="s">
        <v>379</v>
      </c>
    </row>
    <row r="232" spans="5:14">
      <c r="E232" s="233"/>
    </row>
    <row r="233" spans="5:14">
      <c r="E233" s="233"/>
    </row>
    <row r="238" spans="5:14">
      <c r="K238" s="52"/>
      <c r="L238" s="52"/>
      <c r="M238" s="52"/>
      <c r="N238" s="52"/>
    </row>
  </sheetData>
  <mergeCells count="13">
    <mergeCell ref="AU38:BI38"/>
    <mergeCell ref="BO38:CC38"/>
    <mergeCell ref="AU78:BI78"/>
    <mergeCell ref="BO123:BP123"/>
    <mergeCell ref="F125:G125"/>
    <mergeCell ref="AU125:BI125"/>
    <mergeCell ref="F213:J213"/>
    <mergeCell ref="AU123:BI123"/>
    <mergeCell ref="F142:AO142"/>
    <mergeCell ref="F144:AO144"/>
    <mergeCell ref="F165:AO165"/>
    <mergeCell ref="F167:AO167"/>
    <mergeCell ref="F171:N171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BY235"/>
  <sheetViews>
    <sheetView topLeftCell="AN67" zoomScale="69" workbookViewId="0">
      <selection activeCell="BN118" sqref="BM118:BN118"/>
    </sheetView>
  </sheetViews>
  <sheetFormatPr defaultColWidth="11.5546875" defaultRowHeight="14.4"/>
  <cols>
    <col min="2" max="2" width="17" customWidth="1"/>
    <col min="11" max="11" width="12.6640625" customWidth="1"/>
    <col min="45" max="45" width="16" customWidth="1"/>
  </cols>
  <sheetData>
    <row r="1" spans="2:77" ht="112.05" customHeight="1">
      <c r="C1" s="234" t="s">
        <v>478</v>
      </c>
      <c r="AQ1" s="248"/>
      <c r="AR1" s="234" t="s">
        <v>325</v>
      </c>
      <c r="AS1" s="234" t="s">
        <v>326</v>
      </c>
      <c r="AT1" s="234" t="s">
        <v>327</v>
      </c>
      <c r="AU1" s="234" t="s">
        <v>455</v>
      </c>
      <c r="AV1" s="234" t="s">
        <v>435</v>
      </c>
      <c r="AW1" s="234" t="s">
        <v>434</v>
      </c>
      <c r="AX1" s="234" t="s">
        <v>351</v>
      </c>
      <c r="AY1" s="234" t="s">
        <v>348</v>
      </c>
      <c r="AZ1" s="234" t="s">
        <v>362</v>
      </c>
      <c r="BA1" s="234" t="s">
        <v>349</v>
      </c>
      <c r="BB1" s="234" t="s">
        <v>344</v>
      </c>
      <c r="BC1" s="234" t="s">
        <v>360</v>
      </c>
      <c r="BD1" s="234" t="s">
        <v>516</v>
      </c>
      <c r="BE1" s="234" t="s">
        <v>76</v>
      </c>
      <c r="BF1" s="234" t="s">
        <v>337</v>
      </c>
      <c r="BK1" s="248"/>
      <c r="BL1" s="234" t="s">
        <v>325</v>
      </c>
      <c r="BM1" s="234" t="s">
        <v>326</v>
      </c>
      <c r="BN1" s="234" t="s">
        <v>327</v>
      </c>
      <c r="BO1" s="234" t="s">
        <v>455</v>
      </c>
      <c r="BP1" s="234" t="s">
        <v>435</v>
      </c>
      <c r="BQ1" s="234" t="s">
        <v>434</v>
      </c>
      <c r="BR1" s="234" t="s">
        <v>351</v>
      </c>
      <c r="BS1" s="234" t="s">
        <v>348</v>
      </c>
      <c r="BT1" s="234" t="s">
        <v>362</v>
      </c>
      <c r="BU1" s="234" t="s">
        <v>349</v>
      </c>
      <c r="BV1" s="234" t="s">
        <v>344</v>
      </c>
      <c r="BW1" s="234" t="s">
        <v>516</v>
      </c>
      <c r="BX1" s="234" t="s">
        <v>76</v>
      </c>
      <c r="BY1" s="234" t="s">
        <v>337</v>
      </c>
    </row>
    <row r="2" spans="2:77">
      <c r="B2" s="134" t="s">
        <v>333</v>
      </c>
      <c r="C2" s="249">
        <v>1</v>
      </c>
      <c r="AQ2" s="134" t="s">
        <v>333</v>
      </c>
      <c r="AR2" s="249">
        <v>0</v>
      </c>
      <c r="AS2" s="249">
        <v>0</v>
      </c>
      <c r="AT2" s="249">
        <v>0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K2" s="134" t="s">
        <v>333</v>
      </c>
      <c r="BL2" s="249">
        <v>0</v>
      </c>
      <c r="BM2" s="249">
        <v>0</v>
      </c>
      <c r="BN2" s="249">
        <v>0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</row>
    <row r="3" spans="2:77">
      <c r="B3" s="134" t="s">
        <v>335</v>
      </c>
      <c r="C3" s="249">
        <v>1</v>
      </c>
      <c r="AQ3" s="134" t="s">
        <v>335</v>
      </c>
      <c r="AR3" s="249">
        <v>0</v>
      </c>
      <c r="AS3" s="249">
        <v>0</v>
      </c>
      <c r="AT3" s="249">
        <v>0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K3" s="134" t="s">
        <v>335</v>
      </c>
      <c r="BL3" s="249">
        <v>0</v>
      </c>
      <c r="BM3" s="249">
        <v>0</v>
      </c>
      <c r="BN3" s="249">
        <v>0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</row>
    <row r="4" spans="2:77">
      <c r="B4" s="134" t="s">
        <v>336</v>
      </c>
      <c r="C4" s="249">
        <v>1</v>
      </c>
      <c r="AQ4" s="134" t="s">
        <v>336</v>
      </c>
      <c r="AR4" s="249">
        <v>0</v>
      </c>
      <c r="AS4" s="249">
        <v>0</v>
      </c>
      <c r="AT4" s="249">
        <v>0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K4" s="134" t="s">
        <v>336</v>
      </c>
      <c r="BL4" s="249">
        <v>0</v>
      </c>
      <c r="BM4" s="249">
        <v>0</v>
      </c>
      <c r="BN4" s="249">
        <v>0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</row>
    <row r="5" spans="2:77">
      <c r="B5" s="134" t="s">
        <v>355</v>
      </c>
      <c r="C5" s="249">
        <v>1</v>
      </c>
      <c r="AQ5" s="134" t="s">
        <v>355</v>
      </c>
      <c r="AR5" s="249">
        <v>0</v>
      </c>
      <c r="AS5" s="249">
        <v>0</v>
      </c>
      <c r="AT5" s="249">
        <v>0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K5" s="134" t="s">
        <v>355</v>
      </c>
      <c r="BL5" s="249">
        <v>0</v>
      </c>
      <c r="BM5" s="249">
        <v>0</v>
      </c>
      <c r="BN5" s="249">
        <v>0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</row>
    <row r="6" spans="2:77">
      <c r="B6" s="134" t="s">
        <v>377</v>
      </c>
      <c r="C6" s="249">
        <v>1</v>
      </c>
      <c r="AQ6" s="134" t="s">
        <v>377</v>
      </c>
      <c r="AR6" s="249">
        <v>0</v>
      </c>
      <c r="AS6" s="249">
        <v>0</v>
      </c>
      <c r="AT6" s="249">
        <v>0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K6" s="134" t="s">
        <v>377</v>
      </c>
      <c r="BL6" s="249">
        <v>0</v>
      </c>
      <c r="BM6" s="249">
        <v>0</v>
      </c>
      <c r="BN6" s="249">
        <v>0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</row>
    <row r="7" spans="2:77">
      <c r="B7" s="134" t="s">
        <v>466</v>
      </c>
      <c r="C7" s="249">
        <v>1</v>
      </c>
      <c r="AQ7" s="134" t="s">
        <v>466</v>
      </c>
      <c r="AR7" s="249">
        <v>0</v>
      </c>
      <c r="AS7" s="249">
        <v>0</v>
      </c>
      <c r="AT7" s="249">
        <v>0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K7" s="134" t="s">
        <v>466</v>
      </c>
      <c r="BL7" s="249">
        <v>0</v>
      </c>
      <c r="BM7" s="249">
        <v>0</v>
      </c>
      <c r="BN7" s="249">
        <v>0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</row>
    <row r="8" spans="2:77">
      <c r="B8" s="134" t="s">
        <v>467</v>
      </c>
      <c r="C8" s="249">
        <v>1</v>
      </c>
      <c r="AQ8" s="134" t="s">
        <v>467</v>
      </c>
      <c r="AR8" s="249">
        <v>0</v>
      </c>
      <c r="AS8" s="249">
        <v>0</v>
      </c>
      <c r="AT8" s="249">
        <v>0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K8" s="134" t="s">
        <v>467</v>
      </c>
      <c r="BL8" s="249">
        <v>0</v>
      </c>
      <c r="BM8" s="249">
        <v>0</v>
      </c>
      <c r="BN8" s="249">
        <v>0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</row>
    <row r="9" spans="2:77">
      <c r="B9" s="134" t="s">
        <v>411</v>
      </c>
      <c r="C9" s="249">
        <v>1</v>
      </c>
      <c r="AQ9" s="134" t="s">
        <v>411</v>
      </c>
      <c r="AR9" s="249">
        <v>0</v>
      </c>
      <c r="AS9" s="249">
        <v>0</v>
      </c>
      <c r="AT9" s="249">
        <v>0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K9" s="134" t="s">
        <v>411</v>
      </c>
      <c r="BL9" s="249">
        <v>0</v>
      </c>
      <c r="BM9" s="249">
        <v>0</v>
      </c>
      <c r="BN9" s="249">
        <v>0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</row>
    <row r="10" spans="2:77">
      <c r="B10" s="134" t="s">
        <v>459</v>
      </c>
      <c r="C10" s="249">
        <v>1</v>
      </c>
      <c r="AQ10" s="134" t="s">
        <v>459</v>
      </c>
      <c r="AR10" s="249">
        <v>0</v>
      </c>
      <c r="AS10" s="249">
        <v>0</v>
      </c>
      <c r="AT10" s="249">
        <v>0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K10" s="134" t="s">
        <v>459</v>
      </c>
      <c r="BL10" s="249">
        <v>0</v>
      </c>
      <c r="BM10" s="249">
        <v>0</v>
      </c>
      <c r="BN10" s="249">
        <v>0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</row>
    <row r="11" spans="2:77" ht="16.05" customHeight="1">
      <c r="B11" s="232" t="s">
        <v>442</v>
      </c>
      <c r="C11" s="249">
        <v>1</v>
      </c>
      <c r="AQ11" s="232" t="s">
        <v>442</v>
      </c>
      <c r="AR11" s="249">
        <v>0</v>
      </c>
      <c r="AS11" s="249">
        <v>0</v>
      </c>
      <c r="AT11" s="249">
        <v>0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K11" s="232" t="s">
        <v>442</v>
      </c>
      <c r="BL11" s="249">
        <v>0</v>
      </c>
      <c r="BM11" s="249">
        <v>0</v>
      </c>
      <c r="BN11" s="249">
        <v>0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</row>
    <row r="12" spans="2:77">
      <c r="B12" s="134" t="s">
        <v>409</v>
      </c>
      <c r="C12" s="249">
        <v>1</v>
      </c>
      <c r="AQ12" s="134" t="s">
        <v>409</v>
      </c>
      <c r="AR12" s="249">
        <v>0</v>
      </c>
      <c r="AS12" s="249">
        <v>0</v>
      </c>
      <c r="AT12" s="249">
        <v>0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K12" s="134" t="s">
        <v>409</v>
      </c>
      <c r="BL12" s="249">
        <v>0</v>
      </c>
      <c r="BM12" s="249">
        <v>0</v>
      </c>
      <c r="BN12" s="249">
        <v>0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</row>
    <row r="13" spans="2:77" ht="16.05" customHeight="1">
      <c r="B13" s="232" t="s">
        <v>412</v>
      </c>
      <c r="C13" s="249">
        <v>1</v>
      </c>
      <c r="AQ13" s="232" t="s">
        <v>412</v>
      </c>
      <c r="AR13" s="249">
        <v>0</v>
      </c>
      <c r="AS13" s="249">
        <v>0</v>
      </c>
      <c r="AT13" s="249">
        <v>0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K13" s="232" t="s">
        <v>412</v>
      </c>
      <c r="BL13" s="249">
        <v>0</v>
      </c>
      <c r="BM13" s="249">
        <v>0</v>
      </c>
      <c r="BN13" s="249">
        <v>0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</row>
    <row r="14" spans="2:77">
      <c r="B14" s="134" t="s">
        <v>437</v>
      </c>
      <c r="C14" s="249">
        <v>1</v>
      </c>
      <c r="AQ14" s="134" t="s">
        <v>437</v>
      </c>
      <c r="AR14" s="249">
        <v>0</v>
      </c>
      <c r="AS14" s="249">
        <v>0</v>
      </c>
      <c r="AT14" s="249">
        <v>0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K14" s="134" t="s">
        <v>437</v>
      </c>
      <c r="BL14" s="249">
        <v>0</v>
      </c>
      <c r="BM14" s="249">
        <v>0</v>
      </c>
      <c r="BN14" s="249">
        <v>0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</row>
    <row r="15" spans="2:77">
      <c r="B15" s="233" t="s">
        <v>430</v>
      </c>
      <c r="C15" s="249">
        <v>1</v>
      </c>
      <c r="AQ15" s="233" t="s">
        <v>430</v>
      </c>
      <c r="AR15" s="249">
        <v>0</v>
      </c>
      <c r="AS15" s="249">
        <v>0</v>
      </c>
      <c r="AT15" s="249">
        <v>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K15" s="233" t="s">
        <v>430</v>
      </c>
      <c r="BL15" s="249">
        <v>0</v>
      </c>
      <c r="BM15" s="249">
        <v>0</v>
      </c>
      <c r="BN15" s="249">
        <v>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</row>
    <row r="16" spans="2:77">
      <c r="B16" s="134" t="s">
        <v>416</v>
      </c>
      <c r="C16" s="249">
        <v>1</v>
      </c>
      <c r="AQ16" s="134" t="s">
        <v>416</v>
      </c>
      <c r="AR16" s="249">
        <v>0</v>
      </c>
      <c r="AS16" s="249">
        <v>0</v>
      </c>
      <c r="AT16" s="249">
        <v>0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K16" s="134" t="s">
        <v>416</v>
      </c>
      <c r="BL16" s="249">
        <v>0</v>
      </c>
      <c r="BM16" s="249">
        <v>0</v>
      </c>
      <c r="BN16" s="249">
        <v>0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</row>
    <row r="17" spans="2:77" ht="16.05" customHeight="1">
      <c r="B17" s="232" t="s">
        <v>441</v>
      </c>
      <c r="C17" s="249">
        <v>1</v>
      </c>
      <c r="AQ17" s="232" t="s">
        <v>441</v>
      </c>
      <c r="AR17" s="249">
        <v>0</v>
      </c>
      <c r="AS17" s="249">
        <v>0</v>
      </c>
      <c r="AT17" s="249">
        <v>0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K17" s="232" t="s">
        <v>441</v>
      </c>
      <c r="BL17" s="249">
        <v>0</v>
      </c>
      <c r="BM17" s="249">
        <v>0</v>
      </c>
      <c r="BN17" s="249">
        <v>0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</row>
    <row r="18" spans="2:77" ht="16.05" customHeight="1">
      <c r="B18" s="232" t="s">
        <v>436</v>
      </c>
      <c r="C18" s="249">
        <v>1</v>
      </c>
      <c r="AQ18" s="232" t="s">
        <v>436</v>
      </c>
      <c r="AR18" s="249">
        <v>0</v>
      </c>
      <c r="AS18" s="249">
        <v>0</v>
      </c>
      <c r="AT18" s="249">
        <v>0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K18" s="232" t="s">
        <v>436</v>
      </c>
      <c r="BL18" s="249">
        <v>0</v>
      </c>
      <c r="BM18" s="249">
        <v>0</v>
      </c>
      <c r="BN18" s="249">
        <v>0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</row>
    <row r="19" spans="2:77" ht="16.05" customHeight="1">
      <c r="B19" s="232" t="s">
        <v>433</v>
      </c>
      <c r="C19" s="249">
        <v>1</v>
      </c>
      <c r="AQ19" s="232" t="s">
        <v>433</v>
      </c>
      <c r="AR19" s="249">
        <v>0</v>
      </c>
      <c r="AS19" s="249">
        <v>0</v>
      </c>
      <c r="AT19" s="249">
        <v>0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K19" s="232" t="s">
        <v>433</v>
      </c>
      <c r="BL19" s="249">
        <v>0</v>
      </c>
      <c r="BM19" s="249">
        <v>0</v>
      </c>
      <c r="BN19" s="249">
        <v>0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</row>
    <row r="20" spans="2:77" ht="16.05" customHeight="1">
      <c r="B20" s="232" t="s">
        <v>439</v>
      </c>
      <c r="C20" s="249">
        <v>1</v>
      </c>
      <c r="AQ20" s="232" t="s">
        <v>439</v>
      </c>
      <c r="AR20" s="249">
        <v>0</v>
      </c>
      <c r="AS20" s="249">
        <v>0</v>
      </c>
      <c r="AT20" s="249">
        <v>0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K20" s="232" t="s">
        <v>439</v>
      </c>
      <c r="BL20" s="249">
        <v>0</v>
      </c>
      <c r="BM20" s="249">
        <v>0</v>
      </c>
      <c r="BN20" s="249">
        <v>0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</row>
    <row r="21" spans="2:77">
      <c r="B21" s="233" t="s">
        <v>438</v>
      </c>
      <c r="C21" s="249">
        <v>1</v>
      </c>
      <c r="AQ21" s="233" t="s">
        <v>438</v>
      </c>
      <c r="AR21" s="249">
        <v>0</v>
      </c>
      <c r="AS21" s="249">
        <v>0</v>
      </c>
      <c r="AT21" s="249">
        <v>0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K21" s="233" t="s">
        <v>438</v>
      </c>
      <c r="BL21" s="249">
        <v>0</v>
      </c>
      <c r="BM21" s="249">
        <v>0</v>
      </c>
      <c r="BN21" s="249">
        <v>0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</row>
    <row r="22" spans="2:77">
      <c r="B22" s="233" t="s">
        <v>424</v>
      </c>
      <c r="C22" s="249">
        <v>1</v>
      </c>
      <c r="AQ22" s="233" t="s">
        <v>424</v>
      </c>
      <c r="AR22" s="249">
        <v>0</v>
      </c>
      <c r="AS22" s="249">
        <v>0</v>
      </c>
      <c r="AT22" s="249">
        <v>0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K22" s="233" t="s">
        <v>424</v>
      </c>
      <c r="BL22" s="249">
        <v>0</v>
      </c>
      <c r="BM22" s="249">
        <v>0</v>
      </c>
      <c r="BN22" s="249">
        <v>0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</row>
    <row r="23" spans="2:77">
      <c r="B23" s="233" t="s">
        <v>456</v>
      </c>
      <c r="C23" s="249">
        <v>1</v>
      </c>
      <c r="AQ23" s="233" t="s">
        <v>456</v>
      </c>
      <c r="AR23" s="249">
        <v>0</v>
      </c>
      <c r="AS23" s="249">
        <v>0</v>
      </c>
      <c r="AT23" s="249">
        <v>0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K23" s="233" t="s">
        <v>456</v>
      </c>
      <c r="BL23" s="249">
        <v>0</v>
      </c>
      <c r="BM23" s="249">
        <v>0</v>
      </c>
      <c r="BN23" s="249">
        <v>0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</row>
    <row r="24" spans="2:77">
      <c r="B24" s="233" t="s">
        <v>425</v>
      </c>
      <c r="C24" s="249">
        <v>1</v>
      </c>
      <c r="AQ24" s="233" t="s">
        <v>425</v>
      </c>
      <c r="AR24" s="249">
        <v>0</v>
      </c>
      <c r="AS24" s="249">
        <v>0</v>
      </c>
      <c r="AT24" s="249">
        <v>0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K24" s="233" t="s">
        <v>425</v>
      </c>
      <c r="BL24" s="249">
        <v>0</v>
      </c>
      <c r="BM24" s="249">
        <v>0</v>
      </c>
      <c r="BN24" s="249">
        <v>0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</row>
    <row r="25" spans="2:77">
      <c r="B25" s="233" t="s">
        <v>427</v>
      </c>
      <c r="C25" s="249">
        <v>1</v>
      </c>
      <c r="AQ25" s="233" t="s">
        <v>427</v>
      </c>
      <c r="AR25" s="249">
        <v>0</v>
      </c>
      <c r="AS25" s="249">
        <v>0</v>
      </c>
      <c r="AT25" s="249">
        <v>0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K25" s="233" t="s">
        <v>427</v>
      </c>
      <c r="BL25" s="249">
        <v>0</v>
      </c>
      <c r="BM25" s="249">
        <v>0</v>
      </c>
      <c r="BN25" s="249">
        <v>0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</row>
    <row r="26" spans="2:77">
      <c r="B26" s="233" t="s">
        <v>426</v>
      </c>
      <c r="C26" s="249">
        <v>1</v>
      </c>
      <c r="AQ26" s="233" t="s">
        <v>426</v>
      </c>
      <c r="AR26" s="249">
        <v>0</v>
      </c>
      <c r="AS26" s="249">
        <v>0</v>
      </c>
      <c r="AT26" s="249">
        <v>0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K26" s="233" t="s">
        <v>426</v>
      </c>
      <c r="BL26" s="249">
        <v>0</v>
      </c>
      <c r="BM26" s="249">
        <v>0</v>
      </c>
      <c r="BN26" s="249">
        <v>0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</row>
    <row r="27" spans="2:77">
      <c r="B27" s="233" t="s">
        <v>484</v>
      </c>
      <c r="C27" s="249">
        <v>1</v>
      </c>
      <c r="AQ27" s="233" t="s">
        <v>484</v>
      </c>
      <c r="AR27" s="249">
        <v>0</v>
      </c>
      <c r="AS27" s="249">
        <v>0</v>
      </c>
      <c r="AT27" s="249">
        <v>0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K27" s="233" t="s">
        <v>484</v>
      </c>
      <c r="BL27" s="249">
        <v>0</v>
      </c>
      <c r="BM27" s="249">
        <v>0</v>
      </c>
      <c r="BN27" s="249">
        <v>0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</row>
    <row r="28" spans="2:77" ht="16.05" customHeight="1">
      <c r="B28" s="247" t="s">
        <v>422</v>
      </c>
      <c r="C28" s="249">
        <v>1</v>
      </c>
      <c r="AQ28" s="247" t="s">
        <v>422</v>
      </c>
      <c r="AR28" s="249">
        <v>0</v>
      </c>
      <c r="AS28" s="249">
        <v>0</v>
      </c>
      <c r="AT28" s="249">
        <v>0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K28" s="247" t="s">
        <v>422</v>
      </c>
      <c r="BL28" s="249">
        <v>0</v>
      </c>
      <c r="BM28" s="249">
        <v>0</v>
      </c>
      <c r="BN28" s="249">
        <v>0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</row>
    <row r="29" spans="2:77" ht="16.05" customHeight="1">
      <c r="B29" s="247"/>
      <c r="C29" s="249"/>
      <c r="AQ29" s="247" t="s">
        <v>552</v>
      </c>
      <c r="AR29" s="249"/>
      <c r="AS29" s="249"/>
      <c r="AT29" s="249"/>
      <c r="AU29" s="249"/>
      <c r="AV29" s="249"/>
      <c r="AW29" s="249"/>
      <c r="AX29" s="249"/>
      <c r="AY29" s="249"/>
      <c r="AZ29" s="249"/>
      <c r="BA29" s="249"/>
      <c r="BB29" s="249"/>
      <c r="BC29" s="249"/>
      <c r="BD29" s="249"/>
      <c r="BE29" s="249"/>
      <c r="BF29" s="249"/>
      <c r="BK29" s="247" t="s">
        <v>552</v>
      </c>
      <c r="BL29" s="249"/>
      <c r="BM29" s="249"/>
      <c r="BN29" s="249"/>
      <c r="BO29" s="249"/>
      <c r="BP29" s="249"/>
      <c r="BQ29" s="249"/>
      <c r="BR29" s="249"/>
      <c r="BS29" s="249"/>
      <c r="BT29" s="249"/>
      <c r="BU29" s="249"/>
      <c r="BV29" s="249"/>
      <c r="BW29" s="249"/>
      <c r="BX29" s="249"/>
      <c r="BY29" s="249"/>
    </row>
    <row r="30" spans="2:77">
      <c r="B30" s="233" t="s">
        <v>421</v>
      </c>
      <c r="C30" s="249">
        <v>1</v>
      </c>
      <c r="AQ30" s="233" t="s">
        <v>421</v>
      </c>
      <c r="AR30" s="249">
        <v>0</v>
      </c>
      <c r="AS30" s="249">
        <v>0</v>
      </c>
      <c r="AT30" s="249">
        <v>0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K30" s="233" t="s">
        <v>421</v>
      </c>
      <c r="BL30" s="249">
        <v>0</v>
      </c>
      <c r="BM30" s="249">
        <v>0</v>
      </c>
      <c r="BN30" s="249">
        <v>0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</row>
    <row r="31" spans="2:77">
      <c r="B31" s="134" t="s">
        <v>423</v>
      </c>
      <c r="C31" s="249">
        <v>1</v>
      </c>
      <c r="AQ31" s="134" t="s">
        <v>423</v>
      </c>
      <c r="AR31" s="249">
        <v>0</v>
      </c>
      <c r="AS31" s="249">
        <v>0</v>
      </c>
      <c r="AT31" s="249">
        <v>0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K31" s="134" t="s">
        <v>423</v>
      </c>
      <c r="BL31" s="249">
        <v>0</v>
      </c>
      <c r="BM31" s="249">
        <v>0</v>
      </c>
      <c r="BN31" s="249">
        <v>0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</row>
    <row r="32" spans="2:77">
      <c r="B32" s="233" t="s">
        <v>419</v>
      </c>
      <c r="C32" s="249">
        <v>1</v>
      </c>
      <c r="AQ32" s="233" t="s">
        <v>515</v>
      </c>
      <c r="AR32" s="249">
        <v>0</v>
      </c>
      <c r="AS32" s="249">
        <v>0</v>
      </c>
      <c r="AT32" s="249">
        <v>0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K32" s="233" t="s">
        <v>515</v>
      </c>
      <c r="BL32" s="249">
        <v>0</v>
      </c>
      <c r="BM32" s="249">
        <v>0</v>
      </c>
      <c r="BN32" s="249">
        <v>0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</row>
    <row r="33" spans="2:77">
      <c r="B33" s="233" t="s">
        <v>445</v>
      </c>
      <c r="C33" s="249">
        <v>1</v>
      </c>
      <c r="AQ33" s="233" t="s">
        <v>517</v>
      </c>
      <c r="AR33" s="249">
        <v>0</v>
      </c>
      <c r="AS33" s="249">
        <v>0</v>
      </c>
      <c r="AT33" s="249">
        <v>0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K33" s="233" t="s">
        <v>517</v>
      </c>
      <c r="BL33" s="249">
        <v>0</v>
      </c>
      <c r="BM33" s="249">
        <v>0</v>
      </c>
      <c r="BN33" s="249">
        <v>0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</row>
    <row r="34" spans="2:77">
      <c r="B34" s="233" t="s">
        <v>446</v>
      </c>
      <c r="C34" s="249">
        <v>1</v>
      </c>
      <c r="AQ34" s="233" t="s">
        <v>445</v>
      </c>
      <c r="AR34" s="249">
        <v>0</v>
      </c>
      <c r="AS34" s="249">
        <v>0</v>
      </c>
      <c r="AT34" s="249">
        <v>0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K34" s="233" t="s">
        <v>445</v>
      </c>
      <c r="BL34" s="249">
        <v>0</v>
      </c>
      <c r="BM34" s="249">
        <v>0</v>
      </c>
      <c r="BN34" s="249">
        <v>0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</row>
    <row r="35" spans="2:77">
      <c r="B35" s="233" t="s">
        <v>447</v>
      </c>
      <c r="C35" s="249">
        <v>1</v>
      </c>
      <c r="AQ35" s="233" t="s">
        <v>446</v>
      </c>
      <c r="AR35" s="249">
        <v>0</v>
      </c>
      <c r="AS35" s="249">
        <v>0</v>
      </c>
      <c r="AT35" s="249">
        <v>0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K35" s="233" t="s">
        <v>446</v>
      </c>
      <c r="BL35" s="249">
        <v>0</v>
      </c>
      <c r="BM35" s="249">
        <v>0</v>
      </c>
      <c r="BN35" s="249">
        <v>0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</row>
    <row r="36" spans="2:77">
      <c r="B36" s="233" t="s">
        <v>457</v>
      </c>
      <c r="C36" s="249">
        <v>1</v>
      </c>
      <c r="AQ36" s="233" t="s">
        <v>447</v>
      </c>
      <c r="AR36" s="249">
        <v>0</v>
      </c>
      <c r="AS36" s="249">
        <v>0</v>
      </c>
      <c r="AT36" s="249">
        <v>0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K36" s="233" t="s">
        <v>447</v>
      </c>
      <c r="BL36" s="249">
        <v>0</v>
      </c>
      <c r="BM36" s="249">
        <v>0</v>
      </c>
      <c r="BN36" s="249">
        <v>0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</row>
    <row r="37" spans="2:77">
      <c r="C37" s="52" t="s">
        <v>473</v>
      </c>
      <c r="AQ37" s="233" t="s">
        <v>457</v>
      </c>
      <c r="AR37" s="249">
        <v>0</v>
      </c>
      <c r="AS37" s="249">
        <v>0</v>
      </c>
      <c r="AT37" s="249">
        <v>0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K37" s="233" t="s">
        <v>457</v>
      </c>
      <c r="BL37" s="249">
        <v>0</v>
      </c>
      <c r="BM37" s="249">
        <v>0</v>
      </c>
      <c r="BN37" s="249">
        <v>0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</row>
    <row r="38" spans="2:77">
      <c r="AQ38" s="233"/>
      <c r="AR38" s="390" t="s">
        <v>470</v>
      </c>
      <c r="AS38" s="390"/>
      <c r="AT38" s="390"/>
      <c r="AU38" s="390"/>
      <c r="AV38" s="390"/>
      <c r="AW38" s="390"/>
      <c r="AX38" s="390"/>
      <c r="AY38" s="390"/>
      <c r="AZ38" s="390"/>
      <c r="BA38" s="390"/>
      <c r="BB38" s="390"/>
      <c r="BC38" s="390"/>
      <c r="BD38" s="390"/>
      <c r="BE38" s="390"/>
      <c r="BF38" s="390"/>
      <c r="BK38" s="233"/>
      <c r="BL38" s="390" t="s">
        <v>471</v>
      </c>
      <c r="BM38" s="390"/>
      <c r="BN38" s="390"/>
      <c r="BO38" s="390"/>
      <c r="BP38" s="390"/>
      <c r="BQ38" s="390"/>
      <c r="BR38" s="390"/>
      <c r="BS38" s="390"/>
      <c r="BT38" s="390"/>
      <c r="BU38" s="390"/>
      <c r="BV38" s="390"/>
      <c r="BW38" s="390"/>
      <c r="BX38" s="390"/>
      <c r="BY38" s="390"/>
    </row>
    <row r="39" spans="2:77">
      <c r="AQ39" s="233"/>
      <c r="BK39" s="233"/>
    </row>
    <row r="40" spans="2:77">
      <c r="AQ40" s="233"/>
    </row>
    <row r="41" spans="2:77" ht="112.05" customHeight="1">
      <c r="AQ41" s="248"/>
      <c r="AR41" s="234" t="s">
        <v>325</v>
      </c>
      <c r="AS41" s="234" t="s">
        <v>326</v>
      </c>
      <c r="AT41" s="234" t="s">
        <v>327</v>
      </c>
      <c r="AU41" s="234" t="s">
        <v>455</v>
      </c>
      <c r="AV41" s="234" t="s">
        <v>435</v>
      </c>
      <c r="AW41" s="234" t="s">
        <v>434</v>
      </c>
      <c r="AX41" s="234" t="s">
        <v>351</v>
      </c>
      <c r="AY41" s="234" t="s">
        <v>348</v>
      </c>
      <c r="AZ41" s="234" t="s">
        <v>362</v>
      </c>
      <c r="BA41" s="234" t="s">
        <v>349</v>
      </c>
      <c r="BB41" s="234" t="s">
        <v>344</v>
      </c>
      <c r="BC41" s="234" t="s">
        <v>514</v>
      </c>
      <c r="BD41" s="234" t="s">
        <v>516</v>
      </c>
      <c r="BE41" s="234" t="s">
        <v>76</v>
      </c>
      <c r="BF41" s="234" t="s">
        <v>337</v>
      </c>
    </row>
    <row r="42" spans="2:77">
      <c r="AQ42" s="134" t="s">
        <v>333</v>
      </c>
      <c r="AR42" s="249">
        <f>AR83</f>
        <v>1011.7674660019052</v>
      </c>
      <c r="AS42" s="249">
        <f t="shared" ref="AS42:BF42" si="0">AS83</f>
        <v>0</v>
      </c>
      <c r="AT42" s="249">
        <f t="shared" si="0"/>
        <v>0</v>
      </c>
      <c r="AU42" s="249">
        <f t="shared" si="0"/>
        <v>0</v>
      </c>
      <c r="AV42" s="249">
        <f t="shared" si="0"/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</row>
    <row r="43" spans="2:77">
      <c r="AQ43" s="134" t="s">
        <v>335</v>
      </c>
      <c r="AR43" s="249">
        <f t="shared" ref="AR43:AY68" si="1">AR84</f>
        <v>0</v>
      </c>
      <c r="AS43" s="249">
        <f t="shared" si="1"/>
        <v>208.55560337725498</v>
      </c>
      <c r="AT43" s="249">
        <f t="shared" si="1"/>
        <v>0</v>
      </c>
      <c r="AU43" s="249">
        <f t="shared" si="1"/>
        <v>0</v>
      </c>
      <c r="AV43" s="249">
        <f t="shared" si="1"/>
        <v>0</v>
      </c>
      <c r="AW43" s="249">
        <f t="shared" si="1"/>
        <v>0</v>
      </c>
      <c r="AX43" s="249">
        <f t="shared" si="1"/>
        <v>0</v>
      </c>
      <c r="AY43" s="249">
        <f t="shared" si="1"/>
        <v>0</v>
      </c>
      <c r="AZ43" s="249">
        <f t="shared" ref="AZ43:BC43" si="2">AZ84</f>
        <v>0</v>
      </c>
      <c r="BA43" s="249">
        <f t="shared" si="2"/>
        <v>0</v>
      </c>
      <c r="BB43" s="249">
        <f t="shared" si="2"/>
        <v>0</v>
      </c>
      <c r="BC43" s="249">
        <f t="shared" si="2"/>
        <v>0</v>
      </c>
      <c r="BD43" s="249">
        <f t="shared" ref="BD43:BF43" si="3">BD84</f>
        <v>0</v>
      </c>
      <c r="BE43" s="249">
        <f t="shared" si="3"/>
        <v>0</v>
      </c>
      <c r="BF43" s="249">
        <f t="shared" si="3"/>
        <v>0</v>
      </c>
    </row>
    <row r="44" spans="2:77">
      <c r="AQ44" s="134" t="s">
        <v>336</v>
      </c>
      <c r="AR44" s="249">
        <f t="shared" si="1"/>
        <v>0</v>
      </c>
      <c r="AS44" s="249">
        <f t="shared" si="1"/>
        <v>0</v>
      </c>
      <c r="AT44" s="249">
        <f t="shared" si="1"/>
        <v>298.6148747230165</v>
      </c>
      <c r="AU44" s="249">
        <f t="shared" si="1"/>
        <v>0</v>
      </c>
      <c r="AV44" s="249">
        <f t="shared" si="1"/>
        <v>0</v>
      </c>
      <c r="AW44" s="249">
        <f t="shared" si="1"/>
        <v>0</v>
      </c>
      <c r="AX44" s="249">
        <f t="shared" si="1"/>
        <v>0</v>
      </c>
      <c r="AY44" s="249">
        <f t="shared" si="1"/>
        <v>0</v>
      </c>
      <c r="AZ44" s="249">
        <f t="shared" ref="AZ44:BC44" si="4">AZ85</f>
        <v>0</v>
      </c>
      <c r="BA44" s="249">
        <f t="shared" si="4"/>
        <v>0</v>
      </c>
      <c r="BB44" s="249">
        <f t="shared" si="4"/>
        <v>0</v>
      </c>
      <c r="BC44" s="249">
        <f t="shared" si="4"/>
        <v>0</v>
      </c>
      <c r="BD44" s="249">
        <f t="shared" ref="BD44:BF44" si="5">BD85</f>
        <v>0</v>
      </c>
      <c r="BE44" s="249">
        <f t="shared" si="5"/>
        <v>0</v>
      </c>
      <c r="BF44" s="249">
        <f t="shared" si="5"/>
        <v>0</v>
      </c>
    </row>
    <row r="45" spans="2:77">
      <c r="AQ45" s="134" t="s">
        <v>355</v>
      </c>
      <c r="AR45" s="249">
        <f t="shared" si="1"/>
        <v>30.150427560669065</v>
      </c>
      <c r="AS45" s="249">
        <f t="shared" si="1"/>
        <v>9.0394269236644703E-2</v>
      </c>
      <c r="AT45" s="249">
        <f t="shared" si="1"/>
        <v>7.4647476716394348</v>
      </c>
      <c r="AU45" s="249">
        <f t="shared" si="1"/>
        <v>0</v>
      </c>
      <c r="AV45" s="249">
        <f t="shared" si="1"/>
        <v>0</v>
      </c>
      <c r="AW45" s="249">
        <f t="shared" si="1"/>
        <v>0</v>
      </c>
      <c r="AX45" s="249">
        <f t="shared" si="1"/>
        <v>0</v>
      </c>
      <c r="AY45" s="249">
        <f t="shared" si="1"/>
        <v>0</v>
      </c>
      <c r="AZ45" s="249">
        <f t="shared" ref="AZ45:BC45" si="6">AZ86</f>
        <v>0</v>
      </c>
      <c r="BA45" s="249">
        <f t="shared" si="6"/>
        <v>644.2421909044931</v>
      </c>
      <c r="BB45" s="249">
        <f t="shared" si="6"/>
        <v>3494.7460959815226</v>
      </c>
      <c r="BC45" s="249">
        <f t="shared" si="6"/>
        <v>0</v>
      </c>
      <c r="BD45" s="249">
        <f t="shared" ref="BD45:BF45" si="7">BD86</f>
        <v>0</v>
      </c>
      <c r="BE45" s="249">
        <f t="shared" si="7"/>
        <v>0</v>
      </c>
      <c r="BF45" s="249">
        <f t="shared" si="7"/>
        <v>2852.0490535886452</v>
      </c>
    </row>
    <row r="46" spans="2:77">
      <c r="AQ46" s="134" t="s">
        <v>377</v>
      </c>
      <c r="AR46" s="249">
        <f t="shared" si="1"/>
        <v>0</v>
      </c>
      <c r="AS46" s="249">
        <f t="shared" si="1"/>
        <v>0</v>
      </c>
      <c r="AT46" s="249">
        <f t="shared" si="1"/>
        <v>0</v>
      </c>
      <c r="AU46" s="249">
        <f t="shared" si="1"/>
        <v>0</v>
      </c>
      <c r="AV46" s="249">
        <f t="shared" si="1"/>
        <v>0</v>
      </c>
      <c r="AW46" s="249">
        <f t="shared" si="1"/>
        <v>0</v>
      </c>
      <c r="AX46" s="249">
        <f t="shared" si="1"/>
        <v>0</v>
      </c>
      <c r="AY46" s="249">
        <f t="shared" si="1"/>
        <v>0</v>
      </c>
      <c r="AZ46" s="249">
        <f t="shared" ref="AZ46:BC46" si="8">AZ87</f>
        <v>0</v>
      </c>
      <c r="BA46" s="249">
        <f t="shared" si="8"/>
        <v>37.630021206323519</v>
      </c>
      <c r="BB46" s="249">
        <f t="shared" si="8"/>
        <v>204.127223518021</v>
      </c>
      <c r="BC46" s="249">
        <f t="shared" si="8"/>
        <v>0</v>
      </c>
      <c r="BD46" s="249">
        <f t="shared" ref="BD46:BF46" si="9">BD87</f>
        <v>0</v>
      </c>
      <c r="BE46" s="249">
        <f t="shared" si="9"/>
        <v>0</v>
      </c>
      <c r="BF46" s="249">
        <f t="shared" si="9"/>
        <v>44.927545117863247</v>
      </c>
    </row>
    <row r="47" spans="2:77">
      <c r="AQ47" s="134" t="s">
        <v>466</v>
      </c>
      <c r="AR47" s="249">
        <f t="shared" si="1"/>
        <v>2.0694989883749622</v>
      </c>
      <c r="AS47" s="249">
        <f t="shared" si="1"/>
        <v>5.671161105764883E-3</v>
      </c>
      <c r="AT47" s="249">
        <f t="shared" si="1"/>
        <v>0.51237375403207552</v>
      </c>
      <c r="AU47" s="249">
        <f t="shared" si="1"/>
        <v>0</v>
      </c>
      <c r="AV47" s="249">
        <f t="shared" si="1"/>
        <v>0</v>
      </c>
      <c r="AW47" s="249">
        <f t="shared" si="1"/>
        <v>0</v>
      </c>
      <c r="AX47" s="249">
        <f t="shared" si="1"/>
        <v>0</v>
      </c>
      <c r="AY47" s="249">
        <f t="shared" si="1"/>
        <v>0</v>
      </c>
      <c r="AZ47" s="249">
        <f t="shared" ref="AZ47:BC47" si="10">AZ88</f>
        <v>0</v>
      </c>
      <c r="BA47" s="249">
        <f t="shared" si="10"/>
        <v>0</v>
      </c>
      <c r="BB47" s="249">
        <f t="shared" si="10"/>
        <v>0</v>
      </c>
      <c r="BC47" s="249">
        <f t="shared" si="10"/>
        <v>0</v>
      </c>
      <c r="BD47" s="249">
        <f t="shared" ref="BD47:BF47" si="11">BD88</f>
        <v>0</v>
      </c>
      <c r="BE47" s="249">
        <f t="shared" si="11"/>
        <v>0</v>
      </c>
      <c r="BF47" s="249">
        <f t="shared" si="11"/>
        <v>0</v>
      </c>
    </row>
    <row r="48" spans="2:77">
      <c r="AQ48" s="134" t="s">
        <v>467</v>
      </c>
      <c r="AR48" s="249">
        <f t="shared" si="1"/>
        <v>0</v>
      </c>
      <c r="AS48" s="249">
        <f t="shared" si="1"/>
        <v>5.1714158616864253E-4</v>
      </c>
      <c r="AT48" s="249">
        <f t="shared" si="1"/>
        <v>0</v>
      </c>
      <c r="AU48" s="249">
        <f t="shared" si="1"/>
        <v>0</v>
      </c>
      <c r="AV48" s="249">
        <f t="shared" si="1"/>
        <v>0</v>
      </c>
      <c r="AW48" s="249">
        <f t="shared" si="1"/>
        <v>0</v>
      </c>
      <c r="AX48" s="249">
        <f t="shared" si="1"/>
        <v>0</v>
      </c>
      <c r="AY48" s="249">
        <f t="shared" si="1"/>
        <v>0</v>
      </c>
      <c r="AZ48" s="249">
        <f t="shared" ref="AZ48:BC48" si="12">AZ89</f>
        <v>0</v>
      </c>
      <c r="BA48" s="249">
        <f t="shared" si="12"/>
        <v>0</v>
      </c>
      <c r="BB48" s="249">
        <f t="shared" si="12"/>
        <v>0</v>
      </c>
      <c r="BC48" s="249">
        <f t="shared" si="12"/>
        <v>0</v>
      </c>
      <c r="BD48" s="249">
        <f t="shared" ref="BD48:BF48" si="13">BD89</f>
        <v>0</v>
      </c>
      <c r="BE48" s="249">
        <f t="shared" si="13"/>
        <v>0</v>
      </c>
      <c r="BF48" s="249">
        <f t="shared" si="13"/>
        <v>0</v>
      </c>
    </row>
    <row r="49" spans="43:58">
      <c r="AQ49" s="134" t="s">
        <v>411</v>
      </c>
      <c r="AR49" s="249">
        <f t="shared" si="1"/>
        <v>0</v>
      </c>
      <c r="AS49" s="249">
        <f t="shared" si="1"/>
        <v>0</v>
      </c>
      <c r="AT49" s="249">
        <f t="shared" si="1"/>
        <v>0</v>
      </c>
      <c r="AU49" s="249">
        <f t="shared" si="1"/>
        <v>0</v>
      </c>
      <c r="AV49" s="249">
        <f t="shared" si="1"/>
        <v>0</v>
      </c>
      <c r="AW49" s="249">
        <f t="shared" si="1"/>
        <v>0</v>
      </c>
      <c r="AX49" s="249">
        <f t="shared" si="1"/>
        <v>0</v>
      </c>
      <c r="AY49" s="249">
        <f t="shared" si="1"/>
        <v>0</v>
      </c>
      <c r="AZ49" s="249">
        <f t="shared" ref="AZ49:BC49" si="14">AZ90</f>
        <v>0</v>
      </c>
      <c r="BA49" s="249">
        <f t="shared" si="14"/>
        <v>0</v>
      </c>
      <c r="BB49" s="249">
        <f t="shared" si="14"/>
        <v>0</v>
      </c>
      <c r="BC49" s="249">
        <f t="shared" si="14"/>
        <v>0</v>
      </c>
      <c r="BD49" s="249">
        <f t="shared" ref="BD49:BF49" si="15">BD90</f>
        <v>0</v>
      </c>
      <c r="BE49" s="249">
        <f t="shared" si="15"/>
        <v>0</v>
      </c>
      <c r="BF49" s="249">
        <f t="shared" si="15"/>
        <v>4.914718171980665</v>
      </c>
    </row>
    <row r="50" spans="43:58">
      <c r="AQ50" s="134" t="s">
        <v>459</v>
      </c>
      <c r="AR50" s="249">
        <f t="shared" si="1"/>
        <v>0</v>
      </c>
      <c r="AS50" s="249">
        <f t="shared" si="1"/>
        <v>0</v>
      </c>
      <c r="AT50" s="249">
        <f t="shared" si="1"/>
        <v>0</v>
      </c>
      <c r="AU50" s="249">
        <f t="shared" si="1"/>
        <v>0</v>
      </c>
      <c r="AV50" s="249">
        <f t="shared" si="1"/>
        <v>0</v>
      </c>
      <c r="AW50" s="249">
        <f t="shared" si="1"/>
        <v>0</v>
      </c>
      <c r="AX50" s="249">
        <f t="shared" si="1"/>
        <v>0</v>
      </c>
      <c r="AY50" s="249">
        <f t="shared" si="1"/>
        <v>0</v>
      </c>
      <c r="AZ50" s="249">
        <f t="shared" ref="AZ50:BC50" si="16">AZ91</f>
        <v>0</v>
      </c>
      <c r="BA50" s="249">
        <f t="shared" si="16"/>
        <v>0</v>
      </c>
      <c r="BB50" s="249">
        <f t="shared" si="16"/>
        <v>0</v>
      </c>
      <c r="BC50" s="249">
        <f t="shared" si="16"/>
        <v>0</v>
      </c>
      <c r="BD50" s="249">
        <f t="shared" ref="BD50:BF50" si="17">BD91</f>
        <v>0</v>
      </c>
      <c r="BE50" s="249">
        <f t="shared" si="17"/>
        <v>0</v>
      </c>
      <c r="BF50" s="249">
        <f t="shared" si="17"/>
        <v>0</v>
      </c>
    </row>
    <row r="51" spans="43:58" ht="16.05" customHeight="1">
      <c r="AQ51" s="232" t="s">
        <v>442</v>
      </c>
      <c r="AR51" s="249">
        <f t="shared" si="1"/>
        <v>0</v>
      </c>
      <c r="AS51" s="249">
        <f t="shared" si="1"/>
        <v>0</v>
      </c>
      <c r="AT51" s="249">
        <f t="shared" si="1"/>
        <v>0</v>
      </c>
      <c r="AU51" s="249">
        <f t="shared" si="1"/>
        <v>1011.7674660019052</v>
      </c>
      <c r="AV51" s="249">
        <f t="shared" si="1"/>
        <v>0</v>
      </c>
      <c r="AW51" s="249">
        <f t="shared" si="1"/>
        <v>0</v>
      </c>
      <c r="AX51" s="249">
        <f t="shared" si="1"/>
        <v>0</v>
      </c>
      <c r="AY51" s="249">
        <f t="shared" si="1"/>
        <v>0</v>
      </c>
      <c r="AZ51" s="249">
        <f t="shared" ref="AZ51:BC51" si="18">AZ92</f>
        <v>0</v>
      </c>
      <c r="BA51" s="249">
        <f t="shared" si="18"/>
        <v>0</v>
      </c>
      <c r="BB51" s="249">
        <f t="shared" si="18"/>
        <v>0</v>
      </c>
      <c r="BC51" s="249">
        <f t="shared" si="18"/>
        <v>0</v>
      </c>
      <c r="BD51" s="249">
        <f t="shared" ref="BD51:BF51" si="19">BD92</f>
        <v>0</v>
      </c>
      <c r="BE51" s="249">
        <f t="shared" si="19"/>
        <v>0</v>
      </c>
      <c r="BF51" s="249">
        <f t="shared" si="19"/>
        <v>0</v>
      </c>
    </row>
    <row r="52" spans="43:58">
      <c r="AQ52" s="134" t="s">
        <v>409</v>
      </c>
      <c r="AR52" s="249">
        <f t="shared" si="1"/>
        <v>0</v>
      </c>
      <c r="AS52" s="249">
        <f t="shared" si="1"/>
        <v>0</v>
      </c>
      <c r="AT52" s="249">
        <f t="shared" si="1"/>
        <v>0</v>
      </c>
      <c r="AU52" s="249">
        <f t="shared" si="1"/>
        <v>0</v>
      </c>
      <c r="AV52" s="249">
        <f t="shared" si="1"/>
        <v>0</v>
      </c>
      <c r="AW52" s="249">
        <f t="shared" si="1"/>
        <v>0</v>
      </c>
      <c r="AX52" s="249">
        <f t="shared" si="1"/>
        <v>0</v>
      </c>
      <c r="AY52" s="249">
        <f t="shared" si="1"/>
        <v>0</v>
      </c>
      <c r="AZ52" s="249">
        <f t="shared" ref="AZ52:BC52" si="20">AZ93</f>
        <v>0</v>
      </c>
      <c r="BA52" s="249">
        <f t="shared" si="20"/>
        <v>0</v>
      </c>
      <c r="BB52" s="249">
        <f t="shared" si="20"/>
        <v>0</v>
      </c>
      <c r="BC52" s="249">
        <f t="shared" si="20"/>
        <v>0</v>
      </c>
      <c r="BD52" s="249">
        <f t="shared" ref="BD52:BF52" si="21">BD93</f>
        <v>0</v>
      </c>
      <c r="BE52" s="249">
        <f t="shared" si="21"/>
        <v>0</v>
      </c>
      <c r="BF52" s="249">
        <f t="shared" si="21"/>
        <v>0</v>
      </c>
    </row>
    <row r="53" spans="43:58" ht="16.05" customHeight="1">
      <c r="AQ53" s="232" t="s">
        <v>412</v>
      </c>
      <c r="AR53" s="249">
        <f t="shared" si="1"/>
        <v>0</v>
      </c>
      <c r="AS53" s="249">
        <f t="shared" si="1"/>
        <v>0</v>
      </c>
      <c r="AT53" s="249">
        <f t="shared" si="1"/>
        <v>0</v>
      </c>
      <c r="AU53" s="249">
        <f t="shared" si="1"/>
        <v>0</v>
      </c>
      <c r="AV53" s="249">
        <f t="shared" si="1"/>
        <v>208.55560337725498</v>
      </c>
      <c r="AW53" s="249">
        <f t="shared" si="1"/>
        <v>0</v>
      </c>
      <c r="AX53" s="249">
        <f t="shared" si="1"/>
        <v>0</v>
      </c>
      <c r="AY53" s="249">
        <f t="shared" si="1"/>
        <v>0</v>
      </c>
      <c r="AZ53" s="249">
        <f t="shared" ref="AZ53:BC53" si="22">AZ94</f>
        <v>0</v>
      </c>
      <c r="BA53" s="249">
        <f t="shared" si="22"/>
        <v>0</v>
      </c>
      <c r="BB53" s="249">
        <f t="shared" si="22"/>
        <v>0</v>
      </c>
      <c r="BC53" s="249">
        <f t="shared" si="22"/>
        <v>0</v>
      </c>
      <c r="BD53" s="249">
        <f t="shared" ref="BD53:BF53" si="23">BD94</f>
        <v>0</v>
      </c>
      <c r="BE53" s="249">
        <f t="shared" si="23"/>
        <v>0</v>
      </c>
      <c r="BF53" s="249">
        <f t="shared" si="23"/>
        <v>0</v>
      </c>
    </row>
    <row r="54" spans="43:58">
      <c r="AQ54" s="134" t="s">
        <v>437</v>
      </c>
      <c r="AR54" s="249">
        <f t="shared" si="1"/>
        <v>0</v>
      </c>
      <c r="AS54" s="249">
        <f t="shared" si="1"/>
        <v>0</v>
      </c>
      <c r="AT54" s="249">
        <f t="shared" si="1"/>
        <v>0</v>
      </c>
      <c r="AU54" s="249">
        <f t="shared" si="1"/>
        <v>0</v>
      </c>
      <c r="AV54" s="249">
        <f t="shared" si="1"/>
        <v>0</v>
      </c>
      <c r="AW54" s="249">
        <f t="shared" si="1"/>
        <v>0</v>
      </c>
      <c r="AX54" s="249">
        <f t="shared" si="1"/>
        <v>0</v>
      </c>
      <c r="AY54" s="249">
        <f t="shared" si="1"/>
        <v>0</v>
      </c>
      <c r="AZ54" s="249">
        <f t="shared" ref="AZ54:BC54" si="24">AZ95</f>
        <v>0</v>
      </c>
      <c r="BA54" s="249">
        <f t="shared" si="24"/>
        <v>0</v>
      </c>
      <c r="BB54" s="249">
        <f t="shared" si="24"/>
        <v>0</v>
      </c>
      <c r="BC54" s="249">
        <f t="shared" si="24"/>
        <v>0</v>
      </c>
      <c r="BD54" s="249">
        <f t="shared" ref="BD54:BF54" si="25">BD95</f>
        <v>0</v>
      </c>
      <c r="BE54" s="249">
        <f t="shared" si="25"/>
        <v>0</v>
      </c>
      <c r="BF54" s="249">
        <f t="shared" si="25"/>
        <v>0</v>
      </c>
    </row>
    <row r="55" spans="43:58">
      <c r="AQ55" s="233" t="s">
        <v>430</v>
      </c>
      <c r="AR55" s="249">
        <f t="shared" si="1"/>
        <v>0</v>
      </c>
      <c r="AS55" s="249">
        <f t="shared" si="1"/>
        <v>0</v>
      </c>
      <c r="AT55" s="249">
        <f t="shared" si="1"/>
        <v>0</v>
      </c>
      <c r="AU55" s="249">
        <f t="shared" si="1"/>
        <v>0</v>
      </c>
      <c r="AV55" s="249">
        <f t="shared" si="1"/>
        <v>0</v>
      </c>
      <c r="AW55" s="249">
        <f t="shared" si="1"/>
        <v>298.6148747230165</v>
      </c>
      <c r="AX55" s="249">
        <f t="shared" si="1"/>
        <v>0</v>
      </c>
      <c r="AY55" s="249">
        <f t="shared" si="1"/>
        <v>0</v>
      </c>
      <c r="AZ55" s="249">
        <f t="shared" ref="AZ55:BC55" si="26">AZ96</f>
        <v>0</v>
      </c>
      <c r="BA55" s="249">
        <f t="shared" si="26"/>
        <v>0</v>
      </c>
      <c r="BB55" s="249">
        <f t="shared" si="26"/>
        <v>0</v>
      </c>
      <c r="BC55" s="249">
        <f t="shared" si="26"/>
        <v>0</v>
      </c>
      <c r="BD55" s="249">
        <f t="shared" ref="BD55:BF55" si="27">BD96</f>
        <v>0</v>
      </c>
      <c r="BE55" s="249">
        <f t="shared" si="27"/>
        <v>0</v>
      </c>
      <c r="BF55" s="249">
        <f t="shared" si="27"/>
        <v>0</v>
      </c>
    </row>
    <row r="56" spans="43:58">
      <c r="AQ56" s="134" t="s">
        <v>416</v>
      </c>
      <c r="AR56" s="249">
        <f t="shared" si="1"/>
        <v>0</v>
      </c>
      <c r="AS56" s="249">
        <f t="shared" si="1"/>
        <v>0</v>
      </c>
      <c r="AT56" s="249">
        <f t="shared" si="1"/>
        <v>0</v>
      </c>
      <c r="AU56" s="249">
        <f t="shared" si="1"/>
        <v>0</v>
      </c>
      <c r="AV56" s="249">
        <f t="shared" si="1"/>
        <v>0</v>
      </c>
      <c r="AW56" s="249">
        <f t="shared" si="1"/>
        <v>0</v>
      </c>
      <c r="AX56" s="249">
        <f t="shared" si="1"/>
        <v>0</v>
      </c>
      <c r="AY56" s="249">
        <f t="shared" si="1"/>
        <v>0</v>
      </c>
      <c r="AZ56" s="249">
        <f t="shared" ref="AZ56:BC56" si="28">AZ97</f>
        <v>0</v>
      </c>
      <c r="BA56" s="249">
        <f t="shared" si="28"/>
        <v>0</v>
      </c>
      <c r="BB56" s="249">
        <f t="shared" si="28"/>
        <v>0</v>
      </c>
      <c r="BC56" s="249">
        <f t="shared" si="28"/>
        <v>0</v>
      </c>
      <c r="BD56" s="249">
        <f t="shared" ref="BD56:BF56" si="29">BD97</f>
        <v>0</v>
      </c>
      <c r="BE56" s="249">
        <f t="shared" si="29"/>
        <v>0</v>
      </c>
      <c r="BF56" s="249">
        <f t="shared" si="29"/>
        <v>0</v>
      </c>
    </row>
    <row r="57" spans="43:58" ht="16.05" customHeight="1">
      <c r="AQ57" s="232" t="s">
        <v>441</v>
      </c>
      <c r="AR57" s="249">
        <f t="shared" si="1"/>
        <v>0</v>
      </c>
      <c r="AS57" s="249">
        <f t="shared" si="1"/>
        <v>0</v>
      </c>
      <c r="AT57" s="249">
        <f t="shared" si="1"/>
        <v>0</v>
      </c>
      <c r="AU57" s="249">
        <f t="shared" si="1"/>
        <v>0</v>
      </c>
      <c r="AV57" s="249">
        <f t="shared" si="1"/>
        <v>0</v>
      </c>
      <c r="AW57" s="249">
        <f t="shared" si="1"/>
        <v>0</v>
      </c>
      <c r="AX57" s="249">
        <f t="shared" si="1"/>
        <v>1011.7674660019052</v>
      </c>
      <c r="AY57" s="249">
        <f t="shared" si="1"/>
        <v>0</v>
      </c>
      <c r="AZ57" s="249">
        <f t="shared" ref="AZ57:BC57" si="30">AZ98</f>
        <v>0</v>
      </c>
      <c r="BA57" s="249">
        <f t="shared" si="30"/>
        <v>0</v>
      </c>
      <c r="BB57" s="249">
        <f t="shared" si="30"/>
        <v>0</v>
      </c>
      <c r="BC57" s="249">
        <f t="shared" si="30"/>
        <v>0</v>
      </c>
      <c r="BD57" s="249">
        <f t="shared" ref="BD57:BF57" si="31">BD98</f>
        <v>0</v>
      </c>
      <c r="BE57" s="249">
        <f t="shared" si="31"/>
        <v>0</v>
      </c>
      <c r="BF57" s="249">
        <f t="shared" si="31"/>
        <v>0</v>
      </c>
    </row>
    <row r="58" spans="43:58" ht="16.05" customHeight="1">
      <c r="AQ58" s="232" t="s">
        <v>436</v>
      </c>
      <c r="AR58" s="249">
        <f t="shared" si="1"/>
        <v>0</v>
      </c>
      <c r="AS58" s="249">
        <f t="shared" si="1"/>
        <v>0</v>
      </c>
      <c r="AT58" s="249">
        <f t="shared" si="1"/>
        <v>0</v>
      </c>
      <c r="AU58" s="249">
        <f t="shared" si="1"/>
        <v>0</v>
      </c>
      <c r="AV58" s="249">
        <f t="shared" si="1"/>
        <v>0</v>
      </c>
      <c r="AW58" s="249">
        <f t="shared" si="1"/>
        <v>0</v>
      </c>
      <c r="AX58" s="249">
        <f t="shared" si="1"/>
        <v>0</v>
      </c>
      <c r="AY58" s="249">
        <f t="shared" si="1"/>
        <v>208.55560337725498</v>
      </c>
      <c r="AZ58" s="249">
        <f t="shared" ref="AZ58:BC58" si="32">AZ99</f>
        <v>0</v>
      </c>
      <c r="BA58" s="249">
        <f t="shared" si="32"/>
        <v>0</v>
      </c>
      <c r="BB58" s="249">
        <f t="shared" si="32"/>
        <v>0</v>
      </c>
      <c r="BC58" s="249">
        <f t="shared" si="32"/>
        <v>0</v>
      </c>
      <c r="BD58" s="249">
        <f t="shared" ref="BD58:BF58" si="33">BD99</f>
        <v>0</v>
      </c>
      <c r="BE58" s="249">
        <f t="shared" si="33"/>
        <v>0</v>
      </c>
      <c r="BF58" s="249">
        <f t="shared" si="33"/>
        <v>0</v>
      </c>
    </row>
    <row r="59" spans="43:58" ht="16.05" customHeight="1">
      <c r="AQ59" s="232" t="s">
        <v>433</v>
      </c>
      <c r="AR59" s="249">
        <f t="shared" si="1"/>
        <v>0</v>
      </c>
      <c r="AS59" s="249">
        <f t="shared" si="1"/>
        <v>0</v>
      </c>
      <c r="AT59" s="249">
        <f t="shared" si="1"/>
        <v>0</v>
      </c>
      <c r="AU59" s="249">
        <f t="shared" si="1"/>
        <v>0</v>
      </c>
      <c r="AV59" s="249">
        <f t="shared" si="1"/>
        <v>0</v>
      </c>
      <c r="AW59" s="249">
        <f t="shared" si="1"/>
        <v>0</v>
      </c>
      <c r="AX59" s="249">
        <f t="shared" si="1"/>
        <v>0</v>
      </c>
      <c r="AY59" s="249">
        <f t="shared" si="1"/>
        <v>0</v>
      </c>
      <c r="AZ59" s="249">
        <f t="shared" ref="AZ59:BC59" si="34">AZ100</f>
        <v>298.6148747230165</v>
      </c>
      <c r="BA59" s="249">
        <f t="shared" si="34"/>
        <v>0</v>
      </c>
      <c r="BB59" s="249">
        <f t="shared" si="34"/>
        <v>0</v>
      </c>
      <c r="BC59" s="249">
        <f t="shared" si="34"/>
        <v>0</v>
      </c>
      <c r="BD59" s="249">
        <f t="shared" ref="BD59:BF59" si="35">BD100</f>
        <v>0</v>
      </c>
      <c r="BE59" s="249">
        <f t="shared" si="35"/>
        <v>0</v>
      </c>
      <c r="BF59" s="249">
        <f t="shared" si="35"/>
        <v>0</v>
      </c>
    </row>
    <row r="60" spans="43:58" ht="16.05" customHeight="1">
      <c r="AQ60" s="232" t="s">
        <v>439</v>
      </c>
      <c r="AR60" s="249">
        <f t="shared" si="1"/>
        <v>0</v>
      </c>
      <c r="AS60" s="249">
        <f t="shared" si="1"/>
        <v>0</v>
      </c>
      <c r="AT60" s="249">
        <f t="shared" si="1"/>
        <v>0</v>
      </c>
      <c r="AU60" s="249">
        <f t="shared" si="1"/>
        <v>0</v>
      </c>
      <c r="AV60" s="249">
        <f t="shared" si="1"/>
        <v>0</v>
      </c>
      <c r="AW60" s="249">
        <f t="shared" si="1"/>
        <v>0</v>
      </c>
      <c r="AX60" s="249">
        <f t="shared" si="1"/>
        <v>0</v>
      </c>
      <c r="AY60" s="249">
        <f t="shared" si="1"/>
        <v>0</v>
      </c>
      <c r="AZ60" s="249">
        <f t="shared" ref="AZ60:BC60" si="36">AZ101</f>
        <v>0</v>
      </c>
      <c r="BA60" s="249">
        <f t="shared" si="36"/>
        <v>0</v>
      </c>
      <c r="BB60" s="249">
        <f t="shared" si="36"/>
        <v>0</v>
      </c>
      <c r="BC60" s="249">
        <f t="shared" si="36"/>
        <v>0</v>
      </c>
      <c r="BD60" s="249">
        <f t="shared" ref="BD60:BF60" si="37">BD101</f>
        <v>0</v>
      </c>
      <c r="BE60" s="249">
        <f t="shared" si="37"/>
        <v>1000.0000000000001</v>
      </c>
      <c r="BF60" s="249">
        <f t="shared" si="37"/>
        <v>0</v>
      </c>
    </row>
    <row r="61" spans="43:58">
      <c r="AQ61" s="233" t="s">
        <v>438</v>
      </c>
      <c r="AR61" s="249">
        <f t="shared" si="1"/>
        <v>0</v>
      </c>
      <c r="AS61" s="249">
        <f t="shared" si="1"/>
        <v>0</v>
      </c>
      <c r="AT61" s="249">
        <f t="shared" si="1"/>
        <v>0</v>
      </c>
      <c r="AU61" s="249">
        <f t="shared" si="1"/>
        <v>0</v>
      </c>
      <c r="AV61" s="249">
        <f t="shared" si="1"/>
        <v>0</v>
      </c>
      <c r="AW61" s="249">
        <f t="shared" si="1"/>
        <v>0</v>
      </c>
      <c r="AX61" s="249">
        <f t="shared" si="1"/>
        <v>0</v>
      </c>
      <c r="AY61" s="249">
        <f t="shared" si="1"/>
        <v>0</v>
      </c>
      <c r="AZ61" s="249">
        <f t="shared" ref="AZ61:BC61" si="38">AZ102</f>
        <v>0</v>
      </c>
      <c r="BA61" s="249">
        <f t="shared" si="38"/>
        <v>0</v>
      </c>
      <c r="BB61" s="249">
        <f t="shared" si="38"/>
        <v>0</v>
      </c>
      <c r="BC61" s="249">
        <f t="shared" si="38"/>
        <v>0</v>
      </c>
      <c r="BD61" s="249">
        <f t="shared" ref="BD61:BF61" si="39">BD102</f>
        <v>0</v>
      </c>
      <c r="BE61" s="249">
        <f t="shared" si="39"/>
        <v>0</v>
      </c>
      <c r="BF61" s="249">
        <f t="shared" si="39"/>
        <v>0</v>
      </c>
    </row>
    <row r="62" spans="43:58">
      <c r="AQ62" s="233" t="s">
        <v>424</v>
      </c>
      <c r="AR62" s="249">
        <f t="shared" si="1"/>
        <v>0</v>
      </c>
      <c r="AS62" s="249">
        <f t="shared" si="1"/>
        <v>0</v>
      </c>
      <c r="AT62" s="249">
        <f t="shared" si="1"/>
        <v>0</v>
      </c>
      <c r="AU62" s="249">
        <f t="shared" si="1"/>
        <v>0</v>
      </c>
      <c r="AV62" s="249">
        <f t="shared" si="1"/>
        <v>0</v>
      </c>
      <c r="AW62" s="249">
        <f t="shared" si="1"/>
        <v>0</v>
      </c>
      <c r="AX62" s="249">
        <f t="shared" si="1"/>
        <v>0</v>
      </c>
      <c r="AY62" s="249">
        <f t="shared" si="1"/>
        <v>0</v>
      </c>
      <c r="AZ62" s="249">
        <f t="shared" ref="AZ62:BC62" si="40">AZ103</f>
        <v>0</v>
      </c>
      <c r="BA62" s="249">
        <f t="shared" si="40"/>
        <v>208.55560337725498</v>
      </c>
      <c r="BB62" s="249">
        <f t="shared" si="40"/>
        <v>0</v>
      </c>
      <c r="BC62" s="249">
        <f t="shared" si="40"/>
        <v>0</v>
      </c>
      <c r="BD62" s="249">
        <f t="shared" ref="BD62:BF62" si="41">BD103</f>
        <v>0</v>
      </c>
      <c r="BE62" s="249">
        <f t="shared" si="41"/>
        <v>0</v>
      </c>
      <c r="BF62" s="249">
        <f t="shared" si="41"/>
        <v>0</v>
      </c>
    </row>
    <row r="63" spans="43:58">
      <c r="AQ63" s="233" t="s">
        <v>456</v>
      </c>
      <c r="AR63" s="249">
        <f t="shared" si="1"/>
        <v>0</v>
      </c>
      <c r="AS63" s="249">
        <f t="shared" si="1"/>
        <v>0</v>
      </c>
      <c r="AT63" s="249">
        <f t="shared" si="1"/>
        <v>0</v>
      </c>
      <c r="AU63" s="249">
        <f t="shared" si="1"/>
        <v>0</v>
      </c>
      <c r="AV63" s="249">
        <f t="shared" si="1"/>
        <v>0</v>
      </c>
      <c r="AW63" s="249">
        <f t="shared" si="1"/>
        <v>0</v>
      </c>
      <c r="AX63" s="249">
        <f t="shared" si="1"/>
        <v>0</v>
      </c>
      <c r="AY63" s="249">
        <f t="shared" si="1"/>
        <v>0</v>
      </c>
      <c r="AZ63" s="249">
        <f t="shared" ref="AZ63:BC63" si="42">AZ104</f>
        <v>0</v>
      </c>
      <c r="BA63" s="249">
        <f t="shared" si="42"/>
        <v>0</v>
      </c>
      <c r="BB63" s="249">
        <f t="shared" si="42"/>
        <v>298.6148747230165</v>
      </c>
      <c r="BC63" s="249">
        <f t="shared" si="42"/>
        <v>0</v>
      </c>
      <c r="BD63" s="249">
        <f t="shared" ref="BD63:BF63" si="43">BD104</f>
        <v>0</v>
      </c>
      <c r="BE63" s="249">
        <f t="shared" si="43"/>
        <v>0</v>
      </c>
      <c r="BF63" s="249">
        <f t="shared" si="43"/>
        <v>0</v>
      </c>
    </row>
    <row r="64" spans="43:58">
      <c r="AQ64" s="233" t="s">
        <v>425</v>
      </c>
      <c r="AR64" s="249">
        <f t="shared" si="1"/>
        <v>0</v>
      </c>
      <c r="AS64" s="249">
        <f t="shared" si="1"/>
        <v>0</v>
      </c>
      <c r="AT64" s="249">
        <f t="shared" si="1"/>
        <v>0</v>
      </c>
      <c r="AU64" s="249">
        <f t="shared" si="1"/>
        <v>0</v>
      </c>
      <c r="AV64" s="249">
        <f t="shared" si="1"/>
        <v>0</v>
      </c>
      <c r="AW64" s="249">
        <f t="shared" si="1"/>
        <v>0</v>
      </c>
      <c r="AX64" s="249">
        <f t="shared" si="1"/>
        <v>0</v>
      </c>
      <c r="AY64" s="249">
        <f t="shared" si="1"/>
        <v>0</v>
      </c>
      <c r="AZ64" s="249">
        <f t="shared" ref="AZ64:BC64" si="44">AZ105</f>
        <v>0</v>
      </c>
      <c r="BA64" s="249">
        <f t="shared" si="44"/>
        <v>0</v>
      </c>
      <c r="BB64" s="249">
        <f t="shared" si="44"/>
        <v>0</v>
      </c>
      <c r="BC64" s="249">
        <f t="shared" si="44"/>
        <v>0</v>
      </c>
      <c r="BD64" s="249">
        <f t="shared" ref="BD64:BD68" si="45">BD105</f>
        <v>0</v>
      </c>
      <c r="BE64" s="249">
        <f t="shared" ref="BE64:BF64" si="46">BE105</f>
        <v>111.00813284002646</v>
      </c>
      <c r="BF64" s="249">
        <f t="shared" si="46"/>
        <v>0</v>
      </c>
    </row>
    <row r="65" spans="43:58">
      <c r="AQ65" s="233" t="s">
        <v>427</v>
      </c>
      <c r="AR65" s="249">
        <f t="shared" si="1"/>
        <v>0</v>
      </c>
      <c r="AS65" s="249">
        <f t="shared" si="1"/>
        <v>0</v>
      </c>
      <c r="AT65" s="249">
        <f t="shared" si="1"/>
        <v>0</v>
      </c>
      <c r="AU65" s="249">
        <f t="shared" si="1"/>
        <v>0</v>
      </c>
      <c r="AV65" s="249">
        <f t="shared" si="1"/>
        <v>0</v>
      </c>
      <c r="AW65" s="249">
        <f t="shared" si="1"/>
        <v>0</v>
      </c>
      <c r="AX65" s="249">
        <f t="shared" si="1"/>
        <v>0</v>
      </c>
      <c r="AY65" s="249">
        <f t="shared" si="1"/>
        <v>0</v>
      </c>
      <c r="AZ65" s="249">
        <f t="shared" ref="AZ65:BC65" si="47">AZ106</f>
        <v>0</v>
      </c>
      <c r="BA65" s="249">
        <f t="shared" si="47"/>
        <v>0</v>
      </c>
      <c r="BB65" s="249">
        <f t="shared" si="47"/>
        <v>0</v>
      </c>
      <c r="BC65" s="249">
        <f t="shared" si="47"/>
        <v>0</v>
      </c>
      <c r="BD65" s="249">
        <f t="shared" si="45"/>
        <v>0</v>
      </c>
      <c r="BE65" s="249">
        <f t="shared" ref="BE65:BF65" si="48">BE106</f>
        <v>0</v>
      </c>
      <c r="BF65" s="249">
        <f t="shared" si="48"/>
        <v>0</v>
      </c>
    </row>
    <row r="66" spans="43:58">
      <c r="AQ66" s="233" t="s">
        <v>426</v>
      </c>
      <c r="AR66" s="249">
        <f t="shared" si="1"/>
        <v>0</v>
      </c>
      <c r="AS66" s="249">
        <f t="shared" si="1"/>
        <v>0</v>
      </c>
      <c r="AT66" s="249">
        <f t="shared" si="1"/>
        <v>0</v>
      </c>
      <c r="AU66" s="249">
        <f t="shared" si="1"/>
        <v>0</v>
      </c>
      <c r="AV66" s="249">
        <f t="shared" si="1"/>
        <v>0</v>
      </c>
      <c r="AW66" s="249">
        <f t="shared" si="1"/>
        <v>0</v>
      </c>
      <c r="AX66" s="249">
        <f t="shared" si="1"/>
        <v>0</v>
      </c>
      <c r="AY66" s="249">
        <f t="shared" si="1"/>
        <v>0</v>
      </c>
      <c r="AZ66" s="249">
        <f t="shared" ref="AZ66:BC66" si="49">AZ107</f>
        <v>0</v>
      </c>
      <c r="BA66" s="249">
        <f t="shared" si="49"/>
        <v>0</v>
      </c>
      <c r="BB66" s="249">
        <f t="shared" si="49"/>
        <v>0</v>
      </c>
      <c r="BC66" s="249">
        <f t="shared" si="49"/>
        <v>0</v>
      </c>
      <c r="BD66" s="249">
        <f t="shared" si="45"/>
        <v>0</v>
      </c>
      <c r="BE66" s="249">
        <f t="shared" ref="BE66:BF66" si="50">BE107</f>
        <v>0</v>
      </c>
      <c r="BF66" s="249">
        <f t="shared" si="50"/>
        <v>0</v>
      </c>
    </row>
    <row r="67" spans="43:58">
      <c r="AQ67" s="233" t="s">
        <v>484</v>
      </c>
      <c r="AR67" s="249">
        <f t="shared" si="1"/>
        <v>0</v>
      </c>
      <c r="AS67" s="249">
        <f t="shared" si="1"/>
        <v>0</v>
      </c>
      <c r="AT67" s="249">
        <f t="shared" si="1"/>
        <v>0</v>
      </c>
      <c r="AU67" s="249">
        <f t="shared" si="1"/>
        <v>0</v>
      </c>
      <c r="AV67" s="249">
        <f t="shared" si="1"/>
        <v>0</v>
      </c>
      <c r="AW67" s="249">
        <f t="shared" si="1"/>
        <v>0</v>
      </c>
      <c r="AX67" s="249">
        <f t="shared" si="1"/>
        <v>0</v>
      </c>
      <c r="AY67" s="249">
        <f t="shared" ref="AY67:BC67" si="51">AY108</f>
        <v>0</v>
      </c>
      <c r="AZ67" s="249">
        <f t="shared" si="51"/>
        <v>0</v>
      </c>
      <c r="BA67" s="249">
        <f t="shared" si="51"/>
        <v>0</v>
      </c>
      <c r="BB67" s="249">
        <f t="shared" si="51"/>
        <v>0</v>
      </c>
      <c r="BC67" s="249">
        <f t="shared" si="51"/>
        <v>0</v>
      </c>
      <c r="BD67" s="249">
        <f t="shared" si="45"/>
        <v>0</v>
      </c>
      <c r="BE67" s="249">
        <f t="shared" ref="BE67:BF67" si="52">BE108</f>
        <v>203.27980063725872</v>
      </c>
      <c r="BF67" s="249">
        <f t="shared" si="52"/>
        <v>0</v>
      </c>
    </row>
    <row r="68" spans="43:58" ht="16.05" customHeight="1">
      <c r="AQ68" s="247" t="s">
        <v>422</v>
      </c>
      <c r="AR68" s="249">
        <f t="shared" si="1"/>
        <v>0</v>
      </c>
      <c r="AS68" s="249">
        <f t="shared" si="1"/>
        <v>0</v>
      </c>
      <c r="AT68" s="249">
        <f t="shared" si="1"/>
        <v>0</v>
      </c>
      <c r="AU68" s="249">
        <f t="shared" si="1"/>
        <v>0</v>
      </c>
      <c r="AV68" s="249">
        <f t="shared" si="1"/>
        <v>0</v>
      </c>
      <c r="AW68" s="249">
        <f t="shared" si="1"/>
        <v>0</v>
      </c>
      <c r="AX68" s="249">
        <f t="shared" si="1"/>
        <v>0</v>
      </c>
      <c r="AY68" s="249">
        <f t="shared" ref="AY68:BC68" si="53">AY109</f>
        <v>0</v>
      </c>
      <c r="AZ68" s="249">
        <f t="shared" si="53"/>
        <v>0</v>
      </c>
      <c r="BA68" s="249">
        <f t="shared" si="53"/>
        <v>0</v>
      </c>
      <c r="BB68" s="249">
        <f t="shared" si="53"/>
        <v>0</v>
      </c>
      <c r="BC68" s="249">
        <f t="shared" si="53"/>
        <v>46.0998047134687</v>
      </c>
      <c r="BD68" s="249">
        <f t="shared" si="45"/>
        <v>0</v>
      </c>
      <c r="BE68" s="249">
        <f t="shared" ref="BE68:BF68" si="54">BE109</f>
        <v>0</v>
      </c>
      <c r="BF68" s="249">
        <f t="shared" si="54"/>
        <v>0</v>
      </c>
    </row>
    <row r="69" spans="43:58" ht="16.05" customHeight="1">
      <c r="AQ69" s="247" t="s">
        <v>552</v>
      </c>
      <c r="AR69" s="249"/>
      <c r="AS69" s="249"/>
      <c r="AT69" s="249"/>
      <c r="AU69" s="249"/>
      <c r="AV69" s="249"/>
      <c r="AW69" s="249"/>
      <c r="AX69" s="249"/>
      <c r="AY69" s="249"/>
      <c r="AZ69" s="249"/>
      <c r="BA69" s="249"/>
      <c r="BB69" s="249"/>
      <c r="BC69" s="249"/>
      <c r="BD69" s="249"/>
      <c r="BE69" s="249"/>
      <c r="BF69" s="249"/>
    </row>
    <row r="70" spans="43:58">
      <c r="AQ70" s="233" t="s">
        <v>421</v>
      </c>
      <c r="AR70" s="249">
        <f t="shared" ref="AR70:AX71" si="55">AR111</f>
        <v>0</v>
      </c>
      <c r="AS70" s="249">
        <f t="shared" si="55"/>
        <v>0</v>
      </c>
      <c r="AT70" s="249">
        <f t="shared" si="55"/>
        <v>0</v>
      </c>
      <c r="AU70" s="249">
        <f t="shared" si="55"/>
        <v>0</v>
      </c>
      <c r="AV70" s="249">
        <f t="shared" si="55"/>
        <v>0</v>
      </c>
      <c r="AW70" s="249">
        <f t="shared" si="55"/>
        <v>0</v>
      </c>
      <c r="AX70" s="249">
        <f t="shared" si="55"/>
        <v>0</v>
      </c>
      <c r="AY70" s="249">
        <f t="shared" ref="AY70:BC70" si="56">AY111</f>
        <v>0</v>
      </c>
      <c r="AZ70" s="249">
        <f t="shared" si="56"/>
        <v>0</v>
      </c>
      <c r="BA70" s="249">
        <f t="shared" si="56"/>
        <v>0</v>
      </c>
      <c r="BB70" s="249">
        <f t="shared" si="56"/>
        <v>0</v>
      </c>
      <c r="BC70" s="249">
        <f t="shared" si="56"/>
        <v>0</v>
      </c>
      <c r="BD70" s="249">
        <f>BD111</f>
        <v>0</v>
      </c>
      <c r="BE70" s="249">
        <f t="shared" ref="BE70:BF70" si="57">BE111</f>
        <v>0</v>
      </c>
      <c r="BF70" s="249">
        <f t="shared" si="57"/>
        <v>0</v>
      </c>
    </row>
    <row r="71" spans="43:58">
      <c r="AQ71" s="134" t="s">
        <v>423</v>
      </c>
      <c r="AR71" s="249">
        <f t="shared" si="55"/>
        <v>0</v>
      </c>
      <c r="AS71" s="249">
        <f t="shared" si="55"/>
        <v>0</v>
      </c>
      <c r="AT71" s="249">
        <f t="shared" si="55"/>
        <v>0</v>
      </c>
      <c r="AU71" s="249">
        <f t="shared" si="55"/>
        <v>0</v>
      </c>
      <c r="AV71" s="249">
        <f t="shared" si="55"/>
        <v>0</v>
      </c>
      <c r="AW71" s="249">
        <f t="shared" si="55"/>
        <v>0</v>
      </c>
      <c r="AX71" s="249">
        <f t="shared" si="55"/>
        <v>0</v>
      </c>
      <c r="AY71" s="249">
        <f t="shared" ref="AY71:BC71" si="58">AY112</f>
        <v>0</v>
      </c>
      <c r="AZ71" s="249">
        <f t="shared" si="58"/>
        <v>0</v>
      </c>
      <c r="BA71" s="249">
        <f t="shared" si="58"/>
        <v>0</v>
      </c>
      <c r="BB71" s="249">
        <f t="shared" si="58"/>
        <v>0</v>
      </c>
      <c r="BC71" s="249">
        <f t="shared" si="58"/>
        <v>0</v>
      </c>
      <c r="BD71" s="249">
        <f>BD112</f>
        <v>0</v>
      </c>
      <c r="BE71" s="249">
        <f t="shared" ref="BE71:BF71" si="59">BE112</f>
        <v>0</v>
      </c>
      <c r="BF71" s="249">
        <f t="shared" si="59"/>
        <v>0</v>
      </c>
    </row>
    <row r="72" spans="43:58">
      <c r="AQ72" s="233" t="s">
        <v>515</v>
      </c>
      <c r="AR72" s="249">
        <f t="shared" ref="AR72:AR77" si="60">AR113</f>
        <v>0</v>
      </c>
      <c r="AS72" s="249">
        <f t="shared" ref="AS72:BC72" si="61">AS113</f>
        <v>0</v>
      </c>
      <c r="AT72" s="249">
        <f t="shared" si="61"/>
        <v>0</v>
      </c>
      <c r="AU72" s="249">
        <f t="shared" si="61"/>
        <v>0</v>
      </c>
      <c r="AV72" s="249">
        <f t="shared" si="61"/>
        <v>0</v>
      </c>
      <c r="AW72" s="249">
        <f t="shared" si="61"/>
        <v>0</v>
      </c>
      <c r="AX72" s="249">
        <f t="shared" si="61"/>
        <v>0</v>
      </c>
      <c r="AY72" s="249">
        <f t="shared" si="61"/>
        <v>0</v>
      </c>
      <c r="AZ72" s="249">
        <f t="shared" si="61"/>
        <v>0</v>
      </c>
      <c r="BA72" s="249">
        <f t="shared" si="61"/>
        <v>0</v>
      </c>
      <c r="BB72" s="249">
        <f t="shared" si="61"/>
        <v>0</v>
      </c>
      <c r="BC72" s="249">
        <f t="shared" si="61"/>
        <v>0</v>
      </c>
      <c r="BD72" s="249"/>
      <c r="BE72" s="249">
        <f t="shared" ref="BE72:BF72" si="62">BE113</f>
        <v>0</v>
      </c>
      <c r="BF72" s="249">
        <f t="shared" si="62"/>
        <v>0</v>
      </c>
    </row>
    <row r="73" spans="43:58">
      <c r="AQ73" s="233" t="s">
        <v>517</v>
      </c>
      <c r="AR73" s="249">
        <f t="shared" si="60"/>
        <v>0</v>
      </c>
      <c r="AS73" s="249">
        <f t="shared" ref="AS73:AX77" si="63">AS114</f>
        <v>0</v>
      </c>
      <c r="AT73" s="249">
        <f t="shared" si="63"/>
        <v>0</v>
      </c>
      <c r="AU73" s="249">
        <f t="shared" si="63"/>
        <v>0</v>
      </c>
      <c r="AV73" s="249">
        <f t="shared" si="63"/>
        <v>0</v>
      </c>
      <c r="AW73" s="249">
        <f t="shared" si="63"/>
        <v>0</v>
      </c>
      <c r="AX73" s="249">
        <f t="shared" si="63"/>
        <v>0</v>
      </c>
      <c r="AY73" s="249">
        <f t="shared" ref="AY73:BC73" si="64">AY114</f>
        <v>0</v>
      </c>
      <c r="AZ73" s="249">
        <f t="shared" si="64"/>
        <v>0</v>
      </c>
      <c r="BA73" s="249">
        <f t="shared" si="64"/>
        <v>0</v>
      </c>
      <c r="BB73" s="249">
        <f t="shared" si="64"/>
        <v>0</v>
      </c>
      <c r="BC73" s="249">
        <f t="shared" si="64"/>
        <v>0</v>
      </c>
      <c r="BD73" s="249">
        <f t="shared" ref="BD73" si="65">BD113</f>
        <v>46.099804713468714</v>
      </c>
      <c r="BE73" s="249">
        <f t="shared" ref="BE73:BF73" si="66">BE114</f>
        <v>0</v>
      </c>
      <c r="BF73" s="249">
        <f t="shared" si="66"/>
        <v>32.269863299428096</v>
      </c>
    </row>
    <row r="74" spans="43:58">
      <c r="AQ74" s="233" t="s">
        <v>445</v>
      </c>
      <c r="AR74" s="249">
        <f t="shared" si="60"/>
        <v>0</v>
      </c>
      <c r="AS74" s="249">
        <f t="shared" si="63"/>
        <v>0</v>
      </c>
      <c r="AT74" s="249">
        <f t="shared" si="63"/>
        <v>0</v>
      </c>
      <c r="AU74" s="249">
        <f t="shared" si="63"/>
        <v>0</v>
      </c>
      <c r="AV74" s="249">
        <f t="shared" si="63"/>
        <v>0</v>
      </c>
      <c r="AW74" s="249">
        <f t="shared" si="63"/>
        <v>0</v>
      </c>
      <c r="AX74" s="249">
        <f t="shared" si="63"/>
        <v>0</v>
      </c>
      <c r="AY74" s="249">
        <f t="shared" ref="AY74:BC74" si="67">AY115</f>
        <v>0</v>
      </c>
      <c r="AZ74" s="249">
        <f t="shared" si="67"/>
        <v>0</v>
      </c>
      <c r="BA74" s="249">
        <f t="shared" si="67"/>
        <v>0</v>
      </c>
      <c r="BB74" s="249">
        <f t="shared" si="67"/>
        <v>0</v>
      </c>
      <c r="BC74" s="249">
        <f t="shared" si="67"/>
        <v>0</v>
      </c>
      <c r="BD74" s="249">
        <f t="shared" ref="BD74" si="68">BD114</f>
        <v>0</v>
      </c>
      <c r="BE74" s="249">
        <f t="shared" ref="BE74:BF74" si="69">BE115</f>
        <v>0</v>
      </c>
      <c r="BF74" s="249">
        <f t="shared" si="69"/>
        <v>1314.2879334772852</v>
      </c>
    </row>
    <row r="75" spans="43:58">
      <c r="AQ75" s="233" t="s">
        <v>446</v>
      </c>
      <c r="AR75" s="249">
        <f t="shared" si="60"/>
        <v>0</v>
      </c>
      <c r="AS75" s="249">
        <f t="shared" si="63"/>
        <v>0</v>
      </c>
      <c r="AT75" s="249">
        <f t="shared" si="63"/>
        <v>0</v>
      </c>
      <c r="AU75" s="249">
        <f t="shared" si="63"/>
        <v>0</v>
      </c>
      <c r="AV75" s="249">
        <f t="shared" si="63"/>
        <v>0</v>
      </c>
      <c r="AW75" s="249">
        <f t="shared" si="63"/>
        <v>0</v>
      </c>
      <c r="AX75" s="249">
        <f t="shared" si="63"/>
        <v>0</v>
      </c>
      <c r="AY75" s="249">
        <f t="shared" ref="AY75:BC75" si="70">AY116</f>
        <v>0</v>
      </c>
      <c r="AZ75" s="249">
        <f t="shared" si="70"/>
        <v>0</v>
      </c>
      <c r="BA75" s="249">
        <f t="shared" si="70"/>
        <v>0</v>
      </c>
      <c r="BB75" s="249">
        <f t="shared" si="70"/>
        <v>0</v>
      </c>
      <c r="BC75" s="249">
        <f t="shared" si="70"/>
        <v>0</v>
      </c>
      <c r="BD75" s="249">
        <f t="shared" ref="BD75" si="71">BD115</f>
        <v>0</v>
      </c>
      <c r="BE75" s="249">
        <f t="shared" ref="BE75:BF75" si="72">BE116</f>
        <v>0</v>
      </c>
      <c r="BF75" s="249">
        <f t="shared" si="72"/>
        <v>0</v>
      </c>
    </row>
    <row r="76" spans="43:58">
      <c r="AQ76" s="233" t="s">
        <v>447</v>
      </c>
      <c r="AR76" s="249">
        <f t="shared" si="60"/>
        <v>0</v>
      </c>
      <c r="AS76" s="249">
        <f t="shared" si="63"/>
        <v>0</v>
      </c>
      <c r="AT76" s="249">
        <f t="shared" si="63"/>
        <v>0</v>
      </c>
      <c r="AU76" s="249">
        <f t="shared" si="63"/>
        <v>0</v>
      </c>
      <c r="AV76" s="249">
        <f t="shared" si="63"/>
        <v>0</v>
      </c>
      <c r="AW76" s="249">
        <f t="shared" si="63"/>
        <v>0</v>
      </c>
      <c r="AX76" s="249">
        <f t="shared" si="63"/>
        <v>0</v>
      </c>
      <c r="AY76" s="249">
        <f t="shared" ref="AY76:BC76" si="73">AY117</f>
        <v>0</v>
      </c>
      <c r="AZ76" s="249">
        <f t="shared" si="73"/>
        <v>0</v>
      </c>
      <c r="BA76" s="249">
        <f t="shared" si="73"/>
        <v>0</v>
      </c>
      <c r="BB76" s="249">
        <f t="shared" si="73"/>
        <v>0</v>
      </c>
      <c r="BC76" s="249">
        <f t="shared" si="73"/>
        <v>0</v>
      </c>
      <c r="BD76" s="249">
        <f t="shared" ref="BD76" si="74">BD116</f>
        <v>0</v>
      </c>
      <c r="BE76" s="249">
        <f t="shared" ref="BE76:BF76" si="75">BE117</f>
        <v>0</v>
      </c>
      <c r="BF76" s="249">
        <f t="shared" si="75"/>
        <v>0</v>
      </c>
    </row>
    <row r="77" spans="43:58">
      <c r="AQ77" s="233" t="s">
        <v>457</v>
      </c>
      <c r="AR77" s="249">
        <f t="shared" si="60"/>
        <v>0</v>
      </c>
      <c r="AS77" s="249">
        <f t="shared" si="63"/>
        <v>0</v>
      </c>
      <c r="AT77" s="249">
        <f t="shared" si="63"/>
        <v>0</v>
      </c>
      <c r="AU77" s="249">
        <f t="shared" si="63"/>
        <v>0</v>
      </c>
      <c r="AV77" s="249">
        <f t="shared" si="63"/>
        <v>0</v>
      </c>
      <c r="AW77" s="249">
        <f t="shared" si="63"/>
        <v>0</v>
      </c>
      <c r="AX77" s="249">
        <f t="shared" si="63"/>
        <v>0</v>
      </c>
      <c r="AY77" s="249">
        <f t="shared" ref="AY77:BC77" si="76">AY118</f>
        <v>0</v>
      </c>
      <c r="AZ77" s="249">
        <f t="shared" si="76"/>
        <v>0</v>
      </c>
      <c r="BA77" s="249">
        <f t="shared" si="76"/>
        <v>0</v>
      </c>
      <c r="BB77" s="249">
        <f t="shared" si="76"/>
        <v>0</v>
      </c>
      <c r="BC77" s="249">
        <f t="shared" si="76"/>
        <v>0</v>
      </c>
      <c r="BD77" s="249">
        <f t="shared" ref="BD77" si="77">BD117</f>
        <v>0</v>
      </c>
      <c r="BE77" s="249">
        <f t="shared" ref="BE77:BF77" si="78">BE118</f>
        <v>0</v>
      </c>
      <c r="BF77" s="249">
        <f t="shared" si="78"/>
        <v>0</v>
      </c>
    </row>
    <row r="78" spans="43:58">
      <c r="AQ78" s="233"/>
      <c r="AR78" s="390" t="s">
        <v>472</v>
      </c>
      <c r="AS78" s="390"/>
      <c r="AT78" s="390"/>
      <c r="AU78" s="390"/>
      <c r="AV78" s="390"/>
      <c r="AW78" s="390"/>
      <c r="AX78" s="390"/>
      <c r="AY78" s="390"/>
      <c r="AZ78" s="390"/>
      <c r="BA78" s="390"/>
      <c r="BB78" s="390"/>
      <c r="BC78" s="390"/>
      <c r="BD78" s="390"/>
      <c r="BE78" s="390"/>
      <c r="BF78" s="390"/>
    </row>
    <row r="82" spans="33:66" ht="112.05" customHeight="1">
      <c r="AG82" s="134"/>
      <c r="AH82" s="134"/>
      <c r="AQ82" s="248"/>
      <c r="AR82" s="234" t="s">
        <v>325</v>
      </c>
      <c r="AS82" s="234" t="s">
        <v>326</v>
      </c>
      <c r="AT82" s="234" t="s">
        <v>327</v>
      </c>
      <c r="AU82" s="234" t="s">
        <v>455</v>
      </c>
      <c r="AV82" s="234" t="s">
        <v>435</v>
      </c>
      <c r="AW82" s="234" t="s">
        <v>434</v>
      </c>
      <c r="AX82" s="234" t="s">
        <v>351</v>
      </c>
      <c r="AY82" s="234" t="s">
        <v>348</v>
      </c>
      <c r="AZ82" s="234" t="s">
        <v>362</v>
      </c>
      <c r="BA82" s="234" t="s">
        <v>349</v>
      </c>
      <c r="BB82" s="234" t="s">
        <v>344</v>
      </c>
      <c r="BC82" s="234" t="s">
        <v>514</v>
      </c>
      <c r="BD82" s="234" t="s">
        <v>516</v>
      </c>
      <c r="BE82" s="234" t="s">
        <v>76</v>
      </c>
      <c r="BF82" s="234" t="s">
        <v>337</v>
      </c>
      <c r="BK82" s="234"/>
      <c r="BL82" s="234" t="s">
        <v>331</v>
      </c>
      <c r="BM82" s="234" t="s">
        <v>279</v>
      </c>
    </row>
    <row r="83" spans="33:66">
      <c r="AG83" s="134"/>
      <c r="AH83" s="134"/>
      <c r="AQ83" s="134" t="s">
        <v>333</v>
      </c>
      <c r="AR83" s="237">
        <f>Ore_to_PI!AN42</f>
        <v>1011.7674660019052</v>
      </c>
      <c r="AS83" s="237"/>
      <c r="AT83" s="237"/>
      <c r="AU83" s="237"/>
      <c r="AV83" s="237"/>
      <c r="AW83" s="237"/>
      <c r="AX83" s="237"/>
      <c r="AY83" s="237"/>
      <c r="AZ83" s="237"/>
      <c r="BA83" s="237"/>
      <c r="BB83" s="237"/>
      <c r="BC83" s="237"/>
      <c r="BD83" s="237"/>
      <c r="BE83" s="237"/>
      <c r="BF83" s="237"/>
      <c r="BG83" s="246">
        <f t="shared" ref="BG83:BG118" si="79">SUM(AR83:BF83)</f>
        <v>1011.7674660019052</v>
      </c>
      <c r="BK83" s="134" t="s">
        <v>333</v>
      </c>
      <c r="BL83" s="240"/>
      <c r="BM83" s="240"/>
      <c r="BN83" s="246">
        <f>SUM(BL83:BM83)</f>
        <v>0</v>
      </c>
    </row>
    <row r="84" spans="33:66">
      <c r="AG84" s="134"/>
      <c r="AH84" s="134"/>
      <c r="AQ84" s="134" t="s">
        <v>335</v>
      </c>
      <c r="AR84" s="237"/>
      <c r="AS84" s="237">
        <f>Ore_to_PI!U126</f>
        <v>208.55560337725498</v>
      </c>
      <c r="AT84" s="237"/>
      <c r="AU84" s="237"/>
      <c r="AV84" s="237"/>
      <c r="AW84" s="237"/>
      <c r="AX84" s="237"/>
      <c r="AY84" s="237"/>
      <c r="AZ84" s="237"/>
      <c r="BA84" s="237"/>
      <c r="BB84" s="237"/>
      <c r="BC84" s="237"/>
      <c r="BD84" s="237"/>
      <c r="BE84" s="237"/>
      <c r="BF84" s="237"/>
      <c r="BG84" s="246">
        <f t="shared" si="79"/>
        <v>208.55560337725498</v>
      </c>
      <c r="BK84" s="134" t="s">
        <v>335</v>
      </c>
      <c r="BL84" s="240"/>
      <c r="BM84" s="240"/>
      <c r="BN84" s="246">
        <f>SUM(BL84:BM84)</f>
        <v>0</v>
      </c>
    </row>
    <row r="85" spans="33:66">
      <c r="AG85" s="134"/>
      <c r="AH85" s="134"/>
      <c r="AQ85" s="134" t="s">
        <v>336</v>
      </c>
      <c r="AR85" s="237"/>
      <c r="AS85" s="237"/>
      <c r="AT85" s="237">
        <f>Ore_to_PI!U206</f>
        <v>298.6148747230165</v>
      </c>
      <c r="AU85" s="237"/>
      <c r="AV85" s="237"/>
      <c r="AW85" s="237"/>
      <c r="AX85" s="237"/>
      <c r="AY85" s="237"/>
      <c r="AZ85" s="237"/>
      <c r="BA85" s="237"/>
      <c r="BB85" s="237"/>
      <c r="BC85" s="237"/>
      <c r="BD85" s="237"/>
      <c r="BE85" s="237"/>
      <c r="BF85" s="237"/>
      <c r="BG85" s="246">
        <f t="shared" si="79"/>
        <v>298.6148747230165</v>
      </c>
      <c r="BK85" s="134" t="s">
        <v>336</v>
      </c>
      <c r="BL85" s="240"/>
      <c r="BM85" s="240"/>
      <c r="BN85" s="246">
        <f>SUM(BL85:BM85)</f>
        <v>0</v>
      </c>
    </row>
    <row r="86" spans="33:66">
      <c r="AG86" s="134"/>
      <c r="AH86" s="134"/>
      <c r="AQ86" s="134" t="s">
        <v>355</v>
      </c>
      <c r="AR86" s="237">
        <f>Ore_to_PI!U72</f>
        <v>30.150427560669065</v>
      </c>
      <c r="AS86" s="237">
        <f>Ore_to_PI!U163</f>
        <v>9.0394269236644703E-2</v>
      </c>
      <c r="AT86" s="237">
        <f>Ore_to_PI!U236</f>
        <v>7.4647476716394348</v>
      </c>
      <c r="AU86" s="237"/>
      <c r="AV86" s="237"/>
      <c r="AW86" s="237"/>
      <c r="AX86" s="237"/>
      <c r="AY86" s="237"/>
      <c r="AZ86" s="237"/>
      <c r="BA86" s="237">
        <f>Ore_to_PI!CA140</f>
        <v>644.2421909044931</v>
      </c>
      <c r="BB86" s="237">
        <f>Ore_to_PI!CA232</f>
        <v>3494.7460959815226</v>
      </c>
      <c r="BC86" s="237"/>
      <c r="BD86" s="237"/>
      <c r="BE86" s="237"/>
      <c r="BF86" s="239">
        <f>Ore_to_PI!EL140</f>
        <v>2852.0490535886452</v>
      </c>
      <c r="BG86" s="246">
        <f t="shared" si="79"/>
        <v>7028.7429099762066</v>
      </c>
      <c r="BK86" s="134" t="s">
        <v>355</v>
      </c>
      <c r="BL86" s="240"/>
      <c r="BM86" s="240"/>
      <c r="BN86" s="246">
        <f t="shared" ref="BN86:BN90" si="80">SUM(BL86:BM86)</f>
        <v>0</v>
      </c>
    </row>
    <row r="87" spans="33:66">
      <c r="AG87" s="134"/>
      <c r="AH87" s="134"/>
      <c r="AQ87" s="134" t="s">
        <v>377</v>
      </c>
      <c r="AR87" s="237"/>
      <c r="AS87" s="237"/>
      <c r="AT87" s="237"/>
      <c r="AU87" s="237"/>
      <c r="AV87" s="237"/>
      <c r="AW87" s="237"/>
      <c r="AX87" s="237"/>
      <c r="AY87" s="237"/>
      <c r="AZ87" s="237"/>
      <c r="BA87" s="237">
        <f>Ore_to_PI!CA152</f>
        <v>37.630021206323519</v>
      </c>
      <c r="BB87" s="237">
        <f>Ore_to_PI!CA244</f>
        <v>204.127223518021</v>
      </c>
      <c r="BC87" s="237"/>
      <c r="BD87" s="237"/>
      <c r="BE87" s="237"/>
      <c r="BF87" s="237">
        <f>Ore_to_PI!EL114</f>
        <v>44.927545117863247</v>
      </c>
      <c r="BG87" s="246">
        <f t="shared" si="79"/>
        <v>286.68478984220775</v>
      </c>
      <c r="BK87" s="134" t="s">
        <v>377</v>
      </c>
      <c r="BL87" s="240"/>
      <c r="BM87" s="240"/>
      <c r="BN87" s="246">
        <f t="shared" si="80"/>
        <v>0</v>
      </c>
    </row>
    <row r="88" spans="33:66">
      <c r="AG88" s="134"/>
      <c r="AH88" s="134"/>
      <c r="AQ88" s="134" t="s">
        <v>466</v>
      </c>
      <c r="AR88" s="237">
        <f>Ore_to_PI!U59</f>
        <v>2.0694989883749622</v>
      </c>
      <c r="AS88" s="237">
        <f>Ore_to_PI!U140</f>
        <v>5.671161105764883E-3</v>
      </c>
      <c r="AT88" s="237">
        <f>Ore_to_PI!U222</f>
        <v>0.51237375403207552</v>
      </c>
      <c r="AU88" s="237"/>
      <c r="AV88" s="237"/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46">
        <f t="shared" si="79"/>
        <v>2.5875439035128025</v>
      </c>
      <c r="BK88" s="134" t="s">
        <v>466</v>
      </c>
      <c r="BL88" s="240"/>
      <c r="BM88" s="240"/>
      <c r="BN88" s="246">
        <f t="shared" si="80"/>
        <v>0</v>
      </c>
    </row>
    <row r="89" spans="33:66">
      <c r="AG89" s="134"/>
      <c r="AH89" s="134"/>
      <c r="AQ89" s="134" t="s">
        <v>467</v>
      </c>
      <c r="AR89" s="237"/>
      <c r="AS89" s="237">
        <f>Ore_to_PI!U151</f>
        <v>5.1714158616864253E-4</v>
      </c>
      <c r="AT89" s="237"/>
      <c r="AU89" s="237"/>
      <c r="AV89" s="237"/>
      <c r="AW89" s="237"/>
      <c r="AX89" s="237"/>
      <c r="AY89" s="237"/>
      <c r="AZ89" s="237"/>
      <c r="BA89" s="237"/>
      <c r="BB89" s="237"/>
      <c r="BC89" s="237"/>
      <c r="BD89" s="237"/>
      <c r="BE89" s="237"/>
      <c r="BF89" s="237"/>
      <c r="BG89" s="246">
        <f t="shared" si="79"/>
        <v>5.1714158616864253E-4</v>
      </c>
      <c r="BK89" s="134" t="s">
        <v>467</v>
      </c>
      <c r="BL89" s="240"/>
      <c r="BM89" s="240"/>
      <c r="BN89" s="246">
        <f t="shared" si="80"/>
        <v>0</v>
      </c>
    </row>
    <row r="90" spans="33:66">
      <c r="AG90" s="134"/>
      <c r="AH90" s="134"/>
      <c r="AQ90" s="134" t="s">
        <v>411</v>
      </c>
      <c r="AR90" s="237"/>
      <c r="AS90" s="237"/>
      <c r="AT90" s="237"/>
      <c r="AU90" s="237"/>
      <c r="AV90" s="237"/>
      <c r="AW90" s="237"/>
      <c r="AX90" s="237"/>
      <c r="AY90" s="237"/>
      <c r="AZ90" s="237"/>
      <c r="BA90" s="237"/>
      <c r="BB90" s="237"/>
      <c r="BC90" s="237"/>
      <c r="BD90" s="237"/>
      <c r="BE90" s="237"/>
      <c r="BF90" s="237">
        <f>Ore_to_PI!EL101</f>
        <v>4.914718171980665</v>
      </c>
      <c r="BG90" s="246">
        <f t="shared" si="79"/>
        <v>4.914718171980665</v>
      </c>
      <c r="BK90" s="134" t="s">
        <v>411</v>
      </c>
      <c r="BL90" s="240"/>
      <c r="BM90" s="240"/>
      <c r="BN90" s="246">
        <f t="shared" si="80"/>
        <v>0</v>
      </c>
    </row>
    <row r="91" spans="33:66">
      <c r="AG91" s="242"/>
      <c r="AH91" s="242"/>
      <c r="AQ91" s="134" t="s">
        <v>459</v>
      </c>
      <c r="AR91" s="237"/>
      <c r="AS91" s="237"/>
      <c r="AT91" s="237">
        <v>0</v>
      </c>
      <c r="AU91" s="237">
        <v>0</v>
      </c>
      <c r="AV91" s="237">
        <v>0</v>
      </c>
      <c r="AW91" s="237">
        <v>0</v>
      </c>
      <c r="AX91" s="237">
        <v>0</v>
      </c>
      <c r="AY91" s="237">
        <v>0</v>
      </c>
      <c r="AZ91" s="237">
        <v>0</v>
      </c>
      <c r="BA91" s="237"/>
      <c r="BB91" s="237"/>
      <c r="BC91" s="237">
        <v>0</v>
      </c>
      <c r="BD91" s="237"/>
      <c r="BE91" s="237"/>
      <c r="BF91" s="237">
        <v>0</v>
      </c>
      <c r="BG91" s="246">
        <f t="shared" si="79"/>
        <v>0</v>
      </c>
      <c r="BK91" s="134" t="s">
        <v>459</v>
      </c>
      <c r="BL91" s="240"/>
      <c r="BM91" s="240"/>
      <c r="BN91" s="246">
        <f t="shared" ref="BN91:BN97" si="81">SUM(BL91:BM91)</f>
        <v>0</v>
      </c>
    </row>
    <row r="92" spans="33:66" ht="16.05" customHeight="1">
      <c r="AG92" s="232"/>
      <c r="AH92" s="232"/>
      <c r="AQ92" s="232" t="s">
        <v>442</v>
      </c>
      <c r="AR92" s="237"/>
      <c r="AS92" s="237"/>
      <c r="AT92" s="237"/>
      <c r="AU92" s="237">
        <f>Ore_to_PI!AN42</f>
        <v>1011.7674660019052</v>
      </c>
      <c r="AV92" s="237"/>
      <c r="AW92" s="237"/>
      <c r="AX92" s="237"/>
      <c r="AY92" s="237"/>
      <c r="AZ92" s="237"/>
      <c r="BA92" s="237"/>
      <c r="BB92" s="237"/>
      <c r="BC92" s="237"/>
      <c r="BD92" s="237"/>
      <c r="BE92" s="237"/>
      <c r="BF92" s="237"/>
      <c r="BG92" s="246">
        <f t="shared" si="79"/>
        <v>1011.7674660019052</v>
      </c>
      <c r="BK92" s="232" t="s">
        <v>442</v>
      </c>
      <c r="BL92" s="240"/>
      <c r="BM92" s="240"/>
      <c r="BN92" s="246">
        <f t="shared" si="81"/>
        <v>0</v>
      </c>
    </row>
    <row r="93" spans="33:66">
      <c r="AG93" s="233"/>
      <c r="AH93" s="233"/>
      <c r="AQ93" s="134" t="s">
        <v>409</v>
      </c>
      <c r="AR93" s="237"/>
      <c r="AS93" s="237"/>
      <c r="AT93" s="237"/>
      <c r="AU93" s="237"/>
      <c r="AV93" s="237"/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46">
        <f t="shared" si="79"/>
        <v>0</v>
      </c>
      <c r="BK93" s="134" t="s">
        <v>409</v>
      </c>
      <c r="BL93" s="240"/>
      <c r="BM93" s="240">
        <f>Ore_to_PI!AN63</f>
        <v>32.219926549044033</v>
      </c>
      <c r="BN93" s="246">
        <f t="shared" si="81"/>
        <v>32.219926549044033</v>
      </c>
    </row>
    <row r="94" spans="33:66" ht="16.05" customHeight="1">
      <c r="AG94" s="233"/>
      <c r="AH94" s="233"/>
      <c r="AQ94" s="232" t="s">
        <v>412</v>
      </c>
      <c r="AR94" s="237"/>
      <c r="AS94" s="237"/>
      <c r="AT94" s="237"/>
      <c r="AU94" s="237"/>
      <c r="AV94" s="237">
        <f>Ore_to_PI!AO126</f>
        <v>208.55560337725498</v>
      </c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46">
        <f t="shared" si="79"/>
        <v>208.55560337725498</v>
      </c>
      <c r="BK94" s="232" t="s">
        <v>412</v>
      </c>
      <c r="BL94" s="240"/>
      <c r="BM94" s="244"/>
      <c r="BN94" s="246">
        <f t="shared" si="81"/>
        <v>0</v>
      </c>
    </row>
    <row r="95" spans="33:66">
      <c r="AG95" s="233"/>
      <c r="AH95" s="233"/>
      <c r="AQ95" s="134" t="s">
        <v>437</v>
      </c>
      <c r="AR95" s="237"/>
      <c r="AS95" s="237"/>
      <c r="AT95" s="237"/>
      <c r="AU95" s="237"/>
      <c r="AV95" s="237"/>
      <c r="AW95" s="237"/>
      <c r="AX95" s="237"/>
      <c r="AY95" s="237"/>
      <c r="AZ95" s="237"/>
      <c r="BA95" s="237"/>
      <c r="BB95" s="237"/>
      <c r="BC95" s="237"/>
      <c r="BD95" s="237"/>
      <c r="BE95" s="239"/>
      <c r="BF95" s="237"/>
      <c r="BG95" s="246">
        <f t="shared" si="79"/>
        <v>0</v>
      </c>
      <c r="BK95" s="134" t="s">
        <v>437</v>
      </c>
      <c r="BL95" s="240"/>
      <c r="BM95" s="240">
        <f>Ore_to_PI!AO142</f>
        <v>9.658257192857822E-2</v>
      </c>
      <c r="BN95" s="246">
        <f t="shared" si="81"/>
        <v>9.658257192857822E-2</v>
      </c>
    </row>
    <row r="96" spans="33:66">
      <c r="AG96" s="233"/>
      <c r="AH96" s="233"/>
      <c r="AQ96" s="233" t="s">
        <v>430</v>
      </c>
      <c r="AR96" s="237"/>
      <c r="AS96" s="237"/>
      <c r="AT96" s="237"/>
      <c r="AU96" s="237"/>
      <c r="AV96" s="237"/>
      <c r="AW96" s="237">
        <f>Ore_to_PI!AO206</f>
        <v>298.6148747230165</v>
      </c>
      <c r="AX96" s="237"/>
      <c r="AY96" s="237"/>
      <c r="AZ96" s="237"/>
      <c r="BA96" s="237"/>
      <c r="BB96" s="237"/>
      <c r="BC96" s="237"/>
      <c r="BD96" s="237"/>
      <c r="BE96" s="237"/>
      <c r="BF96" s="239"/>
      <c r="BG96" s="246">
        <f t="shared" si="79"/>
        <v>298.6148747230165</v>
      </c>
      <c r="BK96" s="233" t="s">
        <v>430</v>
      </c>
      <c r="BL96" s="240"/>
      <c r="BM96" s="240"/>
      <c r="BN96" s="246">
        <f t="shared" si="81"/>
        <v>0</v>
      </c>
    </row>
    <row r="97" spans="33:71">
      <c r="AG97" s="233"/>
      <c r="AH97" s="233"/>
      <c r="AQ97" s="134" t="s">
        <v>416</v>
      </c>
      <c r="AR97" s="237"/>
      <c r="AS97" s="237"/>
      <c r="AT97" s="237"/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46">
        <f t="shared" si="79"/>
        <v>0</v>
      </c>
      <c r="BK97" s="134" t="s">
        <v>416</v>
      </c>
      <c r="BL97" s="240"/>
      <c r="BM97" s="240">
        <f>Ore_to_PI!AO227</f>
        <v>7.9771214256715108</v>
      </c>
      <c r="BN97" s="246">
        <f t="shared" si="81"/>
        <v>7.9771214256715108</v>
      </c>
      <c r="BO97" s="52"/>
      <c r="BP97" s="52"/>
      <c r="BQ97" s="52"/>
      <c r="BR97" s="52"/>
      <c r="BS97" s="52"/>
    </row>
    <row r="98" spans="33:71" ht="16.05" customHeight="1">
      <c r="AG98" s="233"/>
      <c r="AH98" s="233"/>
      <c r="AQ98" s="232" t="s">
        <v>441</v>
      </c>
      <c r="AR98" s="237"/>
      <c r="AS98" s="237"/>
      <c r="AT98" s="237"/>
      <c r="AU98" s="237"/>
      <c r="AV98" s="237"/>
      <c r="AW98" s="237"/>
      <c r="AX98" s="237">
        <f>Ore_to_PI!BG42</f>
        <v>1011.7674660019052</v>
      </c>
      <c r="AY98" s="237"/>
      <c r="AZ98" s="237"/>
      <c r="BA98" s="237"/>
      <c r="BB98" s="237"/>
      <c r="BC98" s="237"/>
      <c r="BD98" s="237"/>
      <c r="BE98" s="237"/>
      <c r="BF98" s="237"/>
      <c r="BG98" s="246">
        <f t="shared" si="79"/>
        <v>1011.7674660019052</v>
      </c>
      <c r="BK98" s="232" t="s">
        <v>441</v>
      </c>
      <c r="BL98" s="240"/>
      <c r="BM98" s="240"/>
      <c r="BN98" s="246">
        <f t="shared" ref="BN98:BN118" si="82">SUM(BL98:BM98)</f>
        <v>0</v>
      </c>
    </row>
    <row r="99" spans="33:71" ht="16.05" customHeight="1">
      <c r="AG99" s="233"/>
      <c r="AH99" s="233"/>
      <c r="AQ99" s="232" t="s">
        <v>436</v>
      </c>
      <c r="AR99" s="237"/>
      <c r="AS99" s="237"/>
      <c r="AT99" s="237"/>
      <c r="AU99" s="237"/>
      <c r="AV99" s="237"/>
      <c r="AW99" s="237"/>
      <c r="AX99" s="237"/>
      <c r="AY99" s="237">
        <f>Ore_to_PI!BH126</f>
        <v>208.55560337725498</v>
      </c>
      <c r="AZ99" s="237"/>
      <c r="BA99" s="237"/>
      <c r="BB99" s="237"/>
      <c r="BC99" s="237"/>
      <c r="BD99" s="237"/>
      <c r="BE99" s="237"/>
      <c r="BF99" s="237"/>
      <c r="BG99" s="246">
        <f t="shared" si="79"/>
        <v>208.55560337725498</v>
      </c>
      <c r="BK99" s="232" t="s">
        <v>436</v>
      </c>
      <c r="BL99" s="240"/>
      <c r="BM99" s="240"/>
      <c r="BN99" s="246">
        <f t="shared" si="82"/>
        <v>0</v>
      </c>
    </row>
    <row r="100" spans="33:71" ht="16.05" customHeight="1">
      <c r="AG100" s="247"/>
      <c r="AH100" s="247"/>
      <c r="AQ100" s="232" t="s">
        <v>433</v>
      </c>
      <c r="AR100" s="237"/>
      <c r="AS100" s="237"/>
      <c r="AT100" s="237"/>
      <c r="AU100" s="237"/>
      <c r="AV100" s="237"/>
      <c r="AW100" s="237"/>
      <c r="AX100" s="237"/>
      <c r="AY100" s="237"/>
      <c r="AZ100" s="237">
        <f>Ore_to_PI!BH206</f>
        <v>298.6148747230165</v>
      </c>
      <c r="BA100" s="237"/>
      <c r="BB100" s="237"/>
      <c r="BC100" s="237"/>
      <c r="BD100" s="237"/>
      <c r="BE100" s="237"/>
      <c r="BF100" s="237"/>
      <c r="BG100" s="246">
        <f t="shared" si="79"/>
        <v>298.6148747230165</v>
      </c>
      <c r="BK100" s="232" t="s">
        <v>433</v>
      </c>
      <c r="BL100" s="240"/>
      <c r="BM100" s="240"/>
      <c r="BN100" s="246">
        <f t="shared" si="82"/>
        <v>0</v>
      </c>
    </row>
    <row r="101" spans="33:71" ht="16.05" customHeight="1">
      <c r="AG101" s="233"/>
      <c r="AH101" s="233"/>
      <c r="AQ101" s="232" t="s">
        <v>439</v>
      </c>
      <c r="AR101" s="237"/>
      <c r="AS101" s="237"/>
      <c r="AT101" s="237"/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>
        <f>Ore_to_PI!BZ42</f>
        <v>1000.0000000000001</v>
      </c>
      <c r="BF101" s="237"/>
      <c r="BG101" s="246">
        <f t="shared" si="79"/>
        <v>1000.0000000000001</v>
      </c>
      <c r="BH101" s="52"/>
      <c r="BI101" s="52"/>
      <c r="BK101" s="232" t="s">
        <v>439</v>
      </c>
      <c r="BL101" s="240"/>
      <c r="BM101" s="240"/>
      <c r="BN101" s="246">
        <f t="shared" si="82"/>
        <v>0</v>
      </c>
    </row>
    <row r="102" spans="33:71">
      <c r="AG102" s="233"/>
      <c r="AH102" s="233"/>
      <c r="AQ102" s="233" t="s">
        <v>438</v>
      </c>
      <c r="AR102" s="237"/>
      <c r="AS102" s="237"/>
      <c r="AT102" s="237"/>
      <c r="AU102" s="237"/>
      <c r="AV102" s="237"/>
      <c r="AW102" s="237"/>
      <c r="AX102" s="237"/>
      <c r="AY102" s="237"/>
      <c r="AZ102" s="237"/>
      <c r="BA102" s="237"/>
      <c r="BB102" s="237"/>
      <c r="BC102" s="237"/>
      <c r="BD102" s="237"/>
      <c r="BE102" s="237"/>
      <c r="BF102" s="239"/>
      <c r="BG102" s="246">
        <f t="shared" si="79"/>
        <v>0</v>
      </c>
      <c r="BK102" s="233" t="s">
        <v>438</v>
      </c>
      <c r="BL102" s="240"/>
      <c r="BM102" s="240">
        <f>Beneficiation_Iron_waste</f>
        <v>11.767466001905108</v>
      </c>
      <c r="BN102" s="246">
        <f t="shared" si="82"/>
        <v>11.767466001905108</v>
      </c>
    </row>
    <row r="103" spans="33:71">
      <c r="AG103" s="233"/>
      <c r="AH103" s="233"/>
      <c r="AQ103" s="233" t="s">
        <v>424</v>
      </c>
      <c r="AR103" s="237"/>
      <c r="AS103" s="237"/>
      <c r="AT103" s="237"/>
      <c r="AU103" s="237"/>
      <c r="AV103" s="237"/>
      <c r="AW103" s="237"/>
      <c r="AX103" s="237"/>
      <c r="AY103" s="237"/>
      <c r="AZ103" s="237"/>
      <c r="BA103" s="237">
        <f>Ore_to_PI!CA126</f>
        <v>208.55560337725498</v>
      </c>
      <c r="BB103" s="237"/>
      <c r="BC103" s="237"/>
      <c r="BD103" s="237"/>
      <c r="BE103" s="237"/>
      <c r="BF103" s="237"/>
      <c r="BG103" s="246">
        <f t="shared" si="79"/>
        <v>208.55560337725498</v>
      </c>
      <c r="BK103" s="233" t="s">
        <v>424</v>
      </c>
      <c r="BL103" s="240"/>
      <c r="BM103" s="240"/>
      <c r="BN103" s="246">
        <f t="shared" si="82"/>
        <v>0</v>
      </c>
    </row>
    <row r="104" spans="33:71">
      <c r="AG104" s="233"/>
      <c r="AH104" s="233"/>
      <c r="AQ104" s="233" t="s">
        <v>456</v>
      </c>
      <c r="AR104" s="237"/>
      <c r="AS104" s="237"/>
      <c r="AT104" s="237"/>
      <c r="AU104" s="237"/>
      <c r="AV104" s="237"/>
      <c r="AW104" s="237"/>
      <c r="AX104" s="237"/>
      <c r="AY104" s="237"/>
      <c r="AZ104" s="237"/>
      <c r="BA104" s="237"/>
      <c r="BB104" s="237">
        <f>Ore_to_PI!CA206</f>
        <v>298.6148747230165</v>
      </c>
      <c r="BC104" s="237"/>
      <c r="BD104" s="237"/>
      <c r="BE104" s="237"/>
      <c r="BF104" s="237"/>
      <c r="BG104" s="246">
        <f t="shared" si="79"/>
        <v>298.6148747230165</v>
      </c>
      <c r="BK104" s="233" t="s">
        <v>456</v>
      </c>
      <c r="BL104" s="240"/>
      <c r="BM104" s="240"/>
      <c r="BN104" s="246">
        <f t="shared" si="82"/>
        <v>0</v>
      </c>
    </row>
    <row r="105" spans="33:71">
      <c r="AG105" s="233"/>
      <c r="AH105" s="233"/>
      <c r="AQ105" s="233" t="s">
        <v>425</v>
      </c>
      <c r="AR105" s="237"/>
      <c r="AS105" s="237"/>
      <c r="AT105" s="237"/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>
        <f>Ore_to_PI!CV126</f>
        <v>111.00813284002646</v>
      </c>
      <c r="BF105" s="237"/>
      <c r="BG105" s="246">
        <f t="shared" si="79"/>
        <v>111.00813284002646</v>
      </c>
      <c r="BK105" s="233" t="s">
        <v>425</v>
      </c>
      <c r="BL105" s="240"/>
      <c r="BM105" s="240"/>
      <c r="BN105" s="246">
        <f t="shared" si="82"/>
        <v>0</v>
      </c>
    </row>
    <row r="106" spans="33:71">
      <c r="AG106" s="233"/>
      <c r="AH106" s="233"/>
      <c r="AQ106" s="233" t="s">
        <v>427</v>
      </c>
      <c r="AR106" s="237"/>
      <c r="AS106" s="237"/>
      <c r="AT106" s="237"/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9"/>
      <c r="BG106" s="246">
        <f t="shared" si="79"/>
        <v>0</v>
      </c>
      <c r="BK106" s="233" t="s">
        <v>427</v>
      </c>
      <c r="BL106" s="240"/>
      <c r="BM106" s="240">
        <f>Kiln_SolidWaste</f>
        <v>4.9847525450981189</v>
      </c>
      <c r="BN106" s="246">
        <f t="shared" si="82"/>
        <v>4.9847525450981189</v>
      </c>
    </row>
    <row r="107" spans="33:71">
      <c r="AG107" s="233"/>
      <c r="AH107" s="233"/>
      <c r="AQ107" s="233" t="s">
        <v>426</v>
      </c>
      <c r="AR107" s="237"/>
      <c r="AS107" s="237"/>
      <c r="AT107" s="237"/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/>
      <c r="BE107" s="237"/>
      <c r="BF107" s="237"/>
      <c r="BG107" s="246">
        <f t="shared" si="79"/>
        <v>0</v>
      </c>
      <c r="BK107" s="233" t="s">
        <v>426</v>
      </c>
      <c r="BL107" s="240"/>
      <c r="BM107" s="240">
        <f>Ore_to_PI!CV138</f>
        <v>774.43493010294708</v>
      </c>
      <c r="BN107" s="246">
        <f t="shared" si="82"/>
        <v>774.43493010294708</v>
      </c>
    </row>
    <row r="108" spans="33:71">
      <c r="AG108" s="233"/>
      <c r="AH108" s="233"/>
      <c r="AQ108" s="233" t="s">
        <v>484</v>
      </c>
      <c r="AR108" s="237"/>
      <c r="AS108" s="237"/>
      <c r="AT108" s="237"/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Ore_to_PI!CV206</f>
        <v>203.27980063725872</v>
      </c>
      <c r="BF108" s="237"/>
      <c r="BG108" s="246">
        <f t="shared" si="79"/>
        <v>203.27980063725872</v>
      </c>
      <c r="BK108" s="233" t="s">
        <v>484</v>
      </c>
      <c r="BL108" s="240"/>
      <c r="BM108" s="240"/>
      <c r="BN108" s="246">
        <f t="shared" si="82"/>
        <v>0</v>
      </c>
    </row>
    <row r="109" spans="33:71" ht="16.05" customHeight="1">
      <c r="AG109" s="233"/>
      <c r="AH109" s="233"/>
      <c r="AQ109" s="247" t="s">
        <v>422</v>
      </c>
      <c r="AR109" s="237"/>
      <c r="AS109" s="237"/>
      <c r="AT109" s="237"/>
      <c r="AU109" s="237"/>
      <c r="AV109" s="237"/>
      <c r="AW109" s="237"/>
      <c r="AX109" s="237"/>
      <c r="AY109" s="237"/>
      <c r="AZ109" s="237"/>
      <c r="BA109" s="237"/>
      <c r="BB109" s="237"/>
      <c r="BC109" s="237">
        <f>Ore_to_PI!CV234</f>
        <v>46.0998047134687</v>
      </c>
      <c r="BD109" s="237"/>
      <c r="BE109" s="237"/>
      <c r="BF109" s="237"/>
      <c r="BG109" s="246">
        <f t="shared" si="79"/>
        <v>46.0998047134687</v>
      </c>
      <c r="BK109" s="247" t="s">
        <v>422</v>
      </c>
      <c r="BL109" s="240"/>
      <c r="BM109" s="240"/>
      <c r="BN109" s="246">
        <f t="shared" si="82"/>
        <v>0</v>
      </c>
    </row>
    <row r="110" spans="33:71" ht="16.05" customHeight="1">
      <c r="AG110" s="233"/>
      <c r="AH110" s="233"/>
      <c r="AQ110" s="247" t="s">
        <v>552</v>
      </c>
      <c r="AR110" s="237"/>
      <c r="AS110" s="237"/>
      <c r="AT110" s="237"/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46">
        <f t="shared" si="79"/>
        <v>0</v>
      </c>
      <c r="BK110" s="247" t="s">
        <v>552</v>
      </c>
      <c r="BL110" s="240"/>
      <c r="BM110" s="240">
        <f>Ore_to_PI!CV267</f>
        <v>23.982067525572877</v>
      </c>
      <c r="BN110" s="246">
        <f t="shared" si="82"/>
        <v>23.982067525572877</v>
      </c>
    </row>
    <row r="111" spans="33:71">
      <c r="AG111" s="233"/>
      <c r="AH111" s="233"/>
      <c r="AQ111" s="233" t="s">
        <v>421</v>
      </c>
      <c r="AR111" s="237"/>
      <c r="AS111" s="237"/>
      <c r="AT111" s="237"/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46">
        <f t="shared" si="79"/>
        <v>0</v>
      </c>
      <c r="BK111" s="233" t="s">
        <v>421</v>
      </c>
      <c r="BL111" s="240"/>
      <c r="BM111" s="240">
        <f>Beneficiation_CoalWaste</f>
        <v>25.253201846716312</v>
      </c>
      <c r="BN111" s="246">
        <f t="shared" si="82"/>
        <v>25.253201846716312</v>
      </c>
    </row>
    <row r="112" spans="33:71">
      <c r="AG112" s="233"/>
      <c r="AH112" s="233"/>
      <c r="AQ112" s="134" t="s">
        <v>423</v>
      </c>
      <c r="AR112" s="237"/>
      <c r="AS112" s="237"/>
      <c r="AT112" s="237"/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46">
        <f t="shared" si="79"/>
        <v>0</v>
      </c>
      <c r="BK112" s="134" t="s">
        <v>423</v>
      </c>
      <c r="BL112" s="240"/>
      <c r="BM112" s="240">
        <f>Ore_to_PI!CV251</f>
        <v>3698.8733194995434</v>
      </c>
      <c r="BN112" s="246">
        <f t="shared" si="82"/>
        <v>3698.8733194995434</v>
      </c>
    </row>
    <row r="113" spans="2:66">
      <c r="AG113" s="233"/>
      <c r="AH113" s="233"/>
      <c r="AQ113" s="233" t="s">
        <v>515</v>
      </c>
      <c r="AR113" s="237"/>
      <c r="AS113" s="237"/>
      <c r="AT113" s="237"/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>
        <f>Ore_to_PI!$DP$233</f>
        <v>46.099804713468714</v>
      </c>
      <c r="BE113" s="237"/>
      <c r="BF113" s="239"/>
      <c r="BG113" s="246">
        <f t="shared" si="79"/>
        <v>46.099804713468714</v>
      </c>
      <c r="BK113" s="233" t="s">
        <v>515</v>
      </c>
      <c r="BL113" s="240"/>
      <c r="BM113" s="240"/>
      <c r="BN113" s="246">
        <f t="shared" si="82"/>
        <v>0</v>
      </c>
    </row>
    <row r="114" spans="2:66">
      <c r="AG114" s="233"/>
      <c r="AH114" s="233"/>
      <c r="AQ114" s="233" t="s">
        <v>517</v>
      </c>
      <c r="AR114" s="237"/>
      <c r="AS114" s="237"/>
      <c r="AT114" s="237"/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9">
        <f>Ore_to_PI!$EL$152</f>
        <v>32.269863299428096</v>
      </c>
      <c r="BG114" s="246">
        <f t="shared" si="79"/>
        <v>32.269863299428096</v>
      </c>
      <c r="BK114" s="233" t="s">
        <v>517</v>
      </c>
      <c r="BL114" s="240">
        <f>Ore_to_PI!$FF$233</f>
        <v>13.829941414040613</v>
      </c>
      <c r="BM114" s="240"/>
      <c r="BN114" s="246">
        <f t="shared" si="82"/>
        <v>13.829941414040613</v>
      </c>
    </row>
    <row r="115" spans="2:66">
      <c r="AG115" s="233"/>
      <c r="AH115" s="233"/>
      <c r="AQ115" s="233" t="s">
        <v>445</v>
      </c>
      <c r="AR115" s="237"/>
      <c r="AS115" s="237"/>
      <c r="AT115" s="237"/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9">
        <f>Ore_to_PI!EL126</f>
        <v>1314.2879334772852</v>
      </c>
      <c r="BG115" s="246">
        <f t="shared" si="79"/>
        <v>1314.2879334772852</v>
      </c>
      <c r="BK115" s="233" t="s">
        <v>445</v>
      </c>
      <c r="BL115" s="240"/>
      <c r="BM115" s="240"/>
      <c r="BN115" s="246">
        <f t="shared" si="82"/>
        <v>0</v>
      </c>
    </row>
    <row r="116" spans="2:66">
      <c r="AG116" s="233"/>
      <c r="AH116" s="233"/>
      <c r="AQ116" s="233" t="s">
        <v>446</v>
      </c>
      <c r="AR116" s="237"/>
      <c r="AS116" s="237"/>
      <c r="AT116" s="237"/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46">
        <f t="shared" si="79"/>
        <v>0</v>
      </c>
      <c r="BK116" s="233" t="s">
        <v>446</v>
      </c>
      <c r="BL116" s="240">
        <f>Ore_to_PI!FL126</f>
        <v>616.23583583508366</v>
      </c>
      <c r="BM116" s="240"/>
      <c r="BN116" s="246">
        <f t="shared" si="82"/>
        <v>616.23583583508366</v>
      </c>
    </row>
    <row r="117" spans="2:66">
      <c r="AG117" s="233"/>
      <c r="AH117" s="233"/>
      <c r="AQ117" s="233" t="s">
        <v>447</v>
      </c>
      <c r="AR117" s="237"/>
      <c r="AS117" s="237"/>
      <c r="AT117" s="237"/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46">
        <f t="shared" si="79"/>
        <v>0</v>
      </c>
      <c r="BK117" s="233" t="s">
        <v>447</v>
      </c>
      <c r="BL117" s="240"/>
      <c r="BM117" s="240">
        <f>Ore_to_PI!FL141</f>
        <v>3402.2651449800928</v>
      </c>
      <c r="BN117" s="246">
        <f t="shared" si="82"/>
        <v>3402.2651449800928</v>
      </c>
    </row>
    <row r="118" spans="2:66">
      <c r="AG118" s="233"/>
      <c r="AH118" s="233"/>
      <c r="AQ118" s="233" t="s">
        <v>457</v>
      </c>
      <c r="AR118" s="237"/>
      <c r="AS118" s="237"/>
      <c r="AT118" s="237"/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46">
        <f t="shared" si="79"/>
        <v>0</v>
      </c>
      <c r="BK118" s="233" t="s">
        <v>457</v>
      </c>
      <c r="BL118" s="240"/>
      <c r="BM118" s="240">
        <f>BF_SolidWaste</f>
        <v>229.94813284002646</v>
      </c>
      <c r="BN118" s="246">
        <f t="shared" si="82"/>
        <v>229.94813284002646</v>
      </c>
    </row>
    <row r="119" spans="2:66">
      <c r="AG119" s="233"/>
      <c r="AH119" s="233"/>
      <c r="AQ119" s="233"/>
      <c r="AR119" s="390" t="s">
        <v>328</v>
      </c>
      <c r="AS119" s="390"/>
      <c r="AT119" s="390"/>
      <c r="AU119" s="390"/>
      <c r="AV119" s="390"/>
      <c r="AW119" s="390"/>
      <c r="AX119" s="390"/>
      <c r="AY119" s="390"/>
      <c r="AZ119" s="390"/>
      <c r="BA119" s="390"/>
      <c r="BB119" s="390"/>
      <c r="BC119" s="390"/>
      <c r="BD119" s="390"/>
      <c r="BE119" s="390"/>
      <c r="BF119" s="390"/>
      <c r="BG119" s="52" t="s">
        <v>369</v>
      </c>
      <c r="BL119" s="390" t="s">
        <v>330</v>
      </c>
      <c r="BM119" s="390"/>
      <c r="BN119" s="52" t="s">
        <v>381</v>
      </c>
    </row>
    <row r="120" spans="2:66">
      <c r="AG120" s="233"/>
      <c r="AH120" s="233"/>
      <c r="AQ120" s="233"/>
      <c r="AR120" s="246">
        <f t="shared" ref="AR120:BF120" si="83">SUM(AR83:AR118)</f>
        <v>1043.9873925509492</v>
      </c>
      <c r="AS120" s="246">
        <f t="shared" si="83"/>
        <v>208.65218594918355</v>
      </c>
      <c r="AT120" s="246">
        <f t="shared" si="83"/>
        <v>306.591996148688</v>
      </c>
      <c r="AU120" s="246">
        <f t="shared" si="83"/>
        <v>1011.7674660019052</v>
      </c>
      <c r="AV120" s="246">
        <f t="shared" si="83"/>
        <v>208.55560337725498</v>
      </c>
      <c r="AW120" s="246">
        <f t="shared" si="83"/>
        <v>298.6148747230165</v>
      </c>
      <c r="AX120" s="246">
        <f t="shared" si="83"/>
        <v>1011.7674660019052</v>
      </c>
      <c r="AY120" s="246">
        <f t="shared" si="83"/>
        <v>208.55560337725498</v>
      </c>
      <c r="AZ120" s="246">
        <f t="shared" si="83"/>
        <v>298.6148747230165</v>
      </c>
      <c r="BA120" s="246">
        <f t="shared" si="83"/>
        <v>890.42781548807159</v>
      </c>
      <c r="BB120" s="246">
        <f t="shared" si="83"/>
        <v>3997.4881942225597</v>
      </c>
      <c r="BC120" s="246">
        <f t="shared" si="83"/>
        <v>46.0998047134687</v>
      </c>
      <c r="BD120" s="246">
        <f t="shared" si="83"/>
        <v>46.099804713468714</v>
      </c>
      <c r="BE120" s="246">
        <f t="shared" si="83"/>
        <v>1314.2879334772852</v>
      </c>
      <c r="BF120" s="246">
        <f t="shared" si="83"/>
        <v>4248.4491136552024</v>
      </c>
      <c r="BG120" s="52"/>
      <c r="BL120" s="52"/>
      <c r="BM120" s="52"/>
      <c r="BN120" s="52"/>
    </row>
    <row r="121" spans="2:66">
      <c r="AG121" s="233"/>
      <c r="AH121" s="233"/>
      <c r="AQ121" s="233"/>
      <c r="AR121" s="390" t="s">
        <v>368</v>
      </c>
      <c r="AS121" s="390"/>
      <c r="AT121" s="390"/>
      <c r="AU121" s="390"/>
      <c r="AV121" s="390"/>
      <c r="AW121" s="390"/>
      <c r="AX121" s="390"/>
      <c r="AY121" s="390"/>
      <c r="AZ121" s="390"/>
      <c r="BA121" s="390"/>
      <c r="BB121" s="390"/>
      <c r="BC121" s="390"/>
      <c r="BD121" s="390"/>
      <c r="BE121" s="390"/>
      <c r="BF121" s="390"/>
      <c r="BG121" s="52"/>
      <c r="BL121" s="52"/>
      <c r="BM121" s="52"/>
      <c r="BN121" s="52"/>
    </row>
    <row r="122" spans="2:66" ht="13.05" customHeight="1">
      <c r="C122" s="391"/>
      <c r="D122" s="391"/>
      <c r="E122" s="138"/>
      <c r="F122" s="138"/>
      <c r="G122" s="138"/>
      <c r="H122" s="138"/>
      <c r="I122" s="138"/>
      <c r="J122" s="138"/>
      <c r="K122" s="138"/>
      <c r="L122" s="138"/>
      <c r="M122" s="138"/>
      <c r="N122" s="138"/>
      <c r="O122" s="138"/>
      <c r="P122" s="138"/>
      <c r="Q122" s="138"/>
      <c r="R122" s="138"/>
      <c r="S122" s="138"/>
      <c r="T122" s="138"/>
      <c r="U122" s="138"/>
      <c r="V122" s="138"/>
      <c r="W122" s="138"/>
      <c r="X122" s="138"/>
      <c r="Y122" s="138"/>
      <c r="Z122" s="138"/>
      <c r="AA122" s="138"/>
      <c r="AB122" s="138"/>
      <c r="AC122" s="138"/>
      <c r="AD122" s="138"/>
      <c r="AE122" s="138"/>
      <c r="AF122" s="138"/>
      <c r="AG122" s="233"/>
      <c r="AH122" s="233"/>
      <c r="AI122" s="138"/>
      <c r="AJ122" s="138"/>
      <c r="AK122" s="138"/>
      <c r="AL122" s="138"/>
      <c r="AM122" s="138"/>
      <c r="AN122" s="138"/>
      <c r="AO122" s="138"/>
      <c r="AQ122" s="233"/>
      <c r="BL122" s="52"/>
      <c r="BM122" s="52"/>
      <c r="BN122" s="52"/>
    </row>
    <row r="123" spans="2:66" ht="235.95" customHeight="1">
      <c r="B123" s="60"/>
      <c r="C123" s="234" t="s">
        <v>333</v>
      </c>
      <c r="D123" s="234" t="s">
        <v>335</v>
      </c>
      <c r="E123" s="234" t="s">
        <v>336</v>
      </c>
      <c r="F123" s="234" t="s">
        <v>355</v>
      </c>
      <c r="G123" s="234" t="s">
        <v>377</v>
      </c>
      <c r="H123" s="234" t="s">
        <v>407</v>
      </c>
      <c r="I123" s="234" t="s">
        <v>466</v>
      </c>
      <c r="J123" s="234" t="s">
        <v>467</v>
      </c>
      <c r="K123" s="234" t="s">
        <v>459</v>
      </c>
      <c r="L123" s="235" t="s">
        <v>442</v>
      </c>
      <c r="M123" s="234" t="s">
        <v>409</v>
      </c>
      <c r="N123" s="235" t="s">
        <v>412</v>
      </c>
      <c r="O123" s="234" t="s">
        <v>437</v>
      </c>
      <c r="P123" s="236" t="s">
        <v>430</v>
      </c>
      <c r="Q123" s="234" t="s">
        <v>416</v>
      </c>
      <c r="R123" s="235" t="s">
        <v>441</v>
      </c>
      <c r="S123" s="235" t="s">
        <v>436</v>
      </c>
      <c r="T123" s="235" t="s">
        <v>433</v>
      </c>
      <c r="U123" s="235" t="s">
        <v>439</v>
      </c>
      <c r="V123" s="236" t="s">
        <v>438</v>
      </c>
      <c r="W123" s="236" t="s">
        <v>424</v>
      </c>
      <c r="X123" s="236" t="s">
        <v>456</v>
      </c>
      <c r="Y123" s="236" t="s">
        <v>425</v>
      </c>
      <c r="Z123" s="236" t="s">
        <v>427</v>
      </c>
      <c r="AA123" s="236" t="s">
        <v>426</v>
      </c>
      <c r="AB123" s="236" t="s">
        <v>484</v>
      </c>
      <c r="AC123" s="238" t="s">
        <v>422</v>
      </c>
      <c r="AD123" s="238" t="s">
        <v>552</v>
      </c>
      <c r="AE123" s="236" t="s">
        <v>421</v>
      </c>
      <c r="AF123" s="234" t="s">
        <v>423</v>
      </c>
      <c r="AG123" s="236" t="s">
        <v>515</v>
      </c>
      <c r="AH123" s="236" t="s">
        <v>517</v>
      </c>
      <c r="AI123" s="236" t="s">
        <v>445</v>
      </c>
      <c r="AJ123" s="236" t="s">
        <v>446</v>
      </c>
      <c r="AK123" s="236" t="s">
        <v>447</v>
      </c>
      <c r="AL123" s="236" t="s">
        <v>457</v>
      </c>
      <c r="AQ123" s="233"/>
      <c r="BL123" s="52"/>
      <c r="BM123" s="52"/>
    </row>
    <row r="124" spans="2:66">
      <c r="B124" s="134" t="s">
        <v>325</v>
      </c>
      <c r="C124" s="237"/>
      <c r="D124" s="237"/>
      <c r="E124" s="237"/>
      <c r="F124" s="237"/>
      <c r="G124" s="237"/>
      <c r="H124" s="237"/>
      <c r="I124" s="237"/>
      <c r="J124" s="237"/>
      <c r="K124" s="237"/>
      <c r="L124" s="237">
        <f>Ore_to_PI!U42</f>
        <v>1011.7674660019052</v>
      </c>
      <c r="M124" s="237">
        <f>Ore_to_PI!$AN$63</f>
        <v>32.219926549044033</v>
      </c>
      <c r="N124" s="237"/>
      <c r="O124" s="237"/>
      <c r="P124" s="237"/>
      <c r="Q124" s="237"/>
      <c r="R124" s="237"/>
      <c r="S124" s="237"/>
      <c r="T124" s="237"/>
      <c r="U124" s="237"/>
      <c r="V124" s="237"/>
      <c r="W124" s="237"/>
      <c r="X124" s="237"/>
      <c r="Y124" s="237"/>
      <c r="Z124" s="237"/>
      <c r="AA124" s="237"/>
      <c r="AB124" s="237"/>
      <c r="AC124" s="237"/>
      <c r="AD124" s="237"/>
      <c r="AE124" s="237"/>
      <c r="AF124" s="237"/>
      <c r="AG124" s="237"/>
      <c r="AH124" s="237"/>
      <c r="AI124" s="237"/>
      <c r="AJ124" s="237"/>
      <c r="AK124" s="237"/>
      <c r="AL124" s="237"/>
      <c r="AM124" s="246">
        <f>SUM(C124:AL124)</f>
        <v>1043.9873925509492</v>
      </c>
      <c r="BL124" s="52"/>
      <c r="BM124" s="52"/>
    </row>
    <row r="125" spans="2:66">
      <c r="B125" s="134" t="s">
        <v>326</v>
      </c>
      <c r="C125" s="237"/>
      <c r="D125" s="237"/>
      <c r="E125" s="237"/>
      <c r="F125" s="237"/>
      <c r="G125" s="237"/>
      <c r="H125" s="237"/>
      <c r="I125" s="237"/>
      <c r="J125" s="237"/>
      <c r="K125" s="237"/>
      <c r="L125" s="237"/>
      <c r="M125" s="237"/>
      <c r="N125" s="237">
        <f>Ore_to_PI!AO126</f>
        <v>208.55560337725498</v>
      </c>
      <c r="O125" s="237">
        <f>Ore_to_PI!$AO$142</f>
        <v>9.658257192857822E-2</v>
      </c>
      <c r="P125" s="237"/>
      <c r="Q125" s="237"/>
      <c r="R125" s="237"/>
      <c r="S125" s="237"/>
      <c r="T125" s="237"/>
      <c r="U125" s="237"/>
      <c r="V125" s="237"/>
      <c r="W125" s="237"/>
      <c r="X125" s="237"/>
      <c r="Y125" s="237"/>
      <c r="Z125" s="237"/>
      <c r="AA125" s="237"/>
      <c r="AB125" s="237"/>
      <c r="AC125" s="237"/>
      <c r="AD125" s="237"/>
      <c r="AE125" s="237"/>
      <c r="AF125" s="237"/>
      <c r="AG125" s="237"/>
      <c r="AH125" s="237"/>
      <c r="AI125" s="237"/>
      <c r="AJ125" s="237"/>
      <c r="AK125" s="237"/>
      <c r="AL125" s="237"/>
      <c r="AM125" s="246">
        <f>SUM(C125:AL125)</f>
        <v>208.65218594918355</v>
      </c>
    </row>
    <row r="126" spans="2:66">
      <c r="B126" s="134" t="s">
        <v>327</v>
      </c>
      <c r="C126" s="237"/>
      <c r="D126" s="237"/>
      <c r="E126" s="237"/>
      <c r="F126" s="237"/>
      <c r="G126" s="237"/>
      <c r="H126" s="237"/>
      <c r="I126" s="237"/>
      <c r="J126" s="237"/>
      <c r="K126" s="237"/>
      <c r="L126" s="237"/>
      <c r="M126" s="237"/>
      <c r="N126" s="237"/>
      <c r="O126" s="237"/>
      <c r="P126" s="237">
        <f>Ore_to_PI!$AO$206</f>
        <v>298.6148747230165</v>
      </c>
      <c r="Q126" s="237">
        <f>Ore_to_PI!$AO$227</f>
        <v>7.9771214256715108</v>
      </c>
      <c r="R126" s="237"/>
      <c r="S126" s="237"/>
      <c r="T126" s="237"/>
      <c r="U126" s="237"/>
      <c r="V126" s="237"/>
      <c r="W126" s="237"/>
      <c r="X126" s="237"/>
      <c r="Y126" s="237"/>
      <c r="Z126" s="237"/>
      <c r="AA126" s="237"/>
      <c r="AB126" s="237"/>
      <c r="AC126" s="237"/>
      <c r="AD126" s="237"/>
      <c r="AE126" s="237"/>
      <c r="AF126" s="237"/>
      <c r="AG126" s="237"/>
      <c r="AH126" s="237"/>
      <c r="AI126" s="237"/>
      <c r="AJ126" s="237"/>
      <c r="AK126" s="237"/>
      <c r="AL126" s="237"/>
      <c r="AM126" s="246">
        <f t="shared" ref="AM126:AM138" si="84">SUM(C126:AL126)</f>
        <v>306.591996148688</v>
      </c>
    </row>
    <row r="127" spans="2:66">
      <c r="B127" s="134" t="s">
        <v>455</v>
      </c>
      <c r="C127" s="237"/>
      <c r="D127" s="237"/>
      <c r="E127" s="237"/>
      <c r="F127" s="237"/>
      <c r="G127" s="237"/>
      <c r="H127" s="237"/>
      <c r="I127" s="237"/>
      <c r="J127" s="237"/>
      <c r="K127" s="237"/>
      <c r="L127" s="237"/>
      <c r="M127" s="237"/>
      <c r="N127" s="237"/>
      <c r="O127" s="237"/>
      <c r="P127" s="237"/>
      <c r="Q127" s="237"/>
      <c r="R127" s="237">
        <f>Ore_to_PI!$BG$42</f>
        <v>1011.7674660019052</v>
      </c>
      <c r="S127" s="237"/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46">
        <f t="shared" si="84"/>
        <v>1011.7674660019052</v>
      </c>
    </row>
    <row r="128" spans="2:66">
      <c r="B128" s="134" t="s">
        <v>435</v>
      </c>
      <c r="C128" s="237"/>
      <c r="D128" s="237"/>
      <c r="E128" s="237"/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/>
      <c r="R128" s="237"/>
      <c r="S128" s="237">
        <f>Ore_to_PI!$BH$126</f>
        <v>208.55560337725498</v>
      </c>
      <c r="T128" s="237"/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46">
        <f t="shared" si="84"/>
        <v>208.55560337725498</v>
      </c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L128" s="52"/>
      <c r="BM128" s="52"/>
    </row>
    <row r="129" spans="2:65">
      <c r="B129" s="134" t="s">
        <v>434</v>
      </c>
      <c r="C129" s="237"/>
      <c r="D129" s="237"/>
      <c r="E129" s="237"/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/>
      <c r="T129" s="237">
        <f>Ore_to_PI!$BH$206</f>
        <v>298.6148747230165</v>
      </c>
      <c r="U129" s="237"/>
      <c r="V129" s="237"/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46">
        <f t="shared" si="84"/>
        <v>298.6148747230165</v>
      </c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L129" s="52"/>
      <c r="BM129" s="52"/>
    </row>
    <row r="130" spans="2:65">
      <c r="B130" s="134" t="s">
        <v>351</v>
      </c>
      <c r="C130" s="237"/>
      <c r="D130" s="237"/>
      <c r="E130" s="237"/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>
        <f>Ore_to_PI!$BZ$42</f>
        <v>1000.0000000000001</v>
      </c>
      <c r="V130" s="237">
        <f>Beneficiation_Iron_waste</f>
        <v>11.767466001905108</v>
      </c>
      <c r="W130" s="237"/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46">
        <f t="shared" si="84"/>
        <v>1011.7674660019052</v>
      </c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L130" s="52"/>
      <c r="BM130" s="52"/>
    </row>
    <row r="131" spans="2:65">
      <c r="B131" s="134" t="s">
        <v>348</v>
      </c>
      <c r="C131" s="237"/>
      <c r="D131" s="237"/>
      <c r="E131" s="237"/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/>
      <c r="W131" s="237">
        <f>Ore_to_PI!$CA$126</f>
        <v>208.55560337725498</v>
      </c>
      <c r="X131" s="237"/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46">
        <f t="shared" si="84"/>
        <v>208.55560337725498</v>
      </c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L131" s="52"/>
      <c r="BM131" s="52"/>
    </row>
    <row r="132" spans="2:65">
      <c r="B132" s="134" t="s">
        <v>362</v>
      </c>
      <c r="C132" s="237"/>
      <c r="D132" s="237"/>
      <c r="E132" s="237"/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/>
      <c r="X132" s="237">
        <f>Ore_to_PI!$CA$206</f>
        <v>298.6148747230165</v>
      </c>
      <c r="Y132" s="237"/>
      <c r="Z132" s="237"/>
      <c r="AA132" s="237"/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46">
        <f t="shared" si="84"/>
        <v>298.6148747230165</v>
      </c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L132" s="52"/>
      <c r="BM132" s="52"/>
    </row>
    <row r="133" spans="2:65">
      <c r="B133" s="134" t="s">
        <v>349</v>
      </c>
      <c r="C133" s="237"/>
      <c r="D133" s="237"/>
      <c r="E133" s="237"/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/>
      <c r="Y133" s="237">
        <f>Ore_to_PI!$CV$126</f>
        <v>111.00813284002646</v>
      </c>
      <c r="Z133" s="237">
        <f>Kiln_SolidWaste</f>
        <v>4.9847525450981189</v>
      </c>
      <c r="AA133" s="237">
        <f>Ore_to_PI!$CV$138</f>
        <v>774.43493010294708</v>
      </c>
      <c r="AB133" s="237"/>
      <c r="AC133" s="237"/>
      <c r="AD133" s="237"/>
      <c r="AE133" s="237"/>
      <c r="AF133" s="237"/>
      <c r="AG133" s="237"/>
      <c r="AH133" s="237"/>
      <c r="AI133" s="237"/>
      <c r="AJ133" s="237"/>
      <c r="AK133" s="237"/>
      <c r="AL133" s="237"/>
      <c r="AM133" s="246">
        <f t="shared" si="84"/>
        <v>890.4278154880717</v>
      </c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L133" s="52"/>
      <c r="BM133" s="52"/>
    </row>
    <row r="134" spans="2:65">
      <c r="B134" s="134" t="s">
        <v>344</v>
      </c>
      <c r="C134" s="237"/>
      <c r="D134" s="237"/>
      <c r="E134" s="237"/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/>
      <c r="AA134" s="237"/>
      <c r="AB134" s="237">
        <f>Ore_to_PI!$CV$206</f>
        <v>203.27980063725872</v>
      </c>
      <c r="AC134" s="237">
        <f>Ore_to_PI!$CV$234</f>
        <v>46.0998047134687</v>
      </c>
      <c r="AD134" s="237">
        <f>Ore_to_PI!CV267</f>
        <v>23.982067525572877</v>
      </c>
      <c r="AE134" s="237">
        <f>Beneficiation_CoalWaste</f>
        <v>25.253201846716312</v>
      </c>
      <c r="AF134" s="237">
        <f>Ore_to_PI!$CV$251</f>
        <v>3698.8733194995434</v>
      </c>
      <c r="AG134" s="237"/>
      <c r="AH134" s="237"/>
      <c r="AI134" s="237"/>
      <c r="AJ134" s="237"/>
      <c r="AK134" s="237"/>
      <c r="AL134" s="237"/>
      <c r="AM134" s="246">
        <f t="shared" si="84"/>
        <v>3997.4881942225602</v>
      </c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L134" s="52"/>
      <c r="BM134" s="52"/>
    </row>
    <row r="135" spans="2:65">
      <c r="B135" s="134" t="s">
        <v>514</v>
      </c>
      <c r="C135" s="237"/>
      <c r="D135" s="237"/>
      <c r="E135" s="237"/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/>
      <c r="AB135" s="237"/>
      <c r="AC135" s="237"/>
      <c r="AD135" s="237"/>
      <c r="AE135" s="237"/>
      <c r="AF135" s="237"/>
      <c r="AG135" s="237">
        <f>Ore_to_PI!$DP$233</f>
        <v>46.099804713468714</v>
      </c>
      <c r="AH135" s="237"/>
      <c r="AI135" s="237"/>
      <c r="AJ135" s="237"/>
      <c r="AK135" s="237"/>
      <c r="AL135" s="237"/>
      <c r="AM135" s="246">
        <f t="shared" si="84"/>
        <v>46.099804713468714</v>
      </c>
      <c r="AR135" s="52"/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L135" s="52"/>
      <c r="BM135" s="52"/>
    </row>
    <row r="136" spans="2:65">
      <c r="B136" s="134" t="s">
        <v>516</v>
      </c>
      <c r="C136" s="237"/>
      <c r="D136" s="237"/>
      <c r="E136" s="237"/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/>
      <c r="AC136" s="237"/>
      <c r="AD136" s="237"/>
      <c r="AE136" s="237"/>
      <c r="AF136" s="237"/>
      <c r="AG136" s="237"/>
      <c r="AH136" s="237">
        <f>Ore_to_PI!$EK$233</f>
        <v>46.099804713468714</v>
      </c>
      <c r="AI136" s="237"/>
      <c r="AJ136" s="237"/>
      <c r="AK136" s="237"/>
      <c r="AL136" s="237"/>
      <c r="AM136" s="246">
        <f t="shared" si="84"/>
        <v>46.099804713468714</v>
      </c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L136" s="52"/>
      <c r="BM136" s="52"/>
    </row>
    <row r="137" spans="2:65">
      <c r="B137" s="134" t="s">
        <v>76</v>
      </c>
      <c r="C137" s="237"/>
      <c r="D137" s="237"/>
      <c r="E137" s="237"/>
      <c r="F137" s="237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37"/>
      <c r="AB137" s="237"/>
      <c r="AC137" s="237"/>
      <c r="AD137" s="237"/>
      <c r="AE137" s="237"/>
      <c r="AF137" s="239"/>
      <c r="AG137" s="237"/>
      <c r="AH137" s="237"/>
      <c r="AI137" s="239">
        <f>Ore_to_PI!$EL$126</f>
        <v>1314.2879334772852</v>
      </c>
      <c r="AJ137" s="237"/>
      <c r="AK137" s="237"/>
      <c r="AL137" s="237"/>
      <c r="AM137" s="246">
        <f t="shared" si="84"/>
        <v>1314.2879334772852</v>
      </c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L137" s="52"/>
      <c r="BM137" s="52"/>
    </row>
    <row r="138" spans="2:65">
      <c r="B138" s="134" t="s">
        <v>337</v>
      </c>
      <c r="C138" s="237"/>
      <c r="D138" s="237"/>
      <c r="E138" s="237"/>
      <c r="F138" s="239"/>
      <c r="G138" s="237"/>
      <c r="H138" s="237"/>
      <c r="I138" s="237"/>
      <c r="J138" s="237"/>
      <c r="K138" s="237"/>
      <c r="L138" s="237"/>
      <c r="M138" s="237"/>
      <c r="N138" s="237"/>
      <c r="O138" s="237"/>
      <c r="P138" s="237"/>
      <c r="Q138" s="237"/>
      <c r="R138" s="237"/>
      <c r="S138" s="237"/>
      <c r="T138" s="237"/>
      <c r="U138" s="237"/>
      <c r="V138" s="237"/>
      <c r="W138" s="237"/>
      <c r="X138" s="237"/>
      <c r="Y138" s="237"/>
      <c r="Z138" s="237"/>
      <c r="AA138" s="243"/>
      <c r="AB138" s="237"/>
      <c r="AC138" s="237"/>
      <c r="AD138" s="237"/>
      <c r="AE138" s="237"/>
      <c r="AF138" s="237"/>
      <c r="AG138" s="237"/>
      <c r="AH138" s="237"/>
      <c r="AI138" s="237"/>
      <c r="AJ138" s="237">
        <f>Ore_to_PI!$FL$126</f>
        <v>616.23583583508366</v>
      </c>
      <c r="AK138" s="237">
        <f>Ore_to_PI!$FL$141</f>
        <v>3402.2651449800928</v>
      </c>
      <c r="AL138" s="237">
        <f>BF_SolidWaste</f>
        <v>229.94813284002646</v>
      </c>
      <c r="AM138" s="246">
        <f t="shared" si="84"/>
        <v>4248.4491136552024</v>
      </c>
    </row>
    <row r="139" spans="2:65">
      <c r="B139" s="134"/>
      <c r="C139" s="390" t="s">
        <v>329</v>
      </c>
      <c r="D139" s="390"/>
      <c r="E139" s="390"/>
      <c r="F139" s="390"/>
      <c r="G139" s="390"/>
      <c r="H139" s="390"/>
      <c r="I139" s="390"/>
      <c r="J139" s="390"/>
      <c r="K139" s="390"/>
      <c r="L139" s="390"/>
      <c r="M139" s="390"/>
      <c r="N139" s="390"/>
      <c r="O139" s="390"/>
      <c r="P139" s="390"/>
      <c r="Q139" s="390"/>
      <c r="R139" s="390"/>
      <c r="S139" s="390"/>
      <c r="T139" s="390"/>
      <c r="U139" s="390"/>
      <c r="V139" s="390"/>
      <c r="W139" s="390"/>
      <c r="X139" s="390"/>
      <c r="Y139" s="390"/>
      <c r="Z139" s="390"/>
      <c r="AA139" s="390"/>
      <c r="AB139" s="390"/>
      <c r="AC139" s="390"/>
      <c r="AD139" s="390"/>
      <c r="AE139" s="390"/>
      <c r="AF139" s="390"/>
      <c r="AG139" s="390"/>
      <c r="AH139" s="390"/>
      <c r="AI139" s="390"/>
      <c r="AJ139" s="390"/>
      <c r="AK139" s="390"/>
      <c r="AL139" s="390"/>
      <c r="AM139" s="52" t="s">
        <v>365</v>
      </c>
      <c r="AN139" s="52"/>
    </row>
    <row r="140" spans="2:65">
      <c r="B140" s="134"/>
      <c r="C140" s="246">
        <f t="shared" ref="C140:AL140" si="85">SUM(C124:C138)</f>
        <v>0</v>
      </c>
      <c r="D140" s="246">
        <f t="shared" si="85"/>
        <v>0</v>
      </c>
      <c r="E140" s="246">
        <f t="shared" si="85"/>
        <v>0</v>
      </c>
      <c r="F140" s="246">
        <f t="shared" si="85"/>
        <v>0</v>
      </c>
      <c r="G140" s="246">
        <f t="shared" si="85"/>
        <v>0</v>
      </c>
      <c r="H140" s="246">
        <f t="shared" si="85"/>
        <v>0</v>
      </c>
      <c r="I140" s="246">
        <f t="shared" si="85"/>
        <v>0</v>
      </c>
      <c r="J140" s="246">
        <f t="shared" si="85"/>
        <v>0</v>
      </c>
      <c r="K140" s="246">
        <f t="shared" si="85"/>
        <v>0</v>
      </c>
      <c r="L140" s="246">
        <f t="shared" si="85"/>
        <v>1011.7674660019052</v>
      </c>
      <c r="M140" s="246">
        <f t="shared" si="85"/>
        <v>32.219926549044033</v>
      </c>
      <c r="N140" s="246">
        <f t="shared" si="85"/>
        <v>208.55560337725498</v>
      </c>
      <c r="O140" s="246">
        <f t="shared" si="85"/>
        <v>9.658257192857822E-2</v>
      </c>
      <c r="P140" s="246">
        <f t="shared" si="85"/>
        <v>298.6148747230165</v>
      </c>
      <c r="Q140" s="246">
        <f t="shared" si="85"/>
        <v>7.9771214256715108</v>
      </c>
      <c r="R140" s="246">
        <f t="shared" si="85"/>
        <v>1011.7674660019052</v>
      </c>
      <c r="S140" s="246">
        <f t="shared" si="85"/>
        <v>208.55560337725498</v>
      </c>
      <c r="T140" s="246">
        <f t="shared" si="85"/>
        <v>298.6148747230165</v>
      </c>
      <c r="U140" s="246">
        <f t="shared" si="85"/>
        <v>1000.0000000000001</v>
      </c>
      <c r="V140" s="246">
        <f t="shared" si="85"/>
        <v>11.767466001905108</v>
      </c>
      <c r="W140" s="246">
        <f t="shared" si="85"/>
        <v>208.55560337725498</v>
      </c>
      <c r="X140" s="246">
        <f t="shared" si="85"/>
        <v>298.6148747230165</v>
      </c>
      <c r="Y140" s="246">
        <f t="shared" si="85"/>
        <v>111.00813284002646</v>
      </c>
      <c r="Z140" s="246">
        <f t="shared" si="85"/>
        <v>4.9847525450981189</v>
      </c>
      <c r="AA140" s="246">
        <f t="shared" si="85"/>
        <v>774.43493010294708</v>
      </c>
      <c r="AB140" s="246">
        <f t="shared" si="85"/>
        <v>203.27980063725872</v>
      </c>
      <c r="AC140" s="246">
        <f t="shared" si="85"/>
        <v>46.0998047134687</v>
      </c>
      <c r="AD140" s="246">
        <f t="shared" si="85"/>
        <v>23.982067525572877</v>
      </c>
      <c r="AE140" s="246">
        <f t="shared" si="85"/>
        <v>25.253201846716312</v>
      </c>
      <c r="AF140" s="246">
        <f t="shared" si="85"/>
        <v>3698.8733194995434</v>
      </c>
      <c r="AG140" s="246">
        <f t="shared" si="85"/>
        <v>46.099804713468714</v>
      </c>
      <c r="AH140" s="246">
        <f t="shared" si="85"/>
        <v>46.099804713468714</v>
      </c>
      <c r="AI140" s="246">
        <f t="shared" si="85"/>
        <v>1314.2879334772852</v>
      </c>
      <c r="AJ140" s="246">
        <f t="shared" si="85"/>
        <v>616.23583583508366</v>
      </c>
      <c r="AK140" s="246">
        <f t="shared" si="85"/>
        <v>3402.2651449800928</v>
      </c>
      <c r="AL140" s="246">
        <f t="shared" si="85"/>
        <v>229.94813284002646</v>
      </c>
    </row>
    <row r="141" spans="2:65">
      <c r="B141" s="134"/>
      <c r="C141" s="390" t="s">
        <v>366</v>
      </c>
      <c r="D141" s="390"/>
      <c r="E141" s="390"/>
      <c r="F141" s="390"/>
      <c r="G141" s="390"/>
      <c r="H141" s="390"/>
      <c r="I141" s="390"/>
      <c r="J141" s="390"/>
      <c r="K141" s="390"/>
      <c r="L141" s="390"/>
      <c r="M141" s="390"/>
      <c r="N141" s="390"/>
      <c r="O141" s="390"/>
      <c r="P141" s="390"/>
      <c r="Q141" s="390"/>
      <c r="R141" s="390"/>
      <c r="S141" s="390"/>
      <c r="T141" s="390"/>
      <c r="U141" s="390"/>
      <c r="V141" s="390"/>
      <c r="W141" s="390"/>
      <c r="X141" s="390"/>
      <c r="Y141" s="390"/>
      <c r="Z141" s="390"/>
      <c r="AA141" s="390"/>
      <c r="AB141" s="390"/>
      <c r="AC141" s="390"/>
      <c r="AD141" s="390"/>
      <c r="AE141" s="390"/>
      <c r="AF141" s="390"/>
      <c r="AG141" s="390"/>
      <c r="AH141" s="390"/>
      <c r="AI141" s="390"/>
      <c r="AJ141" s="390"/>
      <c r="AK141" s="390"/>
      <c r="AL141" s="390"/>
    </row>
    <row r="142" spans="2:65">
      <c r="B142" s="134"/>
    </row>
    <row r="143" spans="2:65">
      <c r="B143" s="134"/>
    </row>
    <row r="144" spans="2:65">
      <c r="B144" s="134"/>
    </row>
    <row r="145" spans="2:44">
      <c r="B145" s="134"/>
    </row>
    <row r="146" spans="2:44">
      <c r="B146" s="134"/>
    </row>
    <row r="147" spans="2:44">
      <c r="B147" s="134"/>
    </row>
    <row r="148" spans="2:44">
      <c r="B148" s="134"/>
    </row>
    <row r="149" spans="2:44">
      <c r="B149" s="134"/>
    </row>
    <row r="150" spans="2:44">
      <c r="B150" s="134"/>
    </row>
    <row r="151" spans="2:44">
      <c r="B151" s="134"/>
    </row>
    <row r="152" spans="2:44" ht="235.95" customHeight="1">
      <c r="B152" s="134"/>
      <c r="C152" s="234" t="s">
        <v>333</v>
      </c>
      <c r="D152" s="234" t="s">
        <v>335</v>
      </c>
      <c r="E152" s="234" t="s">
        <v>336</v>
      </c>
      <c r="F152" s="234" t="s">
        <v>355</v>
      </c>
      <c r="G152" s="234" t="s">
        <v>377</v>
      </c>
      <c r="H152" s="234" t="s">
        <v>407</v>
      </c>
      <c r="I152" s="234" t="s">
        <v>466</v>
      </c>
      <c r="J152" s="234" t="s">
        <v>467</v>
      </c>
      <c r="K152" s="234" t="s">
        <v>459</v>
      </c>
      <c r="L152" s="235" t="s">
        <v>442</v>
      </c>
      <c r="M152" s="234" t="s">
        <v>409</v>
      </c>
      <c r="N152" s="235" t="s">
        <v>412</v>
      </c>
      <c r="O152" s="234" t="s">
        <v>437</v>
      </c>
      <c r="P152" s="236" t="s">
        <v>430</v>
      </c>
      <c r="Q152" s="234" t="s">
        <v>416</v>
      </c>
      <c r="R152" s="235" t="s">
        <v>441</v>
      </c>
      <c r="S152" s="235" t="s">
        <v>436</v>
      </c>
      <c r="T152" s="235" t="s">
        <v>433</v>
      </c>
      <c r="U152" s="235" t="s">
        <v>439</v>
      </c>
      <c r="V152" s="236" t="s">
        <v>438</v>
      </c>
      <c r="W152" s="236" t="s">
        <v>424</v>
      </c>
      <c r="X152" s="236" t="s">
        <v>456</v>
      </c>
      <c r="Y152" s="236" t="s">
        <v>425</v>
      </c>
      <c r="Z152" s="236" t="s">
        <v>427</v>
      </c>
      <c r="AA152" s="236" t="s">
        <v>426</v>
      </c>
      <c r="AB152" s="236" t="s">
        <v>484</v>
      </c>
      <c r="AC152" s="238" t="s">
        <v>422</v>
      </c>
      <c r="AD152" s="238" t="s">
        <v>552</v>
      </c>
      <c r="AE152" s="236" t="s">
        <v>421</v>
      </c>
      <c r="AF152" s="234" t="s">
        <v>423</v>
      </c>
      <c r="AG152" s="236" t="s">
        <v>515</v>
      </c>
      <c r="AH152" s="236" t="s">
        <v>517</v>
      </c>
      <c r="AI152" s="236" t="s">
        <v>445</v>
      </c>
      <c r="AJ152" s="236" t="s">
        <v>446</v>
      </c>
      <c r="AK152" s="236" t="s">
        <v>447</v>
      </c>
      <c r="AL152" s="236" t="s">
        <v>457</v>
      </c>
      <c r="AM152" s="236"/>
      <c r="AN152" s="236"/>
    </row>
    <row r="153" spans="2:44">
      <c r="B153" s="134" t="s">
        <v>332</v>
      </c>
      <c r="C153" s="240">
        <f>Ore_to_PI!U42</f>
        <v>1011.7674660019052</v>
      </c>
      <c r="D153" s="240"/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 ht="16.05" customHeight="1">
      <c r="B154" s="232" t="s">
        <v>334</v>
      </c>
      <c r="C154" s="240"/>
      <c r="D154" s="240">
        <f>Ore_to_PI!U126</f>
        <v>208.55560337725498</v>
      </c>
      <c r="E154" s="240"/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>
      <c r="B155" s="233" t="s">
        <v>356</v>
      </c>
      <c r="C155" s="240"/>
      <c r="D155" s="240"/>
      <c r="E155" s="240">
        <f>Ore_to_PI!U206</f>
        <v>298.6148747230165</v>
      </c>
      <c r="F155" s="240"/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>
      <c r="B156" s="134" t="s">
        <v>380</v>
      </c>
      <c r="C156" s="240"/>
      <c r="D156" s="240"/>
      <c r="E156" s="240"/>
      <c r="F156" s="245">
        <f>Ore_to_PI!EL140+Ore_to_PI!CA140+Ore_to_PI!U163+Ore_to_PI!U72+Ore_to_PI!CA232+Ore_to_PI!U236</f>
        <v>7028.7429099762057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>
      <c r="B157" s="134" t="s">
        <v>376</v>
      </c>
      <c r="C157" s="240"/>
      <c r="D157" s="240"/>
      <c r="E157" s="240"/>
      <c r="F157" s="240"/>
      <c r="G157" s="240">
        <f>Ore_to_PI!EL114+Ore_to_PI!CA152+Ore_to_PI!CA244</f>
        <v>286.68478984220775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</row>
    <row r="158" spans="2:44">
      <c r="B158" s="134" t="s">
        <v>469</v>
      </c>
      <c r="C158" s="240"/>
      <c r="D158" s="240"/>
      <c r="E158" s="240"/>
      <c r="F158" s="240"/>
      <c r="G158" s="240"/>
      <c r="H158" s="240">
        <f>Ore_to_PI!U222+Ore_to_PI!U140+Ore_to_PI!U59</f>
        <v>2.5875439035128025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>
      <c r="B159" s="134" t="s">
        <v>468</v>
      </c>
      <c r="C159" s="240"/>
      <c r="D159" s="240"/>
      <c r="E159" s="240"/>
      <c r="F159" s="240"/>
      <c r="G159" s="240"/>
      <c r="H159" s="240"/>
      <c r="I159" s="240">
        <f>Ore_to_PI!U151</f>
        <v>5.1714158616864253E-4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>
      <c r="B160" s="134" t="s">
        <v>410</v>
      </c>
      <c r="C160" s="240"/>
      <c r="D160" s="240"/>
      <c r="E160" s="240"/>
      <c r="F160" s="240"/>
      <c r="G160" s="240"/>
      <c r="H160" s="240"/>
      <c r="I160" s="240"/>
      <c r="J160" s="240">
        <f>Ore_to_PI!$EL$101</f>
        <v>4.914718171980665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R160" s="238"/>
    </row>
    <row r="161" spans="2:40">
      <c r="B161" s="134" t="s">
        <v>458</v>
      </c>
      <c r="C161" s="240"/>
      <c r="D161" s="240"/>
      <c r="E161" s="240"/>
      <c r="F161" s="240"/>
      <c r="G161" s="240"/>
      <c r="H161" s="240"/>
      <c r="I161" s="240"/>
      <c r="J161" s="240"/>
      <c r="K161" s="240">
        <v>0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</row>
    <row r="162" spans="2:40">
      <c r="C162" s="390" t="s">
        <v>56</v>
      </c>
      <c r="D162" s="390"/>
      <c r="E162" s="390"/>
      <c r="F162" s="390"/>
      <c r="G162" s="390"/>
      <c r="H162" s="390"/>
      <c r="I162" s="390"/>
      <c r="J162" s="390"/>
      <c r="K162" s="390"/>
      <c r="L162" s="390"/>
      <c r="M162" s="390"/>
      <c r="N162" s="390"/>
      <c r="O162" s="390"/>
      <c r="P162" s="390"/>
      <c r="Q162" s="390"/>
      <c r="R162" s="390"/>
      <c r="S162" s="390"/>
      <c r="T162" s="390"/>
      <c r="U162" s="390"/>
      <c r="V162" s="390"/>
      <c r="W162" s="390"/>
      <c r="X162" s="390"/>
      <c r="Y162" s="390"/>
      <c r="Z162" s="390"/>
      <c r="AA162" s="390"/>
      <c r="AB162" s="390"/>
      <c r="AC162" s="390"/>
      <c r="AD162" s="390"/>
      <c r="AE162" s="390"/>
      <c r="AF162" s="390"/>
      <c r="AG162" s="390"/>
      <c r="AH162" s="390"/>
      <c r="AI162" s="390"/>
      <c r="AJ162" s="390"/>
      <c r="AK162" s="390"/>
      <c r="AL162" s="390"/>
      <c r="AM162" s="52"/>
      <c r="AN162" s="52"/>
    </row>
    <row r="163" spans="2:40">
      <c r="C163" s="246">
        <f>SUM(C153:C161)</f>
        <v>1011.7674660019052</v>
      </c>
      <c r="D163" s="246">
        <f t="shared" ref="D163:AL163" si="86">SUM(D153:D161)</f>
        <v>208.55560337725498</v>
      </c>
      <c r="E163" s="246">
        <f t="shared" si="86"/>
        <v>298.6148747230165</v>
      </c>
      <c r="F163" s="246">
        <f t="shared" si="86"/>
        <v>7028.7429099762057</v>
      </c>
      <c r="G163" s="246">
        <f t="shared" si="86"/>
        <v>286.68478984220775</v>
      </c>
      <c r="H163" s="246">
        <f t="shared" si="86"/>
        <v>2.5875439035128025</v>
      </c>
      <c r="I163" s="246">
        <f t="shared" si="86"/>
        <v>5.1714158616864253E-4</v>
      </c>
      <c r="J163" s="246">
        <f t="shared" si="86"/>
        <v>4.914718171980665</v>
      </c>
      <c r="K163" s="246">
        <f t="shared" si="86"/>
        <v>0</v>
      </c>
      <c r="L163" s="246">
        <f t="shared" si="86"/>
        <v>0</v>
      </c>
      <c r="M163" s="246">
        <f t="shared" si="86"/>
        <v>0</v>
      </c>
      <c r="N163" s="246">
        <f t="shared" si="86"/>
        <v>0</v>
      </c>
      <c r="O163" s="246">
        <f t="shared" si="86"/>
        <v>0</v>
      </c>
      <c r="P163" s="246">
        <f t="shared" si="86"/>
        <v>0</v>
      </c>
      <c r="Q163" s="246">
        <f t="shared" si="86"/>
        <v>0</v>
      </c>
      <c r="R163" s="246">
        <f t="shared" si="86"/>
        <v>0</v>
      </c>
      <c r="S163" s="246">
        <f t="shared" si="86"/>
        <v>0</v>
      </c>
      <c r="T163" s="246">
        <f t="shared" si="86"/>
        <v>0</v>
      </c>
      <c r="U163" s="246">
        <f t="shared" si="86"/>
        <v>0</v>
      </c>
      <c r="V163" s="246">
        <f t="shared" si="86"/>
        <v>0</v>
      </c>
      <c r="W163" s="246">
        <f t="shared" si="86"/>
        <v>0</v>
      </c>
      <c r="X163" s="246">
        <f t="shared" si="86"/>
        <v>0</v>
      </c>
      <c r="Y163" s="246">
        <f t="shared" si="86"/>
        <v>0</v>
      </c>
      <c r="Z163" s="246">
        <f t="shared" si="86"/>
        <v>0</v>
      </c>
      <c r="AA163" s="246">
        <f t="shared" si="86"/>
        <v>0</v>
      </c>
      <c r="AB163" s="246">
        <f t="shared" si="86"/>
        <v>0</v>
      </c>
      <c r="AC163" s="246">
        <f t="shared" si="86"/>
        <v>0</v>
      </c>
      <c r="AD163" s="246">
        <f t="shared" si="86"/>
        <v>0</v>
      </c>
      <c r="AE163" s="246">
        <f t="shared" si="86"/>
        <v>0</v>
      </c>
      <c r="AF163" s="246">
        <f t="shared" si="86"/>
        <v>0</v>
      </c>
      <c r="AG163" s="246">
        <f t="shared" si="86"/>
        <v>0</v>
      </c>
      <c r="AH163" s="246">
        <f t="shared" si="86"/>
        <v>0</v>
      </c>
      <c r="AI163" s="246">
        <f t="shared" si="86"/>
        <v>0</v>
      </c>
      <c r="AJ163" s="246">
        <f t="shared" si="86"/>
        <v>0</v>
      </c>
      <c r="AK163" s="246">
        <f t="shared" si="86"/>
        <v>0</v>
      </c>
      <c r="AL163" s="246">
        <f t="shared" si="86"/>
        <v>0</v>
      </c>
    </row>
    <row r="164" spans="2:40">
      <c r="C164" s="390" t="s">
        <v>367</v>
      </c>
      <c r="D164" s="390"/>
      <c r="E164" s="390"/>
      <c r="F164" s="390"/>
      <c r="G164" s="390"/>
      <c r="H164" s="390"/>
      <c r="I164" s="390"/>
      <c r="J164" s="390"/>
      <c r="K164" s="390"/>
      <c r="L164" s="390"/>
      <c r="M164" s="390"/>
      <c r="N164" s="390"/>
      <c r="O164" s="390"/>
      <c r="P164" s="390"/>
      <c r="Q164" s="390"/>
      <c r="R164" s="390"/>
      <c r="S164" s="390"/>
      <c r="T164" s="390"/>
      <c r="U164" s="390"/>
      <c r="V164" s="390"/>
      <c r="W164" s="390"/>
      <c r="X164" s="390"/>
      <c r="Y164" s="390"/>
      <c r="Z164" s="390"/>
      <c r="AA164" s="390"/>
      <c r="AB164" s="390"/>
      <c r="AC164" s="390"/>
      <c r="AD164" s="390"/>
      <c r="AE164" s="390"/>
      <c r="AF164" s="390"/>
      <c r="AG164" s="390"/>
      <c r="AH164" s="390"/>
      <c r="AI164" s="390"/>
      <c r="AJ164" s="390"/>
      <c r="AK164" s="390"/>
      <c r="AL164" s="390"/>
      <c r="AM164" s="52"/>
      <c r="AN164" s="52"/>
    </row>
    <row r="168" spans="2:40">
      <c r="C168" s="390" t="s">
        <v>364</v>
      </c>
      <c r="D168" s="390"/>
      <c r="E168" s="390"/>
      <c r="F168" s="390"/>
      <c r="G168" s="390"/>
      <c r="H168" s="390"/>
      <c r="I168" s="390"/>
      <c r="J168" s="390"/>
      <c r="K168" s="390"/>
      <c r="L168" s="241"/>
      <c r="M168" s="241"/>
      <c r="N168" s="241"/>
      <c r="O168" s="241"/>
      <c r="P168" s="241"/>
      <c r="Q168" s="241"/>
      <c r="R168" s="241"/>
      <c r="S168" s="241"/>
      <c r="T168" s="241"/>
      <c r="U168" s="52"/>
      <c r="V168" s="52"/>
    </row>
    <row r="171" spans="2:40">
      <c r="B171" s="134" t="s">
        <v>333</v>
      </c>
      <c r="C171" s="246">
        <f t="array" ref="C171:C206">TRANSPOSE(C163:AL163)</f>
        <v>1011.7674660019052</v>
      </c>
      <c r="E171" s="246">
        <f t="array" ref="E171:E206">TRANSPOSE(C140:AL140)</f>
        <v>0</v>
      </c>
      <c r="G171" s="246">
        <f t="shared" ref="G171:G197" si="87">BG83</f>
        <v>1011.7674660019052</v>
      </c>
      <c r="I171" s="246">
        <f t="array" ref="I171:I206">BN83:BN118</f>
        <v>0</v>
      </c>
      <c r="K171" s="250">
        <f>C171+E171-G171-I171</f>
        <v>0</v>
      </c>
    </row>
    <row r="172" spans="2:40">
      <c r="B172" s="134" t="s">
        <v>335</v>
      </c>
      <c r="C172" s="246">
        <v>208.55560337725498</v>
      </c>
      <c r="E172" s="246">
        <v>0</v>
      </c>
      <c r="G172" s="246">
        <f t="shared" si="87"/>
        <v>208.55560337725498</v>
      </c>
      <c r="I172" s="246">
        <v>0</v>
      </c>
      <c r="K172" s="250">
        <f>C172+E172-G172-I172</f>
        <v>0</v>
      </c>
    </row>
    <row r="173" spans="2:40">
      <c r="B173" s="134" t="s">
        <v>336</v>
      </c>
      <c r="C173" s="246">
        <v>298.6148747230165</v>
      </c>
      <c r="E173" s="246">
        <v>0</v>
      </c>
      <c r="G173" s="246">
        <f t="shared" si="87"/>
        <v>298.6148747230165</v>
      </c>
      <c r="I173" s="246">
        <v>0</v>
      </c>
      <c r="K173" s="250">
        <f>C173+E173-G173-I173</f>
        <v>0</v>
      </c>
    </row>
    <row r="174" spans="2:40">
      <c r="B174" s="134" t="s">
        <v>355</v>
      </c>
      <c r="C174" s="246">
        <v>7028.7429099762057</v>
      </c>
      <c r="E174" s="246">
        <v>0</v>
      </c>
      <c r="G174" s="246">
        <f t="shared" si="87"/>
        <v>7028.7429099762066</v>
      </c>
      <c r="I174" s="246">
        <v>0</v>
      </c>
      <c r="K174" s="250">
        <f>ROUND(C174+E174-G174-I174, 10)</f>
        <v>0</v>
      </c>
    </row>
    <row r="175" spans="2:40">
      <c r="B175" s="134" t="s">
        <v>377</v>
      </c>
      <c r="C175" s="246">
        <v>286.68478984220775</v>
      </c>
      <c r="E175" s="246">
        <v>0</v>
      </c>
      <c r="G175" s="246">
        <f t="shared" si="87"/>
        <v>286.68478984220775</v>
      </c>
      <c r="I175" s="246">
        <v>0</v>
      </c>
      <c r="K175" s="250">
        <f t="shared" ref="K175:K190" si="88">C175+E175-G175-I175</f>
        <v>0</v>
      </c>
    </row>
    <row r="176" spans="2:40">
      <c r="B176" s="134" t="s">
        <v>407</v>
      </c>
      <c r="C176" s="246">
        <v>2.5875439035128025</v>
      </c>
      <c r="E176" s="246">
        <v>0</v>
      </c>
      <c r="G176" s="246">
        <f t="shared" si="87"/>
        <v>2.5875439035128025</v>
      </c>
      <c r="I176" s="246">
        <v>0</v>
      </c>
      <c r="K176" s="250">
        <f t="shared" si="88"/>
        <v>0</v>
      </c>
    </row>
    <row r="177" spans="2:18">
      <c r="B177" s="134" t="s">
        <v>408</v>
      </c>
      <c r="C177" s="246">
        <v>5.1714158616864253E-4</v>
      </c>
      <c r="E177" s="246">
        <v>0</v>
      </c>
      <c r="G177" s="246">
        <f t="shared" si="87"/>
        <v>5.1714158616864253E-4</v>
      </c>
      <c r="I177" s="246">
        <v>0</v>
      </c>
      <c r="K177" s="250">
        <f t="shared" si="88"/>
        <v>0</v>
      </c>
    </row>
    <row r="178" spans="2:18">
      <c r="B178" s="134" t="s">
        <v>411</v>
      </c>
      <c r="C178" s="246">
        <v>4.914718171980665</v>
      </c>
      <c r="E178" s="246">
        <v>0</v>
      </c>
      <c r="G178" s="246">
        <f t="shared" si="87"/>
        <v>4.914718171980665</v>
      </c>
      <c r="I178" s="246">
        <v>0</v>
      </c>
      <c r="K178" s="250">
        <f t="shared" si="88"/>
        <v>0</v>
      </c>
    </row>
    <row r="179" spans="2:18">
      <c r="B179" s="134" t="s">
        <v>459</v>
      </c>
      <c r="C179" s="246">
        <v>0</v>
      </c>
      <c r="E179" s="246">
        <v>0</v>
      </c>
      <c r="G179" s="246">
        <f t="shared" si="87"/>
        <v>0</v>
      </c>
      <c r="I179" s="246">
        <v>0</v>
      </c>
      <c r="K179" s="250">
        <f t="shared" si="88"/>
        <v>0</v>
      </c>
    </row>
    <row r="180" spans="2:18" ht="16.05" customHeight="1">
      <c r="B180" s="232" t="s">
        <v>442</v>
      </c>
      <c r="C180" s="246">
        <v>0</v>
      </c>
      <c r="E180" s="246">
        <v>1011.7674660019052</v>
      </c>
      <c r="G180" s="246">
        <f t="shared" si="87"/>
        <v>1011.7674660019052</v>
      </c>
      <c r="I180" s="246">
        <v>0</v>
      </c>
      <c r="K180" s="250">
        <f t="shared" si="88"/>
        <v>0</v>
      </c>
    </row>
    <row r="181" spans="2:18">
      <c r="B181" s="134" t="s">
        <v>409</v>
      </c>
      <c r="C181" s="246">
        <v>0</v>
      </c>
      <c r="E181" s="246">
        <v>32.219926549044033</v>
      </c>
      <c r="G181" s="246">
        <f t="shared" si="87"/>
        <v>0</v>
      </c>
      <c r="I181" s="246">
        <v>32.219926549044033</v>
      </c>
      <c r="K181" s="250">
        <f t="shared" si="88"/>
        <v>0</v>
      </c>
    </row>
    <row r="182" spans="2:18" ht="16.05" customHeight="1">
      <c r="B182" s="232" t="s">
        <v>412</v>
      </c>
      <c r="C182" s="246">
        <v>0</v>
      </c>
      <c r="E182" s="246">
        <v>208.55560337725498</v>
      </c>
      <c r="G182" s="246">
        <f t="shared" si="87"/>
        <v>208.55560337725498</v>
      </c>
      <c r="I182" s="246">
        <v>0</v>
      </c>
      <c r="K182" s="250">
        <f t="shared" si="88"/>
        <v>0</v>
      </c>
    </row>
    <row r="183" spans="2:18">
      <c r="B183" s="134" t="s">
        <v>437</v>
      </c>
      <c r="C183" s="246">
        <v>0</v>
      </c>
      <c r="E183" s="246">
        <v>9.658257192857822E-2</v>
      </c>
      <c r="G183" s="246">
        <f t="shared" si="87"/>
        <v>0</v>
      </c>
      <c r="I183" s="246">
        <v>9.658257192857822E-2</v>
      </c>
      <c r="K183" s="250">
        <f t="shared" si="88"/>
        <v>0</v>
      </c>
    </row>
    <row r="184" spans="2:18">
      <c r="B184" s="233" t="s">
        <v>430</v>
      </c>
      <c r="C184" s="246">
        <v>0</v>
      </c>
      <c r="D184" s="52" t="s">
        <v>371</v>
      </c>
      <c r="E184" s="246">
        <v>298.6148747230165</v>
      </c>
      <c r="F184" s="52" t="s">
        <v>373</v>
      </c>
      <c r="G184" s="246">
        <f t="shared" si="87"/>
        <v>298.6148747230165</v>
      </c>
      <c r="H184" s="52" t="s">
        <v>373</v>
      </c>
      <c r="I184" s="246">
        <v>0</v>
      </c>
      <c r="J184" s="52" t="s">
        <v>374</v>
      </c>
      <c r="K184" s="250">
        <f t="shared" si="88"/>
        <v>0</v>
      </c>
    </row>
    <row r="185" spans="2:18">
      <c r="B185" s="134" t="s">
        <v>416</v>
      </c>
      <c r="C185" s="246">
        <v>0</v>
      </c>
      <c r="E185" s="246">
        <v>7.9771214256715108</v>
      </c>
      <c r="G185" s="246">
        <f t="shared" si="87"/>
        <v>0</v>
      </c>
      <c r="I185" s="246">
        <v>7.9771214256715108</v>
      </c>
      <c r="K185" s="250">
        <f t="shared" si="88"/>
        <v>0</v>
      </c>
    </row>
    <row r="186" spans="2:18" ht="16.05" customHeight="1">
      <c r="B186" s="232" t="s">
        <v>441</v>
      </c>
      <c r="C186" s="246">
        <v>0</v>
      </c>
      <c r="E186" s="246">
        <v>1011.7674660019052</v>
      </c>
      <c r="G186" s="246">
        <f t="shared" si="87"/>
        <v>1011.7674660019052</v>
      </c>
      <c r="I186" s="246">
        <v>0</v>
      </c>
      <c r="K186" s="250">
        <f t="shared" si="88"/>
        <v>0</v>
      </c>
    </row>
    <row r="187" spans="2:18" ht="16.05" customHeight="1">
      <c r="B187" s="232" t="s">
        <v>436</v>
      </c>
      <c r="C187" s="246">
        <v>0</v>
      </c>
      <c r="E187" s="246">
        <v>208.55560337725498</v>
      </c>
      <c r="G187" s="246">
        <f t="shared" si="87"/>
        <v>208.55560337725498</v>
      </c>
      <c r="I187" s="246">
        <v>0</v>
      </c>
      <c r="K187" s="250">
        <f t="shared" si="88"/>
        <v>0</v>
      </c>
    </row>
    <row r="188" spans="2:18" ht="16.05" customHeight="1">
      <c r="B188" s="232" t="s">
        <v>433</v>
      </c>
      <c r="C188" s="246">
        <v>0</v>
      </c>
      <c r="E188" s="246">
        <v>298.6148747230165</v>
      </c>
      <c r="G188" s="246">
        <f t="shared" si="87"/>
        <v>298.6148747230165</v>
      </c>
      <c r="I188" s="246">
        <v>0</v>
      </c>
      <c r="K188" s="250">
        <f t="shared" si="88"/>
        <v>0</v>
      </c>
    </row>
    <row r="189" spans="2:18" ht="16.05" customHeight="1">
      <c r="B189" s="232" t="s">
        <v>439</v>
      </c>
      <c r="C189" s="246">
        <v>0</v>
      </c>
      <c r="E189" s="246">
        <v>1000.0000000000001</v>
      </c>
      <c r="G189" s="246">
        <f t="shared" si="87"/>
        <v>1000.0000000000001</v>
      </c>
      <c r="I189" s="246">
        <v>0</v>
      </c>
      <c r="K189" s="250">
        <f t="shared" si="88"/>
        <v>0</v>
      </c>
    </row>
    <row r="190" spans="2:18">
      <c r="B190" s="233" t="s">
        <v>438</v>
      </c>
      <c r="C190" s="246">
        <v>0</v>
      </c>
      <c r="E190" s="246">
        <v>11.767466001905108</v>
      </c>
      <c r="G190" s="246">
        <f t="shared" si="87"/>
        <v>0</v>
      </c>
      <c r="I190" s="246">
        <v>11.767466001905108</v>
      </c>
      <c r="K190" s="250">
        <f t="shared" si="88"/>
        <v>0</v>
      </c>
    </row>
    <row r="191" spans="2:18">
      <c r="B191" s="233" t="s">
        <v>424</v>
      </c>
      <c r="C191" s="246">
        <v>0</v>
      </c>
      <c r="E191" s="246">
        <v>208.55560337725498</v>
      </c>
      <c r="G191" s="246">
        <f t="shared" si="87"/>
        <v>208.55560337725498</v>
      </c>
      <c r="I191" s="246">
        <v>0</v>
      </c>
      <c r="K191" s="250">
        <f t="shared" ref="K191:K206" si="89">C191+E191-G191-I191</f>
        <v>0</v>
      </c>
      <c r="N191" s="52"/>
      <c r="P191" s="52"/>
      <c r="Q191" s="52"/>
      <c r="R191" s="52"/>
    </row>
    <row r="192" spans="2:18">
      <c r="B192" s="233" t="s">
        <v>456</v>
      </c>
      <c r="C192" s="246">
        <v>0</v>
      </c>
      <c r="E192" s="246">
        <v>298.6148747230165</v>
      </c>
      <c r="G192" s="246">
        <f t="shared" si="87"/>
        <v>298.6148747230165</v>
      </c>
      <c r="I192" s="246">
        <v>0</v>
      </c>
      <c r="K192" s="250">
        <f t="shared" si="89"/>
        <v>0</v>
      </c>
      <c r="N192" s="52"/>
      <c r="P192" s="52"/>
      <c r="Q192" s="52"/>
      <c r="R192" s="52"/>
    </row>
    <row r="193" spans="2:19">
      <c r="B193" s="233" t="s">
        <v>425</v>
      </c>
      <c r="C193" s="246">
        <v>0</v>
      </c>
      <c r="E193" s="246">
        <v>111.00813284002646</v>
      </c>
      <c r="G193" s="246">
        <f t="shared" si="87"/>
        <v>111.00813284002646</v>
      </c>
      <c r="I193" s="246">
        <v>0</v>
      </c>
      <c r="K193" s="250">
        <f t="shared" si="89"/>
        <v>0</v>
      </c>
      <c r="N193" s="52"/>
      <c r="P193" s="52"/>
      <c r="Q193" s="52"/>
      <c r="R193" s="52"/>
    </row>
    <row r="194" spans="2:19">
      <c r="B194" s="233" t="s">
        <v>427</v>
      </c>
      <c r="C194" s="246">
        <v>0</v>
      </c>
      <c r="E194" s="246">
        <v>4.9847525450981189</v>
      </c>
      <c r="G194" s="246">
        <f t="shared" si="87"/>
        <v>0</v>
      </c>
      <c r="I194" s="246">
        <v>4.9847525450981189</v>
      </c>
      <c r="K194" s="250">
        <f t="shared" si="89"/>
        <v>0</v>
      </c>
      <c r="N194" s="52"/>
      <c r="P194" s="52"/>
      <c r="Q194" s="52"/>
      <c r="R194" s="52"/>
    </row>
    <row r="195" spans="2:19">
      <c r="B195" s="233" t="s">
        <v>426</v>
      </c>
      <c r="C195" s="246">
        <v>0</v>
      </c>
      <c r="E195" s="246">
        <v>774.43493010294708</v>
      </c>
      <c r="G195" s="246">
        <f t="shared" si="87"/>
        <v>0</v>
      </c>
      <c r="I195" s="246">
        <v>774.43493010294708</v>
      </c>
      <c r="K195" s="250">
        <f t="shared" si="89"/>
        <v>0</v>
      </c>
      <c r="N195" s="52"/>
      <c r="P195" s="52"/>
      <c r="Q195" s="52"/>
      <c r="R195" s="52"/>
    </row>
    <row r="196" spans="2:19">
      <c r="B196" s="233" t="s">
        <v>484</v>
      </c>
      <c r="C196" s="246">
        <v>0</v>
      </c>
      <c r="E196" s="246">
        <v>203.27980063725872</v>
      </c>
      <c r="G196" s="246">
        <f t="shared" si="87"/>
        <v>203.27980063725872</v>
      </c>
      <c r="I196" s="246">
        <v>0</v>
      </c>
      <c r="K196" s="250">
        <f t="shared" si="89"/>
        <v>0</v>
      </c>
    </row>
    <row r="197" spans="2:19" ht="16.05" customHeight="1">
      <c r="B197" s="247" t="s">
        <v>422</v>
      </c>
      <c r="C197" s="246">
        <v>0</v>
      </c>
      <c r="E197" s="246">
        <v>46.0998047134687</v>
      </c>
      <c r="G197" s="246">
        <f t="shared" si="87"/>
        <v>46.0998047134687</v>
      </c>
      <c r="I197" s="246">
        <v>0</v>
      </c>
      <c r="K197" s="250">
        <f t="shared" si="89"/>
        <v>0</v>
      </c>
    </row>
    <row r="198" spans="2:19" ht="16.05" customHeight="1">
      <c r="B198" s="247" t="s">
        <v>552</v>
      </c>
      <c r="C198" s="246">
        <v>0</v>
      </c>
      <c r="E198" s="246">
        <v>23.982067525572877</v>
      </c>
      <c r="G198" s="246">
        <f t="shared" ref="G198:G199" si="90">BG110</f>
        <v>0</v>
      </c>
      <c r="I198" s="246">
        <v>23.982067525572877</v>
      </c>
      <c r="K198" s="250">
        <f t="shared" si="89"/>
        <v>0</v>
      </c>
    </row>
    <row r="199" spans="2:19">
      <c r="B199" s="233" t="s">
        <v>421</v>
      </c>
      <c r="C199" s="246">
        <v>0</v>
      </c>
      <c r="E199" s="246">
        <v>25.253201846716312</v>
      </c>
      <c r="G199" s="246">
        <f t="shared" si="90"/>
        <v>0</v>
      </c>
      <c r="I199" s="246">
        <v>25.253201846716312</v>
      </c>
      <c r="K199" s="250">
        <f t="shared" si="89"/>
        <v>0</v>
      </c>
      <c r="L199" s="52"/>
    </row>
    <row r="200" spans="2:19">
      <c r="B200" s="134" t="s">
        <v>423</v>
      </c>
      <c r="C200" s="246">
        <v>0</v>
      </c>
      <c r="E200" s="246">
        <v>3698.8733194995434</v>
      </c>
      <c r="G200" s="246">
        <f t="shared" ref="G200:G206" si="91">BG112</f>
        <v>0</v>
      </c>
      <c r="I200" s="246">
        <v>3698.8733194995434</v>
      </c>
      <c r="K200" s="250">
        <f t="shared" si="89"/>
        <v>0</v>
      </c>
    </row>
    <row r="201" spans="2:19">
      <c r="B201" s="233" t="s">
        <v>515</v>
      </c>
      <c r="C201" s="246">
        <v>0</v>
      </c>
      <c r="E201" s="246">
        <v>46.099804713468714</v>
      </c>
      <c r="G201" s="246">
        <f t="shared" si="91"/>
        <v>46.099804713468714</v>
      </c>
      <c r="I201" s="246">
        <v>0</v>
      </c>
      <c r="K201" s="250">
        <f t="shared" si="89"/>
        <v>0</v>
      </c>
    </row>
    <row r="202" spans="2:19">
      <c r="B202" s="233" t="s">
        <v>517</v>
      </c>
      <c r="C202" s="246">
        <v>0</v>
      </c>
      <c r="E202" s="246">
        <v>46.099804713468714</v>
      </c>
      <c r="G202" s="246">
        <f t="shared" si="91"/>
        <v>32.269863299428096</v>
      </c>
      <c r="I202" s="246">
        <v>13.829941414040613</v>
      </c>
      <c r="K202" s="250">
        <f t="shared" si="89"/>
        <v>0</v>
      </c>
    </row>
    <row r="203" spans="2:19">
      <c r="B203" s="233" t="s">
        <v>445</v>
      </c>
      <c r="C203" s="246">
        <v>0</v>
      </c>
      <c r="E203" s="246">
        <v>1314.2879334772852</v>
      </c>
      <c r="G203" s="246">
        <f t="shared" si="91"/>
        <v>1314.2879334772852</v>
      </c>
      <c r="I203" s="246">
        <v>0</v>
      </c>
      <c r="K203" s="250">
        <f t="shared" si="89"/>
        <v>0</v>
      </c>
      <c r="P203" s="241"/>
      <c r="Q203" s="241"/>
      <c r="R203" s="241"/>
      <c r="S203" s="241"/>
    </row>
    <row r="204" spans="2:19">
      <c r="B204" s="233" t="s">
        <v>446</v>
      </c>
      <c r="C204" s="246">
        <v>0</v>
      </c>
      <c r="E204" s="246">
        <v>616.23583583508366</v>
      </c>
      <c r="G204" s="246">
        <f t="shared" si="91"/>
        <v>0</v>
      </c>
      <c r="I204" s="246">
        <v>616.23583583508366</v>
      </c>
      <c r="K204" s="250">
        <f t="shared" si="89"/>
        <v>0</v>
      </c>
    </row>
    <row r="205" spans="2:19">
      <c r="B205" s="233" t="s">
        <v>447</v>
      </c>
      <c r="C205" s="246">
        <v>0</v>
      </c>
      <c r="E205" s="246">
        <v>3402.2651449800928</v>
      </c>
      <c r="G205" s="246">
        <f t="shared" si="91"/>
        <v>0</v>
      </c>
      <c r="I205" s="246">
        <v>3402.2651449800928</v>
      </c>
      <c r="K205" s="250">
        <f t="shared" si="89"/>
        <v>0</v>
      </c>
    </row>
    <row r="206" spans="2:19">
      <c r="B206" s="233" t="s">
        <v>457</v>
      </c>
      <c r="C206" s="246">
        <v>0</v>
      </c>
      <c r="E206" s="246">
        <v>229.94813284002646</v>
      </c>
      <c r="G206" s="246">
        <f t="shared" si="91"/>
        <v>0</v>
      </c>
      <c r="I206" s="246">
        <v>229.94813284002646</v>
      </c>
      <c r="K206" s="250">
        <f t="shared" si="89"/>
        <v>0</v>
      </c>
    </row>
    <row r="207" spans="2:19" ht="16.95" customHeight="1">
      <c r="B207" s="233"/>
      <c r="C207" s="14" t="s">
        <v>370</v>
      </c>
      <c r="E207" s="14" t="s">
        <v>372</v>
      </c>
      <c r="G207" s="52" t="s">
        <v>369</v>
      </c>
      <c r="I207" s="52" t="s">
        <v>38</v>
      </c>
      <c r="K207" s="52">
        <f>SUM(K171:K206)</f>
        <v>0</v>
      </c>
    </row>
    <row r="208" spans="2:19">
      <c r="B208" s="233"/>
      <c r="G208" s="52"/>
      <c r="I208" s="52"/>
    </row>
    <row r="209" spans="2:15">
      <c r="B209" s="233"/>
    </row>
    <row r="210" spans="2:15">
      <c r="C210" s="390" t="s">
        <v>375</v>
      </c>
      <c r="D210" s="390"/>
      <c r="E210" s="390"/>
      <c r="F210" s="390"/>
      <c r="G210" s="390"/>
      <c r="L210" s="241"/>
      <c r="M210" s="241"/>
    </row>
    <row r="213" spans="2:15">
      <c r="B213" s="134" t="s">
        <v>325</v>
      </c>
      <c r="C213" s="246">
        <f t="array" ref="C213:C227">TRANSPOSE((AR120:BF120))</f>
        <v>1043.9873925509492</v>
      </c>
      <c r="E213" s="246">
        <f t="shared" ref="E213:E227" si="92">AM124</f>
        <v>1043.9873925509492</v>
      </c>
      <c r="G213" s="250">
        <f>C213-E213</f>
        <v>0</v>
      </c>
    </row>
    <row r="214" spans="2:15">
      <c r="B214" s="134" t="s">
        <v>326</v>
      </c>
      <c r="C214" s="246">
        <v>208.65218594918355</v>
      </c>
      <c r="E214" s="246">
        <f t="shared" si="92"/>
        <v>208.65218594918355</v>
      </c>
      <c r="G214" s="250">
        <f t="shared" ref="G214:G227" si="93">C214-E214</f>
        <v>0</v>
      </c>
      <c r="N214" s="241"/>
      <c r="O214" s="241"/>
    </row>
    <row r="215" spans="2:15">
      <c r="B215" s="134" t="s">
        <v>327</v>
      </c>
      <c r="C215" s="246">
        <v>306.591996148688</v>
      </c>
      <c r="E215" s="246">
        <f t="shared" si="92"/>
        <v>306.591996148688</v>
      </c>
      <c r="G215" s="250">
        <f t="shared" si="93"/>
        <v>0</v>
      </c>
    </row>
    <row r="216" spans="2:15">
      <c r="B216" s="134" t="s">
        <v>455</v>
      </c>
      <c r="C216" s="246">
        <v>1011.7674660019052</v>
      </c>
      <c r="D216" s="14"/>
      <c r="E216" s="246">
        <f t="shared" si="92"/>
        <v>1011.7674660019052</v>
      </c>
      <c r="F216" s="14"/>
      <c r="G216" s="250">
        <f t="shared" si="93"/>
        <v>0</v>
      </c>
    </row>
    <row r="217" spans="2:15">
      <c r="B217" s="134" t="s">
        <v>435</v>
      </c>
      <c r="C217" s="246">
        <v>208.55560337725498</v>
      </c>
      <c r="E217" s="246">
        <f t="shared" si="92"/>
        <v>208.55560337725498</v>
      </c>
      <c r="G217" s="250">
        <f t="shared" si="93"/>
        <v>0</v>
      </c>
      <c r="H217" s="241"/>
      <c r="I217" s="241"/>
      <c r="J217" s="241"/>
      <c r="K217" s="241"/>
    </row>
    <row r="218" spans="2:15">
      <c r="B218" s="134" t="s">
        <v>434</v>
      </c>
      <c r="C218" s="246">
        <v>298.6148747230165</v>
      </c>
      <c r="E218" s="246">
        <f t="shared" si="92"/>
        <v>298.6148747230165</v>
      </c>
      <c r="G218" s="250">
        <f t="shared" si="93"/>
        <v>0</v>
      </c>
    </row>
    <row r="219" spans="2:15">
      <c r="B219" s="134" t="s">
        <v>351</v>
      </c>
      <c r="C219" s="246">
        <v>1011.7674660019052</v>
      </c>
      <c r="E219" s="246">
        <f t="shared" si="92"/>
        <v>1011.7674660019052</v>
      </c>
      <c r="G219" s="250">
        <f t="shared" si="93"/>
        <v>0</v>
      </c>
    </row>
    <row r="220" spans="2:15">
      <c r="B220" s="134" t="s">
        <v>348</v>
      </c>
      <c r="C220" s="246">
        <v>208.55560337725498</v>
      </c>
      <c r="D220" s="52" t="s">
        <v>378</v>
      </c>
      <c r="E220" s="246">
        <f t="shared" si="92"/>
        <v>208.55560337725498</v>
      </c>
      <c r="F220" s="52" t="s">
        <v>374</v>
      </c>
      <c r="G220" s="250">
        <f t="shared" si="93"/>
        <v>0</v>
      </c>
    </row>
    <row r="221" spans="2:15">
      <c r="B221" s="134" t="s">
        <v>362</v>
      </c>
      <c r="C221" s="246">
        <v>298.6148747230165</v>
      </c>
      <c r="E221" s="246">
        <f t="shared" si="92"/>
        <v>298.6148747230165</v>
      </c>
      <c r="G221" s="250">
        <f t="shared" si="93"/>
        <v>0</v>
      </c>
    </row>
    <row r="222" spans="2:15">
      <c r="B222" s="134" t="s">
        <v>349</v>
      </c>
      <c r="C222" s="246">
        <v>890.42781548807159</v>
      </c>
      <c r="E222" s="246">
        <f t="shared" si="92"/>
        <v>890.4278154880717</v>
      </c>
      <c r="G222" s="250">
        <f t="shared" si="93"/>
        <v>0</v>
      </c>
    </row>
    <row r="223" spans="2:15">
      <c r="B223" s="134" t="s">
        <v>344</v>
      </c>
      <c r="C223" s="246">
        <v>3997.4881942225597</v>
      </c>
      <c r="E223" s="246">
        <f t="shared" si="92"/>
        <v>3997.4881942225602</v>
      </c>
      <c r="G223" s="250">
        <f t="shared" si="93"/>
        <v>0</v>
      </c>
    </row>
    <row r="224" spans="2:15">
      <c r="B224" s="134" t="s">
        <v>514</v>
      </c>
      <c r="C224" s="246">
        <v>46.0998047134687</v>
      </c>
      <c r="E224" s="246">
        <f t="shared" si="92"/>
        <v>46.099804713468714</v>
      </c>
      <c r="G224" s="250">
        <f t="shared" si="93"/>
        <v>0</v>
      </c>
    </row>
    <row r="225" spans="2:11">
      <c r="B225" s="134" t="s">
        <v>516</v>
      </c>
      <c r="C225" s="246">
        <v>46.099804713468714</v>
      </c>
      <c r="E225" s="246">
        <f t="shared" si="92"/>
        <v>46.099804713468714</v>
      </c>
      <c r="G225" s="250">
        <f t="shared" si="93"/>
        <v>0</v>
      </c>
    </row>
    <row r="226" spans="2:11">
      <c r="B226" s="134" t="s">
        <v>76</v>
      </c>
      <c r="C226" s="246">
        <v>1314.2879334772852</v>
      </c>
      <c r="E226" s="246">
        <f t="shared" si="92"/>
        <v>1314.2879334772852</v>
      </c>
      <c r="G226" s="250">
        <f t="shared" si="93"/>
        <v>0</v>
      </c>
    </row>
    <row r="227" spans="2:11">
      <c r="B227" s="134" t="s">
        <v>337</v>
      </c>
      <c r="C227" s="246">
        <v>4248.4491136552024</v>
      </c>
      <c r="D227" s="52"/>
      <c r="E227" s="246">
        <f t="shared" si="92"/>
        <v>4248.4491136552024</v>
      </c>
      <c r="G227" s="250">
        <f t="shared" si="93"/>
        <v>0</v>
      </c>
    </row>
    <row r="228" spans="2:11">
      <c r="B228" s="233"/>
      <c r="C228" s="52" t="s">
        <v>368</v>
      </c>
      <c r="D228" s="52"/>
      <c r="E228" s="52" t="s">
        <v>365</v>
      </c>
      <c r="F228" s="52"/>
      <c r="G228" s="52">
        <v>0</v>
      </c>
    </row>
    <row r="229" spans="2:11">
      <c r="B229" s="233"/>
    </row>
    <row r="230" spans="2:11">
      <c r="B230" s="233"/>
    </row>
    <row r="235" spans="2:11">
      <c r="H235" s="52"/>
      <c r="I235" s="52"/>
      <c r="J235" s="52"/>
      <c r="K235" s="52"/>
    </row>
  </sheetData>
  <mergeCells count="13">
    <mergeCell ref="AR78:BF78"/>
    <mergeCell ref="AR38:BF38"/>
    <mergeCell ref="BL38:BY38"/>
    <mergeCell ref="C210:G210"/>
    <mergeCell ref="C162:AL162"/>
    <mergeCell ref="C164:AL164"/>
    <mergeCell ref="BL119:BM119"/>
    <mergeCell ref="AR121:BF121"/>
    <mergeCell ref="C139:AL139"/>
    <mergeCell ref="C141:AL141"/>
    <mergeCell ref="C122:D122"/>
    <mergeCell ref="C168:K168"/>
    <mergeCell ref="AR119:BF119"/>
  </mergeCells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BZ233"/>
  <sheetViews>
    <sheetView topLeftCell="A155" zoomScale="114" workbookViewId="0">
      <selection activeCell="BA101" sqref="BA101"/>
    </sheetView>
  </sheetViews>
  <sheetFormatPr defaultColWidth="11.5546875" defaultRowHeight="14.4"/>
  <cols>
    <col min="2" max="2" width="17" customWidth="1"/>
    <col min="11" max="11" width="12.6640625" customWidth="1"/>
    <col min="45" max="45" width="16" customWidth="1"/>
  </cols>
  <sheetData>
    <row r="1" spans="2:78" ht="112.05" customHeight="1">
      <c r="C1" s="234" t="s">
        <v>566</v>
      </c>
      <c r="AQ1" s="248"/>
      <c r="AR1" s="234" t="s">
        <v>325</v>
      </c>
      <c r="AS1" s="234" t="s">
        <v>326</v>
      </c>
      <c r="AT1" s="234" t="s">
        <v>327</v>
      </c>
      <c r="AU1" s="234" t="s">
        <v>455</v>
      </c>
      <c r="AV1" s="234" t="s">
        <v>435</v>
      </c>
      <c r="AW1" s="234" t="s">
        <v>434</v>
      </c>
      <c r="AX1" s="234" t="s">
        <v>351</v>
      </c>
      <c r="AY1" s="234" t="s">
        <v>348</v>
      </c>
      <c r="AZ1" s="234" t="s">
        <v>362</v>
      </c>
      <c r="BA1" s="234" t="s">
        <v>349</v>
      </c>
      <c r="BB1" s="234" t="s">
        <v>344</v>
      </c>
      <c r="BC1" s="234" t="s">
        <v>514</v>
      </c>
      <c r="BD1" s="234" t="s">
        <v>516</v>
      </c>
      <c r="BE1" s="234" t="s">
        <v>76</v>
      </c>
      <c r="BF1" s="234" t="s">
        <v>337</v>
      </c>
      <c r="BK1" s="248"/>
      <c r="BL1" s="234" t="s">
        <v>325</v>
      </c>
      <c r="BM1" s="234" t="s">
        <v>326</v>
      </c>
      <c r="BN1" s="234" t="s">
        <v>327</v>
      </c>
      <c r="BO1" s="234" t="s">
        <v>455</v>
      </c>
      <c r="BP1" s="234" t="s">
        <v>435</v>
      </c>
      <c r="BQ1" s="234" t="s">
        <v>434</v>
      </c>
      <c r="BR1" s="234" t="s">
        <v>351</v>
      </c>
      <c r="BS1" s="234" t="s">
        <v>348</v>
      </c>
      <c r="BT1" s="234" t="s">
        <v>362</v>
      </c>
      <c r="BU1" s="234" t="s">
        <v>349</v>
      </c>
      <c r="BV1" s="234" t="s">
        <v>344</v>
      </c>
      <c r="BW1" s="234" t="s">
        <v>514</v>
      </c>
      <c r="BX1" s="234" t="s">
        <v>516</v>
      </c>
      <c r="BY1" s="234" t="s">
        <v>76</v>
      </c>
      <c r="BZ1" s="234" t="s">
        <v>337</v>
      </c>
    </row>
    <row r="2" spans="2:78">
      <c r="B2" s="134" t="s">
        <v>333</v>
      </c>
      <c r="C2" s="249">
        <v>1</v>
      </c>
      <c r="AQ2" s="134" t="s">
        <v>333</v>
      </c>
      <c r="AR2" s="249">
        <v>0</v>
      </c>
      <c r="AS2" s="249">
        <v>0</v>
      </c>
      <c r="AT2" s="249">
        <v>0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K2" s="134" t="s">
        <v>333</v>
      </c>
      <c r="BL2" s="249">
        <v>0</v>
      </c>
      <c r="BM2" s="249">
        <v>0</v>
      </c>
      <c r="BN2" s="249">
        <v>0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  <c r="BZ2" s="249">
        <v>0</v>
      </c>
    </row>
    <row r="3" spans="2:78">
      <c r="B3" s="134" t="s">
        <v>335</v>
      </c>
      <c r="C3" s="249">
        <v>1</v>
      </c>
      <c r="AQ3" s="134" t="s">
        <v>335</v>
      </c>
      <c r="AR3" s="249">
        <v>0</v>
      </c>
      <c r="AS3" s="249">
        <v>0</v>
      </c>
      <c r="AT3" s="249">
        <v>0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K3" s="134" t="s">
        <v>335</v>
      </c>
      <c r="BL3" s="249">
        <v>0</v>
      </c>
      <c r="BM3" s="249">
        <v>0</v>
      </c>
      <c r="BN3" s="249">
        <v>0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  <c r="BZ3" s="249">
        <v>0</v>
      </c>
    </row>
    <row r="4" spans="2:78">
      <c r="B4" s="134" t="s">
        <v>336</v>
      </c>
      <c r="C4" s="249">
        <v>1</v>
      </c>
      <c r="AQ4" s="134" t="s">
        <v>336</v>
      </c>
      <c r="AR4" s="249">
        <v>0</v>
      </c>
      <c r="AS4" s="249">
        <v>0</v>
      </c>
      <c r="AT4" s="249">
        <v>0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K4" s="134" t="s">
        <v>336</v>
      </c>
      <c r="BL4" s="249">
        <v>0</v>
      </c>
      <c r="BM4" s="249">
        <v>0</v>
      </c>
      <c r="BN4" s="249">
        <v>0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  <c r="BZ4" s="249">
        <v>0</v>
      </c>
    </row>
    <row r="5" spans="2:78">
      <c r="B5" s="134" t="s">
        <v>355</v>
      </c>
      <c r="C5" s="249">
        <v>1</v>
      </c>
      <c r="AQ5" s="134" t="s">
        <v>355</v>
      </c>
      <c r="AR5" s="249">
        <v>0</v>
      </c>
      <c r="AS5" s="249">
        <v>0</v>
      </c>
      <c r="AT5" s="249">
        <v>0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K5" s="134" t="s">
        <v>355</v>
      </c>
      <c r="BL5" s="249">
        <v>0</v>
      </c>
      <c r="BM5" s="249">
        <v>0</v>
      </c>
      <c r="BN5" s="249">
        <v>0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  <c r="BZ5" s="249">
        <v>0</v>
      </c>
    </row>
    <row r="6" spans="2:78">
      <c r="B6" s="134" t="s">
        <v>377</v>
      </c>
      <c r="C6" s="249">
        <v>1</v>
      </c>
      <c r="AQ6" s="134" t="s">
        <v>377</v>
      </c>
      <c r="AR6" s="249">
        <v>0</v>
      </c>
      <c r="AS6" s="249">
        <v>0</v>
      </c>
      <c r="AT6" s="249">
        <v>0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K6" s="134" t="s">
        <v>377</v>
      </c>
      <c r="BL6" s="249">
        <v>0</v>
      </c>
      <c r="BM6" s="249">
        <v>0</v>
      </c>
      <c r="BN6" s="249">
        <v>0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  <c r="BZ6" s="249">
        <v>0</v>
      </c>
    </row>
    <row r="7" spans="2:78">
      <c r="B7" s="134" t="s">
        <v>466</v>
      </c>
      <c r="C7" s="249">
        <v>1</v>
      </c>
      <c r="AQ7" s="134" t="s">
        <v>466</v>
      </c>
      <c r="AR7" s="249">
        <v>0</v>
      </c>
      <c r="AS7" s="249">
        <v>0</v>
      </c>
      <c r="AT7" s="249">
        <v>0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K7" s="134" t="s">
        <v>466</v>
      </c>
      <c r="BL7" s="249">
        <v>0</v>
      </c>
      <c r="BM7" s="249">
        <v>0</v>
      </c>
      <c r="BN7" s="249">
        <v>0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  <c r="BZ7" s="249">
        <v>0</v>
      </c>
    </row>
    <row r="8" spans="2:78">
      <c r="B8" s="134" t="s">
        <v>467</v>
      </c>
      <c r="C8" s="249">
        <v>1</v>
      </c>
      <c r="AQ8" s="134" t="s">
        <v>467</v>
      </c>
      <c r="AR8" s="249">
        <v>0</v>
      </c>
      <c r="AS8" s="249">
        <v>0</v>
      </c>
      <c r="AT8" s="249">
        <v>0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K8" s="134" t="s">
        <v>467</v>
      </c>
      <c r="BL8" s="249">
        <v>0</v>
      </c>
      <c r="BM8" s="249">
        <v>0</v>
      </c>
      <c r="BN8" s="249">
        <v>0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  <c r="BZ8" s="249">
        <v>0</v>
      </c>
    </row>
    <row r="9" spans="2:78">
      <c r="B9" s="134" t="s">
        <v>411</v>
      </c>
      <c r="C9" s="249">
        <v>1</v>
      </c>
      <c r="AQ9" s="134" t="s">
        <v>411</v>
      </c>
      <c r="AR9" s="249">
        <v>0</v>
      </c>
      <c r="AS9" s="249">
        <v>0</v>
      </c>
      <c r="AT9" s="249">
        <v>0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K9" s="134" t="s">
        <v>411</v>
      </c>
      <c r="BL9" s="249">
        <v>0</v>
      </c>
      <c r="BM9" s="249">
        <v>0</v>
      </c>
      <c r="BN9" s="249">
        <v>0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  <c r="BZ9" s="249">
        <v>0</v>
      </c>
    </row>
    <row r="10" spans="2:78">
      <c r="B10" s="134" t="s">
        <v>459</v>
      </c>
      <c r="C10" s="249">
        <v>1</v>
      </c>
      <c r="AQ10" s="134" t="s">
        <v>459</v>
      </c>
      <c r="AR10" s="249">
        <v>0</v>
      </c>
      <c r="AS10" s="249">
        <v>0</v>
      </c>
      <c r="AT10" s="249">
        <v>0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K10" s="134" t="s">
        <v>459</v>
      </c>
      <c r="BL10" s="249">
        <v>0</v>
      </c>
      <c r="BM10" s="249">
        <v>0</v>
      </c>
      <c r="BN10" s="249">
        <v>0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  <c r="BZ10" s="249">
        <v>0</v>
      </c>
    </row>
    <row r="11" spans="2:78" ht="16.05" customHeight="1">
      <c r="B11" s="232" t="s">
        <v>442</v>
      </c>
      <c r="C11" s="249">
        <v>1</v>
      </c>
      <c r="AQ11" s="232" t="s">
        <v>442</v>
      </c>
      <c r="AR11" s="249">
        <v>0</v>
      </c>
      <c r="AS11" s="249">
        <v>0</v>
      </c>
      <c r="AT11" s="249">
        <v>0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K11" s="232" t="s">
        <v>442</v>
      </c>
      <c r="BL11" s="249">
        <v>0</v>
      </c>
      <c r="BM11" s="249">
        <v>0</v>
      </c>
      <c r="BN11" s="249">
        <v>0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  <c r="BZ11" s="249">
        <v>0</v>
      </c>
    </row>
    <row r="12" spans="2:78">
      <c r="B12" s="134" t="s">
        <v>409</v>
      </c>
      <c r="C12" s="249">
        <v>1</v>
      </c>
      <c r="AQ12" s="134" t="s">
        <v>409</v>
      </c>
      <c r="AR12" s="249">
        <v>0</v>
      </c>
      <c r="AS12" s="249">
        <v>0</v>
      </c>
      <c r="AT12" s="249">
        <v>0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K12" s="134" t="s">
        <v>409</v>
      </c>
      <c r="BL12" s="249">
        <v>0</v>
      </c>
      <c r="BM12" s="249">
        <v>0</v>
      </c>
      <c r="BN12" s="249">
        <v>0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  <c r="BZ12" s="249">
        <v>0</v>
      </c>
    </row>
    <row r="13" spans="2:78" ht="16.05" customHeight="1">
      <c r="B13" s="232" t="s">
        <v>412</v>
      </c>
      <c r="C13" s="249">
        <v>1</v>
      </c>
      <c r="AQ13" s="232" t="s">
        <v>412</v>
      </c>
      <c r="AR13" s="249">
        <v>0</v>
      </c>
      <c r="AS13" s="249">
        <v>0</v>
      </c>
      <c r="AT13" s="249">
        <v>0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K13" s="232" t="s">
        <v>412</v>
      </c>
      <c r="BL13" s="249">
        <v>0</v>
      </c>
      <c r="BM13" s="249">
        <v>0</v>
      </c>
      <c r="BN13" s="249">
        <v>0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  <c r="BZ13" s="249">
        <v>0</v>
      </c>
    </row>
    <row r="14" spans="2:78">
      <c r="B14" s="134" t="s">
        <v>437</v>
      </c>
      <c r="C14" s="249">
        <v>1</v>
      </c>
      <c r="AQ14" s="134" t="s">
        <v>437</v>
      </c>
      <c r="AR14" s="249">
        <v>0</v>
      </c>
      <c r="AS14" s="249">
        <v>0</v>
      </c>
      <c r="AT14" s="249">
        <v>0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K14" s="134" t="s">
        <v>437</v>
      </c>
      <c r="BL14" s="249">
        <v>0</v>
      </c>
      <c r="BM14" s="249">
        <v>0</v>
      </c>
      <c r="BN14" s="249">
        <v>0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  <c r="BZ14" s="249">
        <v>0</v>
      </c>
    </row>
    <row r="15" spans="2:78">
      <c r="B15" s="233" t="s">
        <v>430</v>
      </c>
      <c r="C15" s="249">
        <v>1</v>
      </c>
      <c r="AQ15" s="233" t="s">
        <v>430</v>
      </c>
      <c r="AR15" s="249">
        <v>0</v>
      </c>
      <c r="AS15" s="249">
        <v>0</v>
      </c>
      <c r="AT15" s="249">
        <v>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K15" s="233" t="s">
        <v>430</v>
      </c>
      <c r="BL15" s="249">
        <v>0</v>
      </c>
      <c r="BM15" s="249">
        <v>0</v>
      </c>
      <c r="BN15" s="249">
        <v>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  <c r="BZ15" s="249">
        <v>0</v>
      </c>
    </row>
    <row r="16" spans="2:78">
      <c r="B16" s="134" t="s">
        <v>416</v>
      </c>
      <c r="C16" s="249">
        <v>1</v>
      </c>
      <c r="AQ16" s="134" t="s">
        <v>416</v>
      </c>
      <c r="AR16" s="249">
        <v>0</v>
      </c>
      <c r="AS16" s="249">
        <v>0</v>
      </c>
      <c r="AT16" s="249">
        <v>0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K16" s="134" t="s">
        <v>416</v>
      </c>
      <c r="BL16" s="249">
        <v>0</v>
      </c>
      <c r="BM16" s="249">
        <v>0</v>
      </c>
      <c r="BN16" s="249">
        <v>0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  <c r="BZ16" s="249">
        <v>0</v>
      </c>
    </row>
    <row r="17" spans="2:78" ht="16.05" customHeight="1">
      <c r="B17" s="232" t="s">
        <v>441</v>
      </c>
      <c r="C17" s="249">
        <v>1</v>
      </c>
      <c r="AQ17" s="232" t="s">
        <v>441</v>
      </c>
      <c r="AR17" s="249">
        <v>0</v>
      </c>
      <c r="AS17" s="249">
        <v>0</v>
      </c>
      <c r="AT17" s="249">
        <v>0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K17" s="232" t="s">
        <v>441</v>
      </c>
      <c r="BL17" s="249">
        <v>0</v>
      </c>
      <c r="BM17" s="249">
        <v>0</v>
      </c>
      <c r="BN17" s="249">
        <v>0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  <c r="BZ17" s="249">
        <v>0</v>
      </c>
    </row>
    <row r="18" spans="2:78" ht="16.05" customHeight="1">
      <c r="B18" s="232" t="s">
        <v>436</v>
      </c>
      <c r="C18" s="249">
        <v>1</v>
      </c>
      <c r="AQ18" s="232" t="s">
        <v>436</v>
      </c>
      <c r="AR18" s="249">
        <v>0</v>
      </c>
      <c r="AS18" s="249">
        <v>0</v>
      </c>
      <c r="AT18" s="249">
        <v>0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K18" s="232" t="s">
        <v>436</v>
      </c>
      <c r="BL18" s="249">
        <v>0</v>
      </c>
      <c r="BM18" s="249">
        <v>0</v>
      </c>
      <c r="BN18" s="249">
        <v>0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  <c r="BZ18" s="249">
        <v>0</v>
      </c>
    </row>
    <row r="19" spans="2:78" ht="16.05" customHeight="1">
      <c r="B19" s="232" t="s">
        <v>433</v>
      </c>
      <c r="C19" s="249">
        <v>1</v>
      </c>
      <c r="AQ19" s="232" t="s">
        <v>433</v>
      </c>
      <c r="AR19" s="249">
        <v>0</v>
      </c>
      <c r="AS19" s="249">
        <v>0</v>
      </c>
      <c r="AT19" s="249">
        <v>0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K19" s="232" t="s">
        <v>433</v>
      </c>
      <c r="BL19" s="249">
        <v>0</v>
      </c>
      <c r="BM19" s="249">
        <v>0</v>
      </c>
      <c r="BN19" s="249">
        <v>0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  <c r="BZ19" s="249">
        <v>0</v>
      </c>
    </row>
    <row r="20" spans="2:78" ht="16.05" customHeight="1">
      <c r="B20" s="232" t="s">
        <v>439</v>
      </c>
      <c r="C20" s="249">
        <v>1</v>
      </c>
      <c r="AQ20" s="232" t="s">
        <v>439</v>
      </c>
      <c r="AR20" s="249">
        <v>0</v>
      </c>
      <c r="AS20" s="249">
        <v>0</v>
      </c>
      <c r="AT20" s="249">
        <v>0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K20" s="232" t="s">
        <v>439</v>
      </c>
      <c r="BL20" s="249">
        <v>0</v>
      </c>
      <c r="BM20" s="249">
        <v>0</v>
      </c>
      <c r="BN20" s="249">
        <v>0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  <c r="BZ20" s="249">
        <v>0</v>
      </c>
    </row>
    <row r="21" spans="2:78">
      <c r="B21" s="233" t="s">
        <v>438</v>
      </c>
      <c r="C21" s="249">
        <v>1</v>
      </c>
      <c r="AQ21" s="233" t="s">
        <v>438</v>
      </c>
      <c r="AR21" s="249">
        <v>0</v>
      </c>
      <c r="AS21" s="249">
        <v>0</v>
      </c>
      <c r="AT21" s="249">
        <v>0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K21" s="233" t="s">
        <v>438</v>
      </c>
      <c r="BL21" s="249">
        <v>0</v>
      </c>
      <c r="BM21" s="249">
        <v>0</v>
      </c>
      <c r="BN21" s="249">
        <v>0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  <c r="BZ21" s="249">
        <v>0</v>
      </c>
    </row>
    <row r="22" spans="2:78">
      <c r="B22" s="233" t="s">
        <v>424</v>
      </c>
      <c r="C22" s="249">
        <v>1</v>
      </c>
      <c r="AQ22" s="233" t="s">
        <v>424</v>
      </c>
      <c r="AR22" s="249">
        <v>0</v>
      </c>
      <c r="AS22" s="249">
        <v>0</v>
      </c>
      <c r="AT22" s="249">
        <v>0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K22" s="233" t="s">
        <v>424</v>
      </c>
      <c r="BL22" s="249">
        <v>0</v>
      </c>
      <c r="BM22" s="249">
        <v>0</v>
      </c>
      <c r="BN22" s="249">
        <v>0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  <c r="BZ22" s="249">
        <v>0</v>
      </c>
    </row>
    <row r="23" spans="2:78">
      <c r="B23" s="233" t="s">
        <v>456</v>
      </c>
      <c r="C23" s="249">
        <v>1</v>
      </c>
      <c r="AQ23" s="233" t="s">
        <v>456</v>
      </c>
      <c r="AR23" s="249">
        <v>0</v>
      </c>
      <c r="AS23" s="249">
        <v>0</v>
      </c>
      <c r="AT23" s="249">
        <v>0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K23" s="233" t="s">
        <v>456</v>
      </c>
      <c r="BL23" s="249">
        <v>0</v>
      </c>
      <c r="BM23" s="249">
        <v>0</v>
      </c>
      <c r="BN23" s="249">
        <v>0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  <c r="BZ23" s="249">
        <v>0</v>
      </c>
    </row>
    <row r="24" spans="2:78">
      <c r="B24" s="233" t="s">
        <v>425</v>
      </c>
      <c r="C24" s="249">
        <v>1</v>
      </c>
      <c r="AQ24" s="233" t="s">
        <v>425</v>
      </c>
      <c r="AR24" s="249">
        <v>0</v>
      </c>
      <c r="AS24" s="249">
        <v>0</v>
      </c>
      <c r="AT24" s="249">
        <v>0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K24" s="233" t="s">
        <v>425</v>
      </c>
      <c r="BL24" s="249">
        <v>0</v>
      </c>
      <c r="BM24" s="249">
        <v>0</v>
      </c>
      <c r="BN24" s="249">
        <v>0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  <c r="BZ24" s="249">
        <v>0</v>
      </c>
    </row>
    <row r="25" spans="2:78">
      <c r="B25" s="233" t="s">
        <v>427</v>
      </c>
      <c r="C25" s="249">
        <v>1</v>
      </c>
      <c r="AQ25" s="233" t="s">
        <v>427</v>
      </c>
      <c r="AR25" s="249">
        <v>0</v>
      </c>
      <c r="AS25" s="249">
        <v>0</v>
      </c>
      <c r="AT25" s="249">
        <v>0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K25" s="233" t="s">
        <v>427</v>
      </c>
      <c r="BL25" s="249">
        <v>0</v>
      </c>
      <c r="BM25" s="249">
        <v>0</v>
      </c>
      <c r="BN25" s="249">
        <v>0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  <c r="BZ25" s="249">
        <v>0</v>
      </c>
    </row>
    <row r="26" spans="2:78">
      <c r="B26" s="233" t="s">
        <v>426</v>
      </c>
      <c r="C26" s="249">
        <v>1</v>
      </c>
      <c r="AQ26" s="233" t="s">
        <v>426</v>
      </c>
      <c r="AR26" s="249">
        <v>0</v>
      </c>
      <c r="AS26" s="249">
        <v>0</v>
      </c>
      <c r="AT26" s="249">
        <v>0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K26" s="233" t="s">
        <v>426</v>
      </c>
      <c r="BL26" s="249">
        <v>0</v>
      </c>
      <c r="BM26" s="249">
        <v>0</v>
      </c>
      <c r="BN26" s="249">
        <v>0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  <c r="BZ26" s="249">
        <v>0</v>
      </c>
    </row>
    <row r="27" spans="2:78">
      <c r="B27" s="233" t="s">
        <v>484</v>
      </c>
      <c r="C27" s="249">
        <v>1</v>
      </c>
      <c r="AQ27" s="233" t="s">
        <v>484</v>
      </c>
      <c r="AR27" s="249">
        <v>0</v>
      </c>
      <c r="AS27" s="249">
        <v>0</v>
      </c>
      <c r="AT27" s="249">
        <v>0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K27" s="233" t="s">
        <v>484</v>
      </c>
      <c r="BL27" s="249">
        <v>0</v>
      </c>
      <c r="BM27" s="249">
        <v>0</v>
      </c>
      <c r="BN27" s="249">
        <v>0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  <c r="BZ27" s="249">
        <v>0</v>
      </c>
    </row>
    <row r="28" spans="2:78" ht="16.05" customHeight="1">
      <c r="B28" s="247" t="s">
        <v>422</v>
      </c>
      <c r="C28" s="249">
        <v>1</v>
      </c>
      <c r="AQ28" s="247" t="s">
        <v>422</v>
      </c>
      <c r="AR28" s="249">
        <v>0</v>
      </c>
      <c r="AS28" s="249">
        <v>0</v>
      </c>
      <c r="AT28" s="249">
        <v>0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K28" s="247" t="s">
        <v>422</v>
      </c>
      <c r="BL28" s="249">
        <v>0</v>
      </c>
      <c r="BM28" s="249">
        <v>0</v>
      </c>
      <c r="BN28" s="249">
        <v>0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  <c r="BZ28" s="249">
        <v>0</v>
      </c>
    </row>
    <row r="29" spans="2:78" ht="16.05" customHeight="1">
      <c r="B29" s="247" t="s">
        <v>552</v>
      </c>
      <c r="C29" s="249">
        <v>1</v>
      </c>
      <c r="AQ29" s="247" t="s">
        <v>552</v>
      </c>
      <c r="AR29" s="249">
        <v>0</v>
      </c>
      <c r="AS29" s="249">
        <v>0</v>
      </c>
      <c r="AT29" s="249">
        <v>0</v>
      </c>
      <c r="AU29" s="249">
        <v>0</v>
      </c>
      <c r="AV29" s="249">
        <v>0</v>
      </c>
      <c r="AW29" s="249">
        <v>0</v>
      </c>
      <c r="AX29" s="249">
        <v>0</v>
      </c>
      <c r="AY29" s="249">
        <v>0</v>
      </c>
      <c r="AZ29" s="249">
        <v>0</v>
      </c>
      <c r="BA29" s="249">
        <v>0</v>
      </c>
      <c r="BB29" s="249">
        <v>0</v>
      </c>
      <c r="BC29" s="249">
        <v>0</v>
      </c>
      <c r="BD29" s="249">
        <v>0</v>
      </c>
      <c r="BE29" s="249">
        <v>0</v>
      </c>
      <c r="BF29" s="249">
        <v>0</v>
      </c>
      <c r="BK29" s="247" t="s">
        <v>552</v>
      </c>
      <c r="BL29" s="249">
        <v>0</v>
      </c>
      <c r="BM29" s="249">
        <v>0</v>
      </c>
      <c r="BN29" s="249">
        <v>0</v>
      </c>
      <c r="BO29" s="249">
        <v>0</v>
      </c>
      <c r="BP29" s="249">
        <v>0</v>
      </c>
      <c r="BQ29" s="249">
        <v>0</v>
      </c>
      <c r="BR29" s="249">
        <v>0</v>
      </c>
      <c r="BS29" s="249">
        <v>0</v>
      </c>
      <c r="BT29" s="249">
        <v>0</v>
      </c>
      <c r="BU29" s="249">
        <v>0</v>
      </c>
      <c r="BV29" s="249">
        <v>0</v>
      </c>
      <c r="BW29" s="249">
        <v>0</v>
      </c>
      <c r="BX29" s="249">
        <v>0</v>
      </c>
      <c r="BY29" s="249">
        <v>0</v>
      </c>
      <c r="BZ29" s="249">
        <v>0</v>
      </c>
    </row>
    <row r="30" spans="2:78">
      <c r="B30" s="233" t="s">
        <v>421</v>
      </c>
      <c r="C30" s="249">
        <v>1</v>
      </c>
      <c r="AQ30" s="233" t="s">
        <v>421</v>
      </c>
      <c r="AR30" s="249">
        <v>0</v>
      </c>
      <c r="AS30" s="249">
        <v>0</v>
      </c>
      <c r="AT30" s="249">
        <v>0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K30" s="233" t="s">
        <v>421</v>
      </c>
      <c r="BL30" s="249">
        <v>0</v>
      </c>
      <c r="BM30" s="249">
        <v>0</v>
      </c>
      <c r="BN30" s="249">
        <v>0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  <c r="BZ30" s="249">
        <v>0</v>
      </c>
    </row>
    <row r="31" spans="2:78">
      <c r="B31" s="134" t="s">
        <v>423</v>
      </c>
      <c r="C31" s="249">
        <v>1</v>
      </c>
      <c r="AQ31" s="134" t="s">
        <v>423</v>
      </c>
      <c r="AR31" s="249">
        <v>0</v>
      </c>
      <c r="AS31" s="249">
        <v>0</v>
      </c>
      <c r="AT31" s="249">
        <v>0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K31" s="134" t="s">
        <v>423</v>
      </c>
      <c r="BL31" s="249">
        <v>0</v>
      </c>
      <c r="BM31" s="249">
        <v>0</v>
      </c>
      <c r="BN31" s="249">
        <v>0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  <c r="BZ31" s="249">
        <v>0</v>
      </c>
    </row>
    <row r="32" spans="2:78">
      <c r="B32" s="233" t="s">
        <v>515</v>
      </c>
      <c r="C32" s="249">
        <v>1</v>
      </c>
      <c r="AQ32" s="233" t="s">
        <v>515</v>
      </c>
      <c r="AR32" s="249">
        <v>0</v>
      </c>
      <c r="AS32" s="249">
        <v>0</v>
      </c>
      <c r="AT32" s="249">
        <v>0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K32" s="233" t="s">
        <v>515</v>
      </c>
      <c r="BL32" s="249">
        <v>0</v>
      </c>
      <c r="BM32" s="249">
        <v>0</v>
      </c>
      <c r="BN32" s="249">
        <v>0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  <c r="BZ32" s="249">
        <v>0</v>
      </c>
    </row>
    <row r="33" spans="2:78">
      <c r="B33" s="233" t="s">
        <v>517</v>
      </c>
      <c r="C33" s="249">
        <v>1</v>
      </c>
      <c r="AQ33" s="233" t="s">
        <v>517</v>
      </c>
      <c r="AR33" s="249">
        <v>0</v>
      </c>
      <c r="AS33" s="249">
        <v>0</v>
      </c>
      <c r="AT33" s="249">
        <v>0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K33" s="233" t="s">
        <v>517</v>
      </c>
      <c r="BL33" s="249">
        <v>0</v>
      </c>
      <c r="BM33" s="249">
        <v>0</v>
      </c>
      <c r="BN33" s="249">
        <v>0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  <c r="BZ33" s="249">
        <v>0</v>
      </c>
    </row>
    <row r="34" spans="2:78">
      <c r="B34" s="233" t="s">
        <v>445</v>
      </c>
      <c r="C34" s="249">
        <v>1</v>
      </c>
      <c r="AQ34" s="233" t="s">
        <v>445</v>
      </c>
      <c r="AR34" s="249">
        <v>0</v>
      </c>
      <c r="AS34" s="249">
        <v>0</v>
      </c>
      <c r="AT34" s="249">
        <v>0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K34" s="233" t="s">
        <v>445</v>
      </c>
      <c r="BL34" s="249">
        <v>0</v>
      </c>
      <c r="BM34" s="249">
        <v>0</v>
      </c>
      <c r="BN34" s="249">
        <v>0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  <c r="BZ34" s="249">
        <v>0</v>
      </c>
    </row>
    <row r="35" spans="2:78">
      <c r="B35" s="233" t="s">
        <v>446</v>
      </c>
      <c r="C35" s="249">
        <v>1</v>
      </c>
      <c r="AQ35" s="233" t="s">
        <v>446</v>
      </c>
      <c r="AR35" s="249">
        <v>0</v>
      </c>
      <c r="AS35" s="249">
        <v>0</v>
      </c>
      <c r="AT35" s="249">
        <v>0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K35" s="233" t="s">
        <v>446</v>
      </c>
      <c r="BL35" s="249">
        <v>0</v>
      </c>
      <c r="BM35" s="249">
        <v>0</v>
      </c>
      <c r="BN35" s="249">
        <v>0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  <c r="BZ35" s="249">
        <v>0</v>
      </c>
    </row>
    <row r="36" spans="2:78">
      <c r="B36" s="233" t="s">
        <v>447</v>
      </c>
      <c r="C36" s="249">
        <v>1</v>
      </c>
      <c r="AQ36" s="233" t="s">
        <v>447</v>
      </c>
      <c r="AR36" s="249">
        <v>0</v>
      </c>
      <c r="AS36" s="249">
        <v>0</v>
      </c>
      <c r="AT36" s="249">
        <v>0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K36" s="233" t="s">
        <v>447</v>
      </c>
      <c r="BL36" s="249">
        <v>0</v>
      </c>
      <c r="BM36" s="249">
        <v>0</v>
      </c>
      <c r="BN36" s="249">
        <v>0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  <c r="BZ36" s="249">
        <v>0</v>
      </c>
    </row>
    <row r="37" spans="2:78">
      <c r="B37" s="233" t="s">
        <v>457</v>
      </c>
      <c r="C37" s="249">
        <v>1</v>
      </c>
      <c r="AQ37" s="233" t="s">
        <v>457</v>
      </c>
      <c r="AR37" s="249">
        <v>0</v>
      </c>
      <c r="AS37" s="249">
        <v>0</v>
      </c>
      <c r="AT37" s="249">
        <v>0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K37" s="233" t="s">
        <v>457</v>
      </c>
      <c r="BL37" s="249">
        <v>0</v>
      </c>
      <c r="BM37" s="249">
        <v>0</v>
      </c>
      <c r="BN37" s="249">
        <v>0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  <c r="BZ37" s="249">
        <v>0</v>
      </c>
    </row>
    <row r="38" spans="2:78">
      <c r="C38" s="52" t="s">
        <v>473</v>
      </c>
      <c r="AQ38" s="233"/>
      <c r="AR38" s="390" t="s">
        <v>470</v>
      </c>
      <c r="AS38" s="390"/>
      <c r="AT38" s="390"/>
      <c r="AU38" s="390"/>
      <c r="AV38" s="390"/>
      <c r="AW38" s="390"/>
      <c r="AX38" s="390"/>
      <c r="AY38" s="390"/>
      <c r="AZ38" s="390"/>
      <c r="BA38" s="390"/>
      <c r="BB38" s="390"/>
      <c r="BC38" s="390"/>
      <c r="BD38" s="390"/>
      <c r="BE38" s="390"/>
      <c r="BF38" s="390"/>
      <c r="BK38" s="233"/>
      <c r="BL38" s="390" t="s">
        <v>471</v>
      </c>
      <c r="BM38" s="390"/>
      <c r="BN38" s="390"/>
      <c r="BO38" s="390"/>
      <c r="BP38" s="390"/>
      <c r="BQ38" s="390"/>
      <c r="BR38" s="390"/>
      <c r="BS38" s="390"/>
      <c r="BT38" s="390"/>
      <c r="BU38" s="390"/>
      <c r="BV38" s="390"/>
      <c r="BW38" s="390"/>
      <c r="BX38" s="390"/>
      <c r="BY38" s="390"/>
      <c r="BZ38" s="390"/>
    </row>
    <row r="39" spans="2:78">
      <c r="AQ39" s="233"/>
      <c r="BK39" s="233"/>
    </row>
    <row r="40" spans="2:78">
      <c r="AQ40" s="233"/>
    </row>
    <row r="41" spans="2:78" ht="112.05" customHeight="1">
      <c r="AQ41" s="248"/>
      <c r="AR41" s="234" t="s">
        <v>325</v>
      </c>
      <c r="AS41" s="234" t="s">
        <v>326</v>
      </c>
      <c r="AT41" s="234" t="s">
        <v>327</v>
      </c>
      <c r="AU41" s="234" t="s">
        <v>455</v>
      </c>
      <c r="AV41" s="234" t="s">
        <v>435</v>
      </c>
      <c r="AW41" s="234" t="s">
        <v>434</v>
      </c>
      <c r="AX41" s="234" t="s">
        <v>351</v>
      </c>
      <c r="AY41" s="234" t="s">
        <v>348</v>
      </c>
      <c r="AZ41" s="234" t="s">
        <v>362</v>
      </c>
      <c r="BA41" s="234" t="s">
        <v>349</v>
      </c>
      <c r="BB41" s="234" t="s">
        <v>344</v>
      </c>
      <c r="BC41" s="234" t="s">
        <v>514</v>
      </c>
      <c r="BD41" s="234" t="s">
        <v>516</v>
      </c>
      <c r="BE41" s="234" t="s">
        <v>76</v>
      </c>
      <c r="BF41" s="234" t="s">
        <v>337</v>
      </c>
    </row>
    <row r="42" spans="2:78">
      <c r="AQ42" s="134" t="s">
        <v>333</v>
      </c>
      <c r="AR42" s="249">
        <f>AR83</f>
        <v>-841.69623437072971</v>
      </c>
      <c r="AS42" s="249">
        <f t="shared" ref="AS42:BF42" si="0">AS83</f>
        <v>0</v>
      </c>
      <c r="AT42" s="249">
        <f t="shared" si="0"/>
        <v>0</v>
      </c>
      <c r="AU42" s="249">
        <f t="shared" si="0"/>
        <v>0</v>
      </c>
      <c r="AV42" s="249">
        <f t="shared" si="0"/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</row>
    <row r="43" spans="2:78">
      <c r="AQ43" s="134" t="s">
        <v>335</v>
      </c>
      <c r="AR43" s="249">
        <f t="shared" ref="AR43:BF68" si="1">AR84</f>
        <v>0</v>
      </c>
      <c r="AS43" s="249">
        <f t="shared" si="1"/>
        <v>-1202.01</v>
      </c>
      <c r="AT43" s="249">
        <f t="shared" si="1"/>
        <v>0</v>
      </c>
      <c r="AU43" s="249">
        <f t="shared" si="1"/>
        <v>0</v>
      </c>
      <c r="AV43" s="249">
        <f t="shared" si="1"/>
        <v>0</v>
      </c>
      <c r="AW43" s="249">
        <f t="shared" si="1"/>
        <v>0</v>
      </c>
      <c r="AX43" s="249">
        <f t="shared" si="1"/>
        <v>0</v>
      </c>
      <c r="AY43" s="249">
        <f t="shared" si="1"/>
        <v>0</v>
      </c>
      <c r="AZ43" s="249">
        <f t="shared" si="1"/>
        <v>0</v>
      </c>
      <c r="BA43" s="249">
        <f t="shared" si="1"/>
        <v>0</v>
      </c>
      <c r="BB43" s="249">
        <f t="shared" si="1"/>
        <v>0</v>
      </c>
      <c r="BC43" s="249">
        <f t="shared" si="1"/>
        <v>0</v>
      </c>
      <c r="BD43" s="249">
        <f t="shared" si="1"/>
        <v>0</v>
      </c>
      <c r="BE43" s="249">
        <f t="shared" si="1"/>
        <v>0</v>
      </c>
      <c r="BF43" s="249">
        <f t="shared" si="1"/>
        <v>0</v>
      </c>
    </row>
    <row r="44" spans="2:78">
      <c r="AQ44" s="134" t="s">
        <v>336</v>
      </c>
      <c r="AR44" s="249">
        <f t="shared" si="1"/>
        <v>0</v>
      </c>
      <c r="AS44" s="249">
        <f t="shared" si="1"/>
        <v>0</v>
      </c>
      <c r="AT44" s="249">
        <f t="shared" si="1"/>
        <v>23054812.906863328</v>
      </c>
      <c r="AU44" s="249">
        <f t="shared" si="1"/>
        <v>0</v>
      </c>
      <c r="AV44" s="249">
        <f t="shared" si="1"/>
        <v>0</v>
      </c>
      <c r="AW44" s="249">
        <f t="shared" si="1"/>
        <v>0</v>
      </c>
      <c r="AX44" s="249">
        <f t="shared" si="1"/>
        <v>0</v>
      </c>
      <c r="AY44" s="249">
        <f t="shared" si="1"/>
        <v>0</v>
      </c>
      <c r="AZ44" s="249">
        <f t="shared" si="1"/>
        <v>0</v>
      </c>
      <c r="BA44" s="249">
        <f t="shared" si="1"/>
        <v>0</v>
      </c>
      <c r="BB44" s="249">
        <f t="shared" si="1"/>
        <v>0</v>
      </c>
      <c r="BC44" s="249">
        <f t="shared" si="1"/>
        <v>0</v>
      </c>
      <c r="BD44" s="249">
        <f t="shared" si="1"/>
        <v>0</v>
      </c>
      <c r="BE44" s="249">
        <f t="shared" si="1"/>
        <v>0</v>
      </c>
      <c r="BF44" s="249">
        <f t="shared" si="1"/>
        <v>0</v>
      </c>
    </row>
    <row r="45" spans="2:78">
      <c r="AQ45" s="134" t="s">
        <v>355</v>
      </c>
      <c r="AR45" s="249">
        <f t="shared" si="1"/>
        <v>0</v>
      </c>
      <c r="AS45" s="249">
        <f t="shared" si="1"/>
        <v>0</v>
      </c>
      <c r="AT45" s="249">
        <f t="shared" si="1"/>
        <v>0</v>
      </c>
      <c r="AU45" s="249">
        <f t="shared" si="1"/>
        <v>0</v>
      </c>
      <c r="AV45" s="249">
        <f t="shared" si="1"/>
        <v>0</v>
      </c>
      <c r="AW45" s="249">
        <f t="shared" si="1"/>
        <v>0</v>
      </c>
      <c r="AX45" s="249">
        <f t="shared" si="1"/>
        <v>0</v>
      </c>
      <c r="AY45" s="249">
        <f t="shared" si="1"/>
        <v>0</v>
      </c>
      <c r="AZ45" s="249">
        <f t="shared" si="1"/>
        <v>0</v>
      </c>
      <c r="BA45" s="249">
        <f t="shared" si="1"/>
        <v>0</v>
      </c>
      <c r="BB45" s="249">
        <f t="shared" si="1"/>
        <v>0</v>
      </c>
      <c r="BC45" s="249">
        <f t="shared" si="1"/>
        <v>0</v>
      </c>
      <c r="BD45" s="249">
        <f t="shared" si="1"/>
        <v>0</v>
      </c>
      <c r="BE45" s="249">
        <f t="shared" si="1"/>
        <v>0</v>
      </c>
      <c r="BF45" s="249">
        <f t="shared" si="1"/>
        <v>0</v>
      </c>
    </row>
    <row r="46" spans="2:78">
      <c r="AQ46" s="134" t="s">
        <v>377</v>
      </c>
      <c r="AR46" s="249">
        <f t="shared" si="1"/>
        <v>0</v>
      </c>
      <c r="AS46" s="249">
        <f t="shared" si="1"/>
        <v>0</v>
      </c>
      <c r="AT46" s="249">
        <f t="shared" si="1"/>
        <v>0</v>
      </c>
      <c r="AU46" s="249">
        <f t="shared" si="1"/>
        <v>0</v>
      </c>
      <c r="AV46" s="249">
        <f t="shared" si="1"/>
        <v>0</v>
      </c>
      <c r="AW46" s="249">
        <f t="shared" si="1"/>
        <v>0</v>
      </c>
      <c r="AX46" s="249">
        <f t="shared" si="1"/>
        <v>0</v>
      </c>
      <c r="AY46" s="249">
        <f t="shared" si="1"/>
        <v>0</v>
      </c>
      <c r="AZ46" s="249">
        <f t="shared" si="1"/>
        <v>0</v>
      </c>
      <c r="BA46" s="249">
        <f t="shared" si="1"/>
        <v>-74.599999999999994</v>
      </c>
      <c r="BB46" s="249">
        <f t="shared" si="1"/>
        <v>-74.599999999999994</v>
      </c>
      <c r="BC46" s="249">
        <f t="shared" si="1"/>
        <v>0</v>
      </c>
      <c r="BD46" s="249">
        <f t="shared" si="1"/>
        <v>0</v>
      </c>
      <c r="BE46" s="249">
        <f t="shared" si="1"/>
        <v>0</v>
      </c>
      <c r="BF46" s="249">
        <f t="shared" si="1"/>
        <v>-74.599999999999994</v>
      </c>
    </row>
    <row r="47" spans="2:78">
      <c r="AQ47" s="134" t="s">
        <v>466</v>
      </c>
      <c r="AR47" s="249">
        <f t="shared" si="1"/>
        <v>7127.6028120000001</v>
      </c>
      <c r="AS47" s="249">
        <f t="shared" si="1"/>
        <v>7127.6028120000001</v>
      </c>
      <c r="AT47" s="249">
        <f t="shared" si="1"/>
        <v>7127.6028120000001</v>
      </c>
      <c r="AU47" s="249">
        <f t="shared" si="1"/>
        <v>0</v>
      </c>
      <c r="AV47" s="249">
        <f t="shared" si="1"/>
        <v>0</v>
      </c>
      <c r="AW47" s="249">
        <f t="shared" si="1"/>
        <v>0</v>
      </c>
      <c r="AX47" s="249">
        <f t="shared" si="1"/>
        <v>0</v>
      </c>
      <c r="AY47" s="249">
        <f t="shared" si="1"/>
        <v>0</v>
      </c>
      <c r="AZ47" s="249">
        <f t="shared" si="1"/>
        <v>0</v>
      </c>
      <c r="BA47" s="249">
        <f t="shared" si="1"/>
        <v>0</v>
      </c>
      <c r="BB47" s="249">
        <f t="shared" si="1"/>
        <v>0</v>
      </c>
      <c r="BC47" s="249">
        <f t="shared" si="1"/>
        <v>0</v>
      </c>
      <c r="BD47" s="249">
        <f t="shared" si="1"/>
        <v>0</v>
      </c>
      <c r="BE47" s="249">
        <f t="shared" si="1"/>
        <v>0</v>
      </c>
      <c r="BF47" s="249">
        <f t="shared" si="1"/>
        <v>0</v>
      </c>
    </row>
    <row r="48" spans="2:78">
      <c r="AQ48" s="134" t="s">
        <v>467</v>
      </c>
      <c r="AR48" s="249">
        <f t="shared" si="1"/>
        <v>0</v>
      </c>
      <c r="AS48" s="249">
        <f t="shared" si="1"/>
        <v>-250.1</v>
      </c>
      <c r="AT48" s="249">
        <f t="shared" si="1"/>
        <v>0</v>
      </c>
      <c r="AU48" s="249">
        <f t="shared" si="1"/>
        <v>0</v>
      </c>
      <c r="AV48" s="249">
        <f t="shared" si="1"/>
        <v>0</v>
      </c>
      <c r="AW48" s="249">
        <f t="shared" si="1"/>
        <v>0</v>
      </c>
      <c r="AX48" s="249">
        <f t="shared" si="1"/>
        <v>0</v>
      </c>
      <c r="AY48" s="249">
        <f t="shared" si="1"/>
        <v>0</v>
      </c>
      <c r="AZ48" s="249">
        <f t="shared" si="1"/>
        <v>0</v>
      </c>
      <c r="BA48" s="249">
        <f t="shared" si="1"/>
        <v>0</v>
      </c>
      <c r="BB48" s="249">
        <f t="shared" si="1"/>
        <v>0</v>
      </c>
      <c r="BC48" s="249">
        <f t="shared" si="1"/>
        <v>0</v>
      </c>
      <c r="BD48" s="249">
        <f t="shared" si="1"/>
        <v>0</v>
      </c>
      <c r="BE48" s="249">
        <f t="shared" si="1"/>
        <v>0</v>
      </c>
      <c r="BF48" s="249">
        <f t="shared" si="1"/>
        <v>0</v>
      </c>
    </row>
    <row r="49" spans="43:58">
      <c r="AQ49" s="134" t="s">
        <v>411</v>
      </c>
      <c r="AR49" s="249">
        <f t="shared" si="1"/>
        <v>0</v>
      </c>
      <c r="AS49" s="249">
        <f t="shared" si="1"/>
        <v>0</v>
      </c>
      <c r="AT49" s="249">
        <f t="shared" si="1"/>
        <v>0</v>
      </c>
      <c r="AU49" s="249">
        <f t="shared" si="1"/>
        <v>0</v>
      </c>
      <c r="AV49" s="249">
        <f t="shared" si="1"/>
        <v>0</v>
      </c>
      <c r="AW49" s="249">
        <f t="shared" si="1"/>
        <v>0</v>
      </c>
      <c r="AX49" s="249">
        <f t="shared" si="1"/>
        <v>0</v>
      </c>
      <c r="AY49" s="249">
        <f t="shared" si="1"/>
        <v>0</v>
      </c>
      <c r="AZ49" s="249">
        <f t="shared" si="1"/>
        <v>0</v>
      </c>
      <c r="BA49" s="249">
        <f t="shared" si="1"/>
        <v>0</v>
      </c>
      <c r="BB49" s="249">
        <f t="shared" si="1"/>
        <v>0</v>
      </c>
      <c r="BC49" s="249">
        <f t="shared" si="1"/>
        <v>0</v>
      </c>
      <c r="BD49" s="249">
        <f t="shared" si="1"/>
        <v>0</v>
      </c>
      <c r="BE49" s="249">
        <f t="shared" si="1"/>
        <v>0</v>
      </c>
      <c r="BF49" s="249">
        <f t="shared" si="1"/>
        <v>5540.6175999999996</v>
      </c>
    </row>
    <row r="50" spans="43:58">
      <c r="AQ50" s="134" t="s">
        <v>459</v>
      </c>
      <c r="AR50" s="249">
        <f t="shared" si="1"/>
        <v>0</v>
      </c>
      <c r="AS50" s="249">
        <f t="shared" si="1"/>
        <v>0</v>
      </c>
      <c r="AT50" s="249">
        <f t="shared" si="1"/>
        <v>0</v>
      </c>
      <c r="AU50" s="249">
        <f t="shared" si="1"/>
        <v>0</v>
      </c>
      <c r="AV50" s="249">
        <f t="shared" si="1"/>
        <v>0</v>
      </c>
      <c r="AW50" s="249">
        <f t="shared" si="1"/>
        <v>0</v>
      </c>
      <c r="AX50" s="249">
        <f t="shared" si="1"/>
        <v>0</v>
      </c>
      <c r="AY50" s="249">
        <f t="shared" si="1"/>
        <v>0</v>
      </c>
      <c r="AZ50" s="249">
        <f t="shared" si="1"/>
        <v>0</v>
      </c>
      <c r="BA50" s="249">
        <f t="shared" si="1"/>
        <v>0</v>
      </c>
      <c r="BB50" s="249">
        <f t="shared" si="1"/>
        <v>0</v>
      </c>
      <c r="BC50" s="249">
        <f t="shared" si="1"/>
        <v>0</v>
      </c>
      <c r="BD50" s="249">
        <f t="shared" si="1"/>
        <v>0</v>
      </c>
      <c r="BE50" s="249">
        <f t="shared" si="1"/>
        <v>0</v>
      </c>
      <c r="BF50" s="249">
        <f t="shared" si="1"/>
        <v>0</v>
      </c>
    </row>
    <row r="51" spans="43:58" ht="16.05" customHeight="1">
      <c r="AQ51" s="232" t="s">
        <v>442</v>
      </c>
      <c r="AR51" s="249">
        <f t="shared" si="1"/>
        <v>0</v>
      </c>
      <c r="AS51" s="249">
        <f t="shared" si="1"/>
        <v>0</v>
      </c>
      <c r="AT51" s="249">
        <f t="shared" si="1"/>
        <v>0</v>
      </c>
      <c r="AU51" s="249">
        <f t="shared" si="1"/>
        <v>-841.69623437072971</v>
      </c>
      <c r="AV51" s="249">
        <f t="shared" si="1"/>
        <v>0</v>
      </c>
      <c r="AW51" s="249">
        <f t="shared" si="1"/>
        <v>0</v>
      </c>
      <c r="AX51" s="249">
        <f t="shared" si="1"/>
        <v>0</v>
      </c>
      <c r="AY51" s="249">
        <f t="shared" si="1"/>
        <v>0</v>
      </c>
      <c r="AZ51" s="249">
        <f t="shared" si="1"/>
        <v>0</v>
      </c>
      <c r="BA51" s="249">
        <f t="shared" si="1"/>
        <v>0</v>
      </c>
      <c r="BB51" s="249">
        <f t="shared" si="1"/>
        <v>0</v>
      </c>
      <c r="BC51" s="249">
        <f t="shared" si="1"/>
        <v>0</v>
      </c>
      <c r="BD51" s="249">
        <f t="shared" si="1"/>
        <v>0</v>
      </c>
      <c r="BE51" s="249">
        <f t="shared" si="1"/>
        <v>0</v>
      </c>
      <c r="BF51" s="249">
        <f t="shared" si="1"/>
        <v>0</v>
      </c>
    </row>
    <row r="52" spans="43:58">
      <c r="AQ52" s="134" t="s">
        <v>409</v>
      </c>
      <c r="AR52" s="249">
        <f t="shared" si="1"/>
        <v>0</v>
      </c>
      <c r="AS52" s="249">
        <f t="shared" si="1"/>
        <v>0</v>
      </c>
      <c r="AT52" s="249">
        <f t="shared" si="1"/>
        <v>0</v>
      </c>
      <c r="AU52" s="249">
        <f t="shared" si="1"/>
        <v>0</v>
      </c>
      <c r="AV52" s="249">
        <f t="shared" si="1"/>
        <v>0</v>
      </c>
      <c r="AW52" s="249">
        <f t="shared" si="1"/>
        <v>0</v>
      </c>
      <c r="AX52" s="249">
        <f t="shared" si="1"/>
        <v>0</v>
      </c>
      <c r="AY52" s="249">
        <f t="shared" si="1"/>
        <v>0</v>
      </c>
      <c r="AZ52" s="249">
        <f t="shared" si="1"/>
        <v>0</v>
      </c>
      <c r="BA52" s="249">
        <f t="shared" si="1"/>
        <v>0</v>
      </c>
      <c r="BB52" s="249">
        <f t="shared" si="1"/>
        <v>0</v>
      </c>
      <c r="BC52" s="249">
        <f t="shared" si="1"/>
        <v>0</v>
      </c>
      <c r="BD52" s="249">
        <f t="shared" si="1"/>
        <v>0</v>
      </c>
      <c r="BE52" s="249">
        <f t="shared" si="1"/>
        <v>0</v>
      </c>
      <c r="BF52" s="249">
        <f t="shared" si="1"/>
        <v>0</v>
      </c>
    </row>
    <row r="53" spans="43:58" ht="16.05" customHeight="1">
      <c r="AQ53" s="232" t="s">
        <v>412</v>
      </c>
      <c r="AR53" s="249">
        <f t="shared" si="1"/>
        <v>0</v>
      </c>
      <c r="AS53" s="249">
        <f t="shared" si="1"/>
        <v>0</v>
      </c>
      <c r="AT53" s="249">
        <f t="shared" si="1"/>
        <v>0</v>
      </c>
      <c r="AU53" s="249">
        <f t="shared" si="1"/>
        <v>0</v>
      </c>
      <c r="AV53" s="249">
        <f t="shared" si="1"/>
        <v>-1202.01</v>
      </c>
      <c r="AW53" s="249">
        <f t="shared" si="1"/>
        <v>0</v>
      </c>
      <c r="AX53" s="249">
        <f t="shared" si="1"/>
        <v>0</v>
      </c>
      <c r="AY53" s="249">
        <f t="shared" si="1"/>
        <v>0</v>
      </c>
      <c r="AZ53" s="249">
        <f t="shared" si="1"/>
        <v>0</v>
      </c>
      <c r="BA53" s="249">
        <f t="shared" si="1"/>
        <v>0</v>
      </c>
      <c r="BB53" s="249">
        <f t="shared" si="1"/>
        <v>0</v>
      </c>
      <c r="BC53" s="249">
        <f t="shared" si="1"/>
        <v>0</v>
      </c>
      <c r="BD53" s="249">
        <f t="shared" si="1"/>
        <v>0</v>
      </c>
      <c r="BE53" s="249">
        <f t="shared" si="1"/>
        <v>0</v>
      </c>
      <c r="BF53" s="249">
        <f t="shared" si="1"/>
        <v>0</v>
      </c>
    </row>
    <row r="54" spans="43:58">
      <c r="AQ54" s="134" t="s">
        <v>437</v>
      </c>
      <c r="AR54" s="249">
        <f t="shared" si="1"/>
        <v>0</v>
      </c>
      <c r="AS54" s="249">
        <f t="shared" si="1"/>
        <v>0</v>
      </c>
      <c r="AT54" s="249">
        <f t="shared" si="1"/>
        <v>0</v>
      </c>
      <c r="AU54" s="249">
        <f t="shared" si="1"/>
        <v>0</v>
      </c>
      <c r="AV54" s="249">
        <f t="shared" si="1"/>
        <v>0</v>
      </c>
      <c r="AW54" s="249">
        <f t="shared" si="1"/>
        <v>0</v>
      </c>
      <c r="AX54" s="249">
        <f t="shared" si="1"/>
        <v>0</v>
      </c>
      <c r="AY54" s="249">
        <f t="shared" si="1"/>
        <v>0</v>
      </c>
      <c r="AZ54" s="249">
        <f t="shared" si="1"/>
        <v>0</v>
      </c>
      <c r="BA54" s="249">
        <f t="shared" si="1"/>
        <v>0</v>
      </c>
      <c r="BB54" s="249">
        <f t="shared" si="1"/>
        <v>0</v>
      </c>
      <c r="BC54" s="249">
        <f t="shared" si="1"/>
        <v>0</v>
      </c>
      <c r="BD54" s="249">
        <f t="shared" si="1"/>
        <v>0</v>
      </c>
      <c r="BE54" s="249">
        <f t="shared" si="1"/>
        <v>0</v>
      </c>
      <c r="BF54" s="249">
        <f t="shared" si="1"/>
        <v>0</v>
      </c>
    </row>
    <row r="55" spans="43:58">
      <c r="AQ55" s="233" t="s">
        <v>430</v>
      </c>
      <c r="AR55" s="249">
        <f t="shared" si="1"/>
        <v>0</v>
      </c>
      <c r="AS55" s="249">
        <f t="shared" si="1"/>
        <v>0</v>
      </c>
      <c r="AT55" s="249">
        <f t="shared" si="1"/>
        <v>0</v>
      </c>
      <c r="AU55" s="249">
        <f t="shared" si="1"/>
        <v>0</v>
      </c>
      <c r="AV55" s="249">
        <f t="shared" si="1"/>
        <v>0</v>
      </c>
      <c r="AW55" s="249">
        <f t="shared" si="1"/>
        <v>23054812.906863328</v>
      </c>
      <c r="AX55" s="249">
        <f t="shared" si="1"/>
        <v>0</v>
      </c>
      <c r="AY55" s="249">
        <f t="shared" si="1"/>
        <v>0</v>
      </c>
      <c r="AZ55" s="249">
        <f t="shared" si="1"/>
        <v>0</v>
      </c>
      <c r="BA55" s="249">
        <f t="shared" si="1"/>
        <v>0</v>
      </c>
      <c r="BB55" s="249">
        <f t="shared" si="1"/>
        <v>0</v>
      </c>
      <c r="BC55" s="249">
        <f t="shared" si="1"/>
        <v>0</v>
      </c>
      <c r="BD55" s="249">
        <f t="shared" si="1"/>
        <v>0</v>
      </c>
      <c r="BE55" s="249">
        <f t="shared" si="1"/>
        <v>0</v>
      </c>
      <c r="BF55" s="249">
        <f t="shared" si="1"/>
        <v>0</v>
      </c>
    </row>
    <row r="56" spans="43:58">
      <c r="AQ56" s="134" t="s">
        <v>416</v>
      </c>
      <c r="AR56" s="249">
        <f t="shared" si="1"/>
        <v>0</v>
      </c>
      <c r="AS56" s="249">
        <f t="shared" si="1"/>
        <v>0</v>
      </c>
      <c r="AT56" s="249">
        <f t="shared" si="1"/>
        <v>0</v>
      </c>
      <c r="AU56" s="249">
        <f t="shared" si="1"/>
        <v>0</v>
      </c>
      <c r="AV56" s="249">
        <f t="shared" si="1"/>
        <v>0</v>
      </c>
      <c r="AW56" s="249">
        <f t="shared" si="1"/>
        <v>0</v>
      </c>
      <c r="AX56" s="249">
        <f t="shared" si="1"/>
        <v>0</v>
      </c>
      <c r="AY56" s="249">
        <f t="shared" si="1"/>
        <v>0</v>
      </c>
      <c r="AZ56" s="249">
        <f t="shared" si="1"/>
        <v>0</v>
      </c>
      <c r="BA56" s="249">
        <f t="shared" si="1"/>
        <v>0</v>
      </c>
      <c r="BB56" s="249">
        <f t="shared" si="1"/>
        <v>0</v>
      </c>
      <c r="BC56" s="249">
        <f t="shared" si="1"/>
        <v>0</v>
      </c>
      <c r="BD56" s="249">
        <f t="shared" si="1"/>
        <v>0</v>
      </c>
      <c r="BE56" s="249">
        <f t="shared" si="1"/>
        <v>0</v>
      </c>
      <c r="BF56" s="249">
        <f t="shared" si="1"/>
        <v>0</v>
      </c>
    </row>
    <row r="57" spans="43:58" ht="16.05" customHeight="1">
      <c r="AQ57" s="232" t="s">
        <v>441</v>
      </c>
      <c r="AR57" s="249">
        <f t="shared" si="1"/>
        <v>0</v>
      </c>
      <c r="AS57" s="249">
        <f t="shared" si="1"/>
        <v>0</v>
      </c>
      <c r="AT57" s="249">
        <f t="shared" si="1"/>
        <v>0</v>
      </c>
      <c r="AU57" s="249">
        <f t="shared" si="1"/>
        <v>0</v>
      </c>
      <c r="AV57" s="249">
        <f t="shared" si="1"/>
        <v>0</v>
      </c>
      <c r="AW57" s="249">
        <f t="shared" si="1"/>
        <v>0</v>
      </c>
      <c r="AX57" s="249">
        <f t="shared" si="1"/>
        <v>-841.69623437072971</v>
      </c>
      <c r="AY57" s="249">
        <f t="shared" si="1"/>
        <v>0</v>
      </c>
      <c r="AZ57" s="249">
        <f t="shared" si="1"/>
        <v>0</v>
      </c>
      <c r="BA57" s="249">
        <f t="shared" si="1"/>
        <v>0</v>
      </c>
      <c r="BB57" s="249">
        <f t="shared" si="1"/>
        <v>0</v>
      </c>
      <c r="BC57" s="249">
        <f t="shared" si="1"/>
        <v>0</v>
      </c>
      <c r="BD57" s="249">
        <f t="shared" si="1"/>
        <v>0</v>
      </c>
      <c r="BE57" s="249">
        <f t="shared" si="1"/>
        <v>0</v>
      </c>
      <c r="BF57" s="249">
        <f t="shared" si="1"/>
        <v>0</v>
      </c>
    </row>
    <row r="58" spans="43:58" ht="16.05" customHeight="1">
      <c r="AQ58" s="232" t="s">
        <v>436</v>
      </c>
      <c r="AR58" s="249">
        <f t="shared" si="1"/>
        <v>0</v>
      </c>
      <c r="AS58" s="249">
        <f t="shared" si="1"/>
        <v>0</v>
      </c>
      <c r="AT58" s="249">
        <f t="shared" si="1"/>
        <v>0</v>
      </c>
      <c r="AU58" s="249">
        <f t="shared" si="1"/>
        <v>0</v>
      </c>
      <c r="AV58" s="249">
        <f t="shared" si="1"/>
        <v>0</v>
      </c>
      <c r="AW58" s="249">
        <f t="shared" si="1"/>
        <v>0</v>
      </c>
      <c r="AX58" s="249">
        <f t="shared" si="1"/>
        <v>0</v>
      </c>
      <c r="AY58" s="249">
        <f t="shared" si="1"/>
        <v>-1202.01</v>
      </c>
      <c r="AZ58" s="249">
        <f t="shared" si="1"/>
        <v>0</v>
      </c>
      <c r="BA58" s="249">
        <f t="shared" si="1"/>
        <v>0</v>
      </c>
      <c r="BB58" s="249">
        <f t="shared" si="1"/>
        <v>0</v>
      </c>
      <c r="BC58" s="249">
        <f t="shared" si="1"/>
        <v>0</v>
      </c>
      <c r="BD58" s="249">
        <f t="shared" ref="AS58:BF67" si="2">BD99</f>
        <v>0</v>
      </c>
      <c r="BE58" s="249">
        <f t="shared" si="2"/>
        <v>0</v>
      </c>
      <c r="BF58" s="249">
        <f t="shared" si="2"/>
        <v>0</v>
      </c>
    </row>
    <row r="59" spans="43:58" ht="16.05" customHeight="1">
      <c r="AQ59" s="232" t="s">
        <v>433</v>
      </c>
      <c r="AR59" s="249">
        <f t="shared" si="1"/>
        <v>0</v>
      </c>
      <c r="AS59" s="249">
        <f t="shared" si="2"/>
        <v>0</v>
      </c>
      <c r="AT59" s="249">
        <f t="shared" si="2"/>
        <v>0</v>
      </c>
      <c r="AU59" s="249">
        <f t="shared" si="2"/>
        <v>0</v>
      </c>
      <c r="AV59" s="249">
        <f t="shared" si="2"/>
        <v>0</v>
      </c>
      <c r="AW59" s="249">
        <f t="shared" si="2"/>
        <v>0</v>
      </c>
      <c r="AX59" s="249">
        <f t="shared" si="2"/>
        <v>0</v>
      </c>
      <c r="AY59" s="249">
        <f t="shared" si="2"/>
        <v>0</v>
      </c>
      <c r="AZ59" s="249">
        <f t="shared" si="2"/>
        <v>23054812.906863328</v>
      </c>
      <c r="BA59" s="249">
        <f t="shared" si="2"/>
        <v>0</v>
      </c>
      <c r="BB59" s="249">
        <f t="shared" si="2"/>
        <v>0</v>
      </c>
      <c r="BC59" s="249">
        <f t="shared" si="2"/>
        <v>0</v>
      </c>
      <c r="BD59" s="249">
        <f t="shared" si="2"/>
        <v>0</v>
      </c>
      <c r="BE59" s="249">
        <f t="shared" si="2"/>
        <v>0</v>
      </c>
      <c r="BF59" s="249">
        <f t="shared" si="2"/>
        <v>0</v>
      </c>
    </row>
    <row r="60" spans="43:58" ht="16.05" customHeight="1">
      <c r="AQ60" s="232" t="s">
        <v>439</v>
      </c>
      <c r="AR60" s="249">
        <f t="shared" si="1"/>
        <v>0</v>
      </c>
      <c r="AS60" s="249">
        <f t="shared" si="2"/>
        <v>0</v>
      </c>
      <c r="AT60" s="249">
        <f t="shared" si="2"/>
        <v>0</v>
      </c>
      <c r="AU60" s="249">
        <f t="shared" si="2"/>
        <v>0</v>
      </c>
      <c r="AV60" s="249">
        <f t="shared" si="2"/>
        <v>0</v>
      </c>
      <c r="AW60" s="249">
        <f t="shared" si="2"/>
        <v>0</v>
      </c>
      <c r="AX60" s="249">
        <f t="shared" si="2"/>
        <v>0</v>
      </c>
      <c r="AY60" s="249">
        <f t="shared" si="2"/>
        <v>0</v>
      </c>
      <c r="AZ60" s="249">
        <f t="shared" si="2"/>
        <v>0</v>
      </c>
      <c r="BA60" s="249">
        <f t="shared" si="2"/>
        <v>0</v>
      </c>
      <c r="BB60" s="249">
        <f t="shared" si="2"/>
        <v>0</v>
      </c>
      <c r="BC60" s="249">
        <f t="shared" si="2"/>
        <v>0</v>
      </c>
      <c r="BD60" s="249">
        <f t="shared" si="2"/>
        <v>0</v>
      </c>
      <c r="BE60" s="249">
        <f t="shared" si="2"/>
        <v>-834.48831000000007</v>
      </c>
      <c r="BF60" s="249">
        <f t="shared" si="2"/>
        <v>0</v>
      </c>
    </row>
    <row r="61" spans="43:58">
      <c r="AQ61" s="233" t="s">
        <v>438</v>
      </c>
      <c r="AR61" s="249">
        <f t="shared" si="1"/>
        <v>0</v>
      </c>
      <c r="AS61" s="249">
        <f t="shared" si="2"/>
        <v>0</v>
      </c>
      <c r="AT61" s="249">
        <f t="shared" si="2"/>
        <v>0</v>
      </c>
      <c r="AU61" s="249">
        <f t="shared" si="2"/>
        <v>0</v>
      </c>
      <c r="AV61" s="249">
        <f t="shared" si="2"/>
        <v>0</v>
      </c>
      <c r="AW61" s="249">
        <f t="shared" si="2"/>
        <v>0</v>
      </c>
      <c r="AX61" s="249">
        <f t="shared" si="2"/>
        <v>0</v>
      </c>
      <c r="AY61" s="249">
        <f t="shared" si="2"/>
        <v>0</v>
      </c>
      <c r="AZ61" s="249">
        <f t="shared" si="2"/>
        <v>0</v>
      </c>
      <c r="BA61" s="249">
        <f t="shared" si="2"/>
        <v>0</v>
      </c>
      <c r="BB61" s="249">
        <f t="shared" si="2"/>
        <v>0</v>
      </c>
      <c r="BC61" s="249">
        <f t="shared" si="2"/>
        <v>0</v>
      </c>
      <c r="BD61" s="249">
        <f t="shared" si="2"/>
        <v>0</v>
      </c>
      <c r="BE61" s="249">
        <f t="shared" si="2"/>
        <v>0</v>
      </c>
      <c r="BF61" s="249">
        <f t="shared" si="2"/>
        <v>0</v>
      </c>
    </row>
    <row r="62" spans="43:58">
      <c r="AQ62" s="233" t="s">
        <v>424</v>
      </c>
      <c r="AR62" s="249">
        <f t="shared" si="1"/>
        <v>0</v>
      </c>
      <c r="AS62" s="249">
        <f t="shared" si="2"/>
        <v>0</v>
      </c>
      <c r="AT62" s="249">
        <f t="shared" si="2"/>
        <v>0</v>
      </c>
      <c r="AU62" s="249">
        <f t="shared" si="2"/>
        <v>0</v>
      </c>
      <c r="AV62" s="249">
        <f t="shared" si="2"/>
        <v>0</v>
      </c>
      <c r="AW62" s="249">
        <f t="shared" si="2"/>
        <v>0</v>
      </c>
      <c r="AX62" s="249">
        <f t="shared" si="2"/>
        <v>0</v>
      </c>
      <c r="AY62" s="249">
        <f t="shared" si="2"/>
        <v>0</v>
      </c>
      <c r="AZ62" s="249">
        <f t="shared" si="2"/>
        <v>0</v>
      </c>
      <c r="BA62" s="249">
        <f t="shared" si="2"/>
        <v>-1202.01</v>
      </c>
      <c r="BB62" s="249">
        <f t="shared" si="2"/>
        <v>0</v>
      </c>
      <c r="BC62" s="249">
        <f t="shared" si="2"/>
        <v>0</v>
      </c>
      <c r="BD62" s="249">
        <f t="shared" si="2"/>
        <v>0</v>
      </c>
      <c r="BE62" s="249">
        <f t="shared" si="2"/>
        <v>0</v>
      </c>
      <c r="BF62" s="249">
        <f t="shared" si="2"/>
        <v>0</v>
      </c>
    </row>
    <row r="63" spans="43:58">
      <c r="AQ63" s="233" t="s">
        <v>456</v>
      </c>
      <c r="AR63" s="249">
        <f t="shared" si="1"/>
        <v>0</v>
      </c>
      <c r="AS63" s="249">
        <f t="shared" si="2"/>
        <v>0</v>
      </c>
      <c r="AT63" s="249">
        <f t="shared" si="2"/>
        <v>0</v>
      </c>
      <c r="AU63" s="249">
        <f t="shared" si="2"/>
        <v>0</v>
      </c>
      <c r="AV63" s="249">
        <f t="shared" si="2"/>
        <v>0</v>
      </c>
      <c r="AW63" s="249">
        <f t="shared" si="2"/>
        <v>0</v>
      </c>
      <c r="AX63" s="249">
        <f t="shared" si="2"/>
        <v>0</v>
      </c>
      <c r="AY63" s="249">
        <f t="shared" si="2"/>
        <v>0</v>
      </c>
      <c r="AZ63" s="249">
        <f t="shared" si="2"/>
        <v>0</v>
      </c>
      <c r="BA63" s="249">
        <f t="shared" si="2"/>
        <v>0</v>
      </c>
      <c r="BB63" s="249">
        <f t="shared" si="2"/>
        <v>23054812.906863328</v>
      </c>
      <c r="BC63" s="249">
        <f t="shared" si="2"/>
        <v>0</v>
      </c>
      <c r="BD63" s="249">
        <f t="shared" si="2"/>
        <v>0</v>
      </c>
      <c r="BE63" s="249">
        <f t="shared" si="2"/>
        <v>0</v>
      </c>
      <c r="BF63" s="249">
        <f t="shared" si="2"/>
        <v>0</v>
      </c>
    </row>
    <row r="64" spans="43:58">
      <c r="AQ64" s="233" t="s">
        <v>425</v>
      </c>
      <c r="AR64" s="249">
        <f t="shared" si="1"/>
        <v>0</v>
      </c>
      <c r="AS64" s="249">
        <f t="shared" si="2"/>
        <v>0</v>
      </c>
      <c r="AT64" s="249">
        <f t="shared" si="2"/>
        <v>0</v>
      </c>
      <c r="AU64" s="249">
        <f t="shared" si="2"/>
        <v>0</v>
      </c>
      <c r="AV64" s="249">
        <f t="shared" si="2"/>
        <v>0</v>
      </c>
      <c r="AW64" s="249">
        <f t="shared" si="2"/>
        <v>0</v>
      </c>
      <c r="AX64" s="249">
        <f t="shared" si="2"/>
        <v>0</v>
      </c>
      <c r="AY64" s="249">
        <f t="shared" si="2"/>
        <v>0</v>
      </c>
      <c r="AZ64" s="249">
        <f t="shared" si="2"/>
        <v>0</v>
      </c>
      <c r="BA64" s="249">
        <f t="shared" si="2"/>
        <v>0</v>
      </c>
      <c r="BB64" s="249">
        <f t="shared" si="2"/>
        <v>0</v>
      </c>
      <c r="BC64" s="249">
        <f t="shared" si="2"/>
        <v>0</v>
      </c>
      <c r="BD64" s="249">
        <f t="shared" si="2"/>
        <v>0</v>
      </c>
      <c r="BE64" s="249">
        <f t="shared" si="2"/>
        <v>-634.9</v>
      </c>
      <c r="BF64" s="249">
        <f t="shared" si="2"/>
        <v>0</v>
      </c>
    </row>
    <row r="65" spans="43:58">
      <c r="AQ65" s="233" t="s">
        <v>427</v>
      </c>
      <c r="AR65" s="249">
        <f t="shared" si="1"/>
        <v>0</v>
      </c>
      <c r="AS65" s="249">
        <f t="shared" si="2"/>
        <v>0</v>
      </c>
      <c r="AT65" s="249">
        <f t="shared" si="2"/>
        <v>0</v>
      </c>
      <c r="AU65" s="249">
        <f t="shared" si="2"/>
        <v>0</v>
      </c>
      <c r="AV65" s="249">
        <f t="shared" si="2"/>
        <v>0</v>
      </c>
      <c r="AW65" s="249">
        <f t="shared" si="2"/>
        <v>0</v>
      </c>
      <c r="AX65" s="249">
        <f t="shared" si="2"/>
        <v>0</v>
      </c>
      <c r="AY65" s="249">
        <f t="shared" si="2"/>
        <v>0</v>
      </c>
      <c r="AZ65" s="249">
        <f t="shared" si="2"/>
        <v>0</v>
      </c>
      <c r="BA65" s="249">
        <f t="shared" si="2"/>
        <v>0</v>
      </c>
      <c r="BB65" s="249">
        <f t="shared" si="2"/>
        <v>0</v>
      </c>
      <c r="BC65" s="249">
        <f t="shared" si="2"/>
        <v>0</v>
      </c>
      <c r="BD65" s="249">
        <f t="shared" si="2"/>
        <v>0</v>
      </c>
      <c r="BE65" s="249">
        <f t="shared" si="2"/>
        <v>0</v>
      </c>
      <c r="BF65" s="249">
        <f t="shared" si="2"/>
        <v>0</v>
      </c>
    </row>
    <row r="66" spans="43:58">
      <c r="AQ66" s="233" t="s">
        <v>426</v>
      </c>
      <c r="AR66" s="249">
        <f t="shared" si="1"/>
        <v>0</v>
      </c>
      <c r="AS66" s="249">
        <f t="shared" si="2"/>
        <v>0</v>
      </c>
      <c r="AT66" s="249">
        <f t="shared" si="2"/>
        <v>0</v>
      </c>
      <c r="AU66" s="249">
        <f t="shared" si="2"/>
        <v>0</v>
      </c>
      <c r="AV66" s="249">
        <f t="shared" si="2"/>
        <v>0</v>
      </c>
      <c r="AW66" s="249">
        <f t="shared" si="2"/>
        <v>0</v>
      </c>
      <c r="AX66" s="249">
        <f t="shared" si="2"/>
        <v>0</v>
      </c>
      <c r="AY66" s="249">
        <f t="shared" si="2"/>
        <v>0</v>
      </c>
      <c r="AZ66" s="249">
        <f t="shared" si="2"/>
        <v>0</v>
      </c>
      <c r="BA66" s="249">
        <f t="shared" si="2"/>
        <v>0</v>
      </c>
      <c r="BB66" s="249">
        <f t="shared" si="2"/>
        <v>0</v>
      </c>
      <c r="BC66" s="249">
        <f t="shared" si="2"/>
        <v>0</v>
      </c>
      <c r="BD66" s="249">
        <f t="shared" si="2"/>
        <v>0</v>
      </c>
      <c r="BE66" s="249">
        <f t="shared" si="2"/>
        <v>0</v>
      </c>
      <c r="BF66" s="249">
        <f t="shared" si="2"/>
        <v>0</v>
      </c>
    </row>
    <row r="67" spans="43:58">
      <c r="AQ67" s="233" t="s">
        <v>484</v>
      </c>
      <c r="AR67" s="249">
        <f t="shared" si="1"/>
        <v>0</v>
      </c>
      <c r="AS67" s="249">
        <f t="shared" si="2"/>
        <v>0</v>
      </c>
      <c r="AT67" s="249">
        <f t="shared" si="2"/>
        <v>0</v>
      </c>
      <c r="AU67" s="249">
        <f t="shared" si="2"/>
        <v>0</v>
      </c>
      <c r="AV67" s="249">
        <f t="shared" si="2"/>
        <v>0</v>
      </c>
      <c r="AW67" s="249">
        <f t="shared" si="2"/>
        <v>0</v>
      </c>
      <c r="AX67" s="249">
        <f t="shared" si="2"/>
        <v>0</v>
      </c>
      <c r="AY67" s="249">
        <f t="shared" si="2"/>
        <v>0</v>
      </c>
      <c r="AZ67" s="249">
        <f t="shared" si="2"/>
        <v>0</v>
      </c>
      <c r="BA67" s="249">
        <f t="shared" si="2"/>
        <v>0</v>
      </c>
      <c r="BB67" s="249">
        <f t="shared" si="2"/>
        <v>0</v>
      </c>
      <c r="BC67" s="249">
        <f t="shared" si="2"/>
        <v>0</v>
      </c>
      <c r="BD67" s="249">
        <f t="shared" si="2"/>
        <v>0</v>
      </c>
      <c r="BE67" s="249">
        <f t="shared" si="2"/>
        <v>6546468.5968566798</v>
      </c>
      <c r="BF67" s="249">
        <f t="shared" si="2"/>
        <v>0</v>
      </c>
    </row>
    <row r="68" spans="43:58" ht="16.05" customHeight="1">
      <c r="AQ68" s="247" t="s">
        <v>422</v>
      </c>
      <c r="AR68" s="249">
        <f t="shared" si="1"/>
        <v>0</v>
      </c>
      <c r="AS68" s="249">
        <f t="shared" ref="AS68:BF68" si="3">AS109</f>
        <v>0</v>
      </c>
      <c r="AT68" s="249">
        <f t="shared" si="3"/>
        <v>0</v>
      </c>
      <c r="AU68" s="249">
        <f t="shared" si="3"/>
        <v>0</v>
      </c>
      <c r="AV68" s="249">
        <f t="shared" si="3"/>
        <v>0</v>
      </c>
      <c r="AW68" s="249">
        <f t="shared" si="3"/>
        <v>0</v>
      </c>
      <c r="AX68" s="249">
        <f t="shared" si="3"/>
        <v>0</v>
      </c>
      <c r="AY68" s="249">
        <f t="shared" si="3"/>
        <v>0</v>
      </c>
      <c r="AZ68" s="249">
        <f t="shared" si="3"/>
        <v>0</v>
      </c>
      <c r="BA68" s="249">
        <f t="shared" si="3"/>
        <v>0</v>
      </c>
      <c r="BB68" s="249">
        <f t="shared" si="3"/>
        <v>0</v>
      </c>
      <c r="BC68" s="249">
        <f t="shared" si="3"/>
        <v>-37.006500000000003</v>
      </c>
      <c r="BD68" s="249">
        <f t="shared" si="3"/>
        <v>0</v>
      </c>
      <c r="BE68" s="249">
        <f t="shared" si="3"/>
        <v>0</v>
      </c>
      <c r="BF68" s="249">
        <f t="shared" si="3"/>
        <v>0</v>
      </c>
    </row>
    <row r="69" spans="43:58" ht="16.05" customHeight="1">
      <c r="AQ69" s="247" t="s">
        <v>552</v>
      </c>
      <c r="AR69" s="249">
        <f t="shared" ref="AR69:BF69" si="4">AR110</f>
        <v>0</v>
      </c>
      <c r="AS69" s="249">
        <f t="shared" si="4"/>
        <v>0</v>
      </c>
      <c r="AT69" s="249">
        <f t="shared" si="4"/>
        <v>0</v>
      </c>
      <c r="AU69" s="249">
        <f t="shared" si="4"/>
        <v>0</v>
      </c>
      <c r="AV69" s="249">
        <f t="shared" si="4"/>
        <v>0</v>
      </c>
      <c r="AW69" s="249">
        <f t="shared" si="4"/>
        <v>0</v>
      </c>
      <c r="AX69" s="249">
        <f t="shared" si="4"/>
        <v>0</v>
      </c>
      <c r="AY69" s="249">
        <f t="shared" si="4"/>
        <v>0</v>
      </c>
      <c r="AZ69" s="249">
        <f t="shared" si="4"/>
        <v>0</v>
      </c>
      <c r="BA69" s="249">
        <f t="shared" si="4"/>
        <v>0</v>
      </c>
      <c r="BB69" s="249">
        <f t="shared" si="4"/>
        <v>0</v>
      </c>
      <c r="BC69" s="249">
        <f t="shared" si="4"/>
        <v>0</v>
      </c>
      <c r="BD69" s="249">
        <f t="shared" si="4"/>
        <v>0</v>
      </c>
      <c r="BE69" s="249">
        <f t="shared" si="4"/>
        <v>0</v>
      </c>
      <c r="BF69" s="249">
        <f t="shared" si="4"/>
        <v>0</v>
      </c>
    </row>
    <row r="70" spans="43:58">
      <c r="AQ70" s="233" t="s">
        <v>421</v>
      </c>
      <c r="AR70" s="249">
        <f t="shared" ref="AR70:BF70" si="5">AR111</f>
        <v>0</v>
      </c>
      <c r="AS70" s="249">
        <f t="shared" si="5"/>
        <v>0</v>
      </c>
      <c r="AT70" s="249">
        <f t="shared" si="5"/>
        <v>0</v>
      </c>
      <c r="AU70" s="249">
        <f t="shared" si="5"/>
        <v>0</v>
      </c>
      <c r="AV70" s="249">
        <f t="shared" si="5"/>
        <v>0</v>
      </c>
      <c r="AW70" s="249">
        <f t="shared" si="5"/>
        <v>0</v>
      </c>
      <c r="AX70" s="249">
        <f t="shared" si="5"/>
        <v>0</v>
      </c>
      <c r="AY70" s="249">
        <f t="shared" si="5"/>
        <v>0</v>
      </c>
      <c r="AZ70" s="249">
        <f t="shared" si="5"/>
        <v>0</v>
      </c>
      <c r="BA70" s="249">
        <f t="shared" si="5"/>
        <v>0</v>
      </c>
      <c r="BB70" s="249">
        <f t="shared" si="5"/>
        <v>0</v>
      </c>
      <c r="BC70" s="249">
        <f t="shared" si="5"/>
        <v>0</v>
      </c>
      <c r="BD70" s="249">
        <f t="shared" si="5"/>
        <v>0</v>
      </c>
      <c r="BE70" s="249">
        <f t="shared" si="5"/>
        <v>0</v>
      </c>
      <c r="BF70" s="249">
        <f t="shared" si="5"/>
        <v>0</v>
      </c>
    </row>
    <row r="71" spans="43:58">
      <c r="AQ71" s="134" t="s">
        <v>423</v>
      </c>
      <c r="AR71" s="249">
        <f t="shared" ref="AR71:BF71" si="6">AR112</f>
        <v>0</v>
      </c>
      <c r="AS71" s="249">
        <f t="shared" si="6"/>
        <v>0</v>
      </c>
      <c r="AT71" s="249">
        <f t="shared" si="6"/>
        <v>0</v>
      </c>
      <c r="AU71" s="249">
        <f t="shared" si="6"/>
        <v>0</v>
      </c>
      <c r="AV71" s="249">
        <f t="shared" si="6"/>
        <v>0</v>
      </c>
      <c r="AW71" s="249">
        <f t="shared" si="6"/>
        <v>0</v>
      </c>
      <c r="AX71" s="249">
        <f t="shared" si="6"/>
        <v>0</v>
      </c>
      <c r="AY71" s="249">
        <f t="shared" si="6"/>
        <v>0</v>
      </c>
      <c r="AZ71" s="249">
        <f t="shared" si="6"/>
        <v>0</v>
      </c>
      <c r="BA71" s="249">
        <f t="shared" si="6"/>
        <v>0</v>
      </c>
      <c r="BB71" s="249">
        <f t="shared" si="6"/>
        <v>0</v>
      </c>
      <c r="BC71" s="249">
        <f t="shared" si="6"/>
        <v>0</v>
      </c>
      <c r="BD71" s="249">
        <f t="shared" si="6"/>
        <v>0</v>
      </c>
      <c r="BE71" s="249">
        <f t="shared" si="6"/>
        <v>0</v>
      </c>
      <c r="BF71" s="249">
        <f t="shared" si="6"/>
        <v>0</v>
      </c>
    </row>
    <row r="72" spans="43:58">
      <c r="AQ72" s="233" t="s">
        <v>515</v>
      </c>
      <c r="AR72" s="249">
        <f t="shared" ref="AR72:BF72" si="7">AR113</f>
        <v>0</v>
      </c>
      <c r="AS72" s="249">
        <f t="shared" si="7"/>
        <v>0</v>
      </c>
      <c r="AT72" s="249">
        <f t="shared" si="7"/>
        <v>0</v>
      </c>
      <c r="AU72" s="249">
        <f t="shared" si="7"/>
        <v>0</v>
      </c>
      <c r="AV72" s="249">
        <f t="shared" si="7"/>
        <v>0</v>
      </c>
      <c r="AW72" s="249">
        <f t="shared" si="7"/>
        <v>0</v>
      </c>
      <c r="AX72" s="249">
        <f t="shared" si="7"/>
        <v>0</v>
      </c>
      <c r="AY72" s="249">
        <f t="shared" si="7"/>
        <v>0</v>
      </c>
      <c r="AZ72" s="249">
        <f t="shared" si="7"/>
        <v>0</v>
      </c>
      <c r="BA72" s="249">
        <f t="shared" si="7"/>
        <v>0</v>
      </c>
      <c r="BB72" s="249">
        <f t="shared" si="7"/>
        <v>0</v>
      </c>
      <c r="BC72" s="249">
        <f t="shared" si="7"/>
        <v>0</v>
      </c>
      <c r="BD72" s="249">
        <f t="shared" si="7"/>
        <v>-23.917987170512152</v>
      </c>
      <c r="BE72" s="249">
        <f t="shared" si="7"/>
        <v>0</v>
      </c>
      <c r="BF72" s="249">
        <f t="shared" si="7"/>
        <v>0</v>
      </c>
    </row>
    <row r="73" spans="43:58">
      <c r="AQ73" s="233" t="s">
        <v>517</v>
      </c>
      <c r="AR73" s="249">
        <f t="shared" ref="AR73:BF73" si="8">AR114</f>
        <v>0</v>
      </c>
      <c r="AS73" s="249">
        <f t="shared" si="8"/>
        <v>0</v>
      </c>
      <c r="AT73" s="249">
        <f t="shared" si="8"/>
        <v>0</v>
      </c>
      <c r="AU73" s="249">
        <f t="shared" si="8"/>
        <v>0</v>
      </c>
      <c r="AV73" s="249">
        <f t="shared" si="8"/>
        <v>0</v>
      </c>
      <c r="AW73" s="249">
        <f t="shared" si="8"/>
        <v>0</v>
      </c>
      <c r="AX73" s="249">
        <f t="shared" si="8"/>
        <v>0</v>
      </c>
      <c r="AY73" s="249">
        <f t="shared" si="8"/>
        <v>0</v>
      </c>
      <c r="AZ73" s="249">
        <f t="shared" si="8"/>
        <v>0</v>
      </c>
      <c r="BA73" s="249">
        <f t="shared" si="8"/>
        <v>0</v>
      </c>
      <c r="BB73" s="249">
        <f t="shared" si="8"/>
        <v>0</v>
      </c>
      <c r="BC73" s="249">
        <f t="shared" si="8"/>
        <v>0</v>
      </c>
      <c r="BD73" s="249">
        <f t="shared" si="8"/>
        <v>0</v>
      </c>
      <c r="BE73" s="249">
        <f t="shared" si="8"/>
        <v>0</v>
      </c>
      <c r="BF73" s="249">
        <f t="shared" si="8"/>
        <v>-23.917987170512156</v>
      </c>
    </row>
    <row r="74" spans="43:58">
      <c r="AQ74" s="233" t="s">
        <v>445</v>
      </c>
      <c r="AR74" s="249">
        <f t="shared" ref="AR74:BF74" si="9">AR115</f>
        <v>0</v>
      </c>
      <c r="AS74" s="249">
        <f t="shared" si="9"/>
        <v>0</v>
      </c>
      <c r="AT74" s="249">
        <f t="shared" si="9"/>
        <v>0</v>
      </c>
      <c r="AU74" s="249">
        <f t="shared" si="9"/>
        <v>0</v>
      </c>
      <c r="AV74" s="249">
        <f t="shared" si="9"/>
        <v>0</v>
      </c>
      <c r="AW74" s="249">
        <f t="shared" si="9"/>
        <v>0</v>
      </c>
      <c r="AX74" s="249">
        <f t="shared" si="9"/>
        <v>0</v>
      </c>
      <c r="AY74" s="249">
        <f t="shared" si="9"/>
        <v>0</v>
      </c>
      <c r="AZ74" s="249">
        <f t="shared" si="9"/>
        <v>0</v>
      </c>
      <c r="BA74" s="249">
        <f t="shared" si="9"/>
        <v>0</v>
      </c>
      <c r="BB74" s="249">
        <f t="shared" si="9"/>
        <v>0</v>
      </c>
      <c r="BC74" s="249">
        <f t="shared" si="9"/>
        <v>0</v>
      </c>
      <c r="BD74" s="249">
        <f t="shared" si="9"/>
        <v>0</v>
      </c>
      <c r="BE74" s="249">
        <f t="shared" si="9"/>
        <v>0</v>
      </c>
      <c r="BF74" s="249">
        <f t="shared" si="9"/>
        <v>1011848.1879043626</v>
      </c>
    </row>
    <row r="75" spans="43:58">
      <c r="AQ75" s="233" t="s">
        <v>446</v>
      </c>
      <c r="AR75" s="249">
        <f>AR116</f>
        <v>0</v>
      </c>
      <c r="AS75" s="249">
        <f t="shared" ref="AS75:BF77" si="10">AS116</f>
        <v>0</v>
      </c>
      <c r="AT75" s="249">
        <f t="shared" si="10"/>
        <v>0</v>
      </c>
      <c r="AU75" s="249">
        <f t="shared" si="10"/>
        <v>0</v>
      </c>
      <c r="AV75" s="249">
        <f t="shared" si="10"/>
        <v>0</v>
      </c>
      <c r="AW75" s="249">
        <f t="shared" si="10"/>
        <v>0</v>
      </c>
      <c r="AX75" s="249">
        <f t="shared" si="10"/>
        <v>0</v>
      </c>
      <c r="AY75" s="249">
        <f t="shared" si="10"/>
        <v>0</v>
      </c>
      <c r="AZ75" s="249">
        <f t="shared" si="10"/>
        <v>0</v>
      </c>
      <c r="BA75" s="249">
        <f t="shared" si="10"/>
        <v>0</v>
      </c>
      <c r="BB75" s="249">
        <f t="shared" si="10"/>
        <v>0</v>
      </c>
      <c r="BC75" s="249">
        <f t="shared" si="10"/>
        <v>0</v>
      </c>
      <c r="BD75" s="249">
        <f t="shared" si="10"/>
        <v>0</v>
      </c>
      <c r="BE75" s="249">
        <f t="shared" si="10"/>
        <v>0</v>
      </c>
      <c r="BF75" s="249">
        <f t="shared" si="10"/>
        <v>0</v>
      </c>
    </row>
    <row r="76" spans="43:58">
      <c r="AQ76" s="233" t="s">
        <v>447</v>
      </c>
      <c r="AR76" s="249">
        <f>AR117</f>
        <v>0</v>
      </c>
      <c r="AS76" s="249">
        <f t="shared" si="10"/>
        <v>0</v>
      </c>
      <c r="AT76" s="249">
        <f t="shared" si="10"/>
        <v>0</v>
      </c>
      <c r="AU76" s="249">
        <f t="shared" si="10"/>
        <v>0</v>
      </c>
      <c r="AV76" s="249">
        <f t="shared" si="10"/>
        <v>0</v>
      </c>
      <c r="AW76" s="249">
        <f t="shared" si="10"/>
        <v>0</v>
      </c>
      <c r="AX76" s="249">
        <f t="shared" si="10"/>
        <v>0</v>
      </c>
      <c r="AY76" s="249">
        <f t="shared" si="10"/>
        <v>0</v>
      </c>
      <c r="AZ76" s="249">
        <f t="shared" si="10"/>
        <v>0</v>
      </c>
      <c r="BA76" s="249">
        <f t="shared" si="10"/>
        <v>0</v>
      </c>
      <c r="BB76" s="249">
        <f t="shared" si="10"/>
        <v>0</v>
      </c>
      <c r="BC76" s="249">
        <f t="shared" si="10"/>
        <v>0</v>
      </c>
      <c r="BD76" s="249">
        <f t="shared" si="10"/>
        <v>0</v>
      </c>
      <c r="BE76" s="249">
        <f t="shared" si="10"/>
        <v>0</v>
      </c>
      <c r="BF76" s="249">
        <f t="shared" si="10"/>
        <v>0</v>
      </c>
    </row>
    <row r="77" spans="43:58">
      <c r="AQ77" s="233" t="s">
        <v>457</v>
      </c>
      <c r="AR77" s="249">
        <f>AR118</f>
        <v>0</v>
      </c>
      <c r="AS77" s="249">
        <f t="shared" si="10"/>
        <v>0</v>
      </c>
      <c r="AT77" s="249">
        <f t="shared" si="10"/>
        <v>0</v>
      </c>
      <c r="AU77" s="249">
        <f t="shared" si="10"/>
        <v>0</v>
      </c>
      <c r="AV77" s="249">
        <f t="shared" si="10"/>
        <v>0</v>
      </c>
      <c r="AW77" s="249">
        <f t="shared" si="10"/>
        <v>0</v>
      </c>
      <c r="AX77" s="249">
        <f t="shared" si="10"/>
        <v>0</v>
      </c>
      <c r="AY77" s="249">
        <f t="shared" si="10"/>
        <v>0</v>
      </c>
      <c r="AZ77" s="249">
        <f t="shared" si="10"/>
        <v>0</v>
      </c>
      <c r="BA77" s="249">
        <f t="shared" si="10"/>
        <v>0</v>
      </c>
      <c r="BB77" s="249">
        <f t="shared" si="10"/>
        <v>0</v>
      </c>
      <c r="BC77" s="249">
        <f t="shared" si="10"/>
        <v>0</v>
      </c>
      <c r="BD77" s="249">
        <f t="shared" si="10"/>
        <v>0</v>
      </c>
      <c r="BE77" s="249">
        <f t="shared" si="10"/>
        <v>0</v>
      </c>
      <c r="BF77" s="249">
        <f t="shared" si="10"/>
        <v>0</v>
      </c>
    </row>
    <row r="78" spans="43:58">
      <c r="AQ78" s="233"/>
      <c r="AR78" s="390" t="s">
        <v>472</v>
      </c>
      <c r="AS78" s="390"/>
      <c r="AT78" s="390"/>
      <c r="AU78" s="390"/>
      <c r="AV78" s="390"/>
      <c r="AW78" s="390"/>
      <c r="AX78" s="390"/>
      <c r="AY78" s="390"/>
      <c r="AZ78" s="390"/>
      <c r="BA78" s="390"/>
      <c r="BB78" s="390"/>
      <c r="BC78" s="390"/>
      <c r="BD78" s="390"/>
      <c r="BE78" s="390"/>
      <c r="BF78" s="390"/>
    </row>
    <row r="82" spans="33:66" ht="112.05" customHeight="1">
      <c r="AQ82" s="248"/>
      <c r="AR82" s="234" t="s">
        <v>325</v>
      </c>
      <c r="AS82" s="234" t="s">
        <v>326</v>
      </c>
      <c r="AT82" s="234" t="s">
        <v>327</v>
      </c>
      <c r="AU82" s="234" t="s">
        <v>455</v>
      </c>
      <c r="AV82" s="234" t="s">
        <v>435</v>
      </c>
      <c r="AW82" s="234" t="s">
        <v>434</v>
      </c>
      <c r="AX82" s="234" t="s">
        <v>351</v>
      </c>
      <c r="AY82" s="234" t="s">
        <v>348</v>
      </c>
      <c r="AZ82" s="234" t="s">
        <v>362</v>
      </c>
      <c r="BA82" s="234" t="s">
        <v>349</v>
      </c>
      <c r="BB82" s="234" t="s">
        <v>344</v>
      </c>
      <c r="BC82" s="234" t="s">
        <v>514</v>
      </c>
      <c r="BD82" s="234" t="s">
        <v>516</v>
      </c>
      <c r="BE82" s="234" t="s">
        <v>76</v>
      </c>
      <c r="BF82" s="234" t="s">
        <v>337</v>
      </c>
      <c r="BK82" s="234"/>
      <c r="BL82" s="234" t="s">
        <v>331</v>
      </c>
      <c r="BM82" s="234" t="s">
        <v>279</v>
      </c>
    </row>
    <row r="83" spans="33:66">
      <c r="AG83" s="134"/>
      <c r="AH83" s="134"/>
      <c r="AQ83" s="134" t="s">
        <v>333</v>
      </c>
      <c r="AR83" s="237">
        <f>Ore_to_PI!O52</f>
        <v>-841.69623437072971</v>
      </c>
      <c r="AS83" s="237"/>
      <c r="AT83" s="237"/>
      <c r="AU83" s="237"/>
      <c r="AV83" s="237"/>
      <c r="AW83" s="237"/>
      <c r="AX83" s="237"/>
      <c r="AY83" s="237"/>
      <c r="AZ83" s="237"/>
      <c r="BA83" s="237"/>
      <c r="BB83" s="237"/>
      <c r="BC83" s="237"/>
      <c r="BD83" s="237"/>
      <c r="BE83" s="237"/>
      <c r="BF83" s="237"/>
      <c r="BG83" s="246">
        <f>SUM(AR83:BF83)</f>
        <v>-841.69623437072971</v>
      </c>
      <c r="BK83" s="134" t="s">
        <v>333</v>
      </c>
      <c r="BL83" s="240"/>
      <c r="BM83" s="240"/>
      <c r="BN83" s="246">
        <f>SUM(BL83:BM83)</f>
        <v>0</v>
      </c>
    </row>
    <row r="84" spans="33:66">
      <c r="AG84" s="134"/>
      <c r="AH84" s="134"/>
      <c r="AQ84" s="134" t="s">
        <v>335</v>
      </c>
      <c r="AR84" s="237"/>
      <c r="AS84" s="237">
        <f>Ore_to_PI!O132</f>
        <v>-1202.01</v>
      </c>
      <c r="AT84" s="237"/>
      <c r="AU84" s="237"/>
      <c r="AV84" s="237"/>
      <c r="AW84" s="237"/>
      <c r="AX84" s="237"/>
      <c r="AY84" s="237"/>
      <c r="AZ84" s="237"/>
      <c r="BA84" s="237"/>
      <c r="BB84" s="237"/>
      <c r="BC84" s="237"/>
      <c r="BD84" s="237"/>
      <c r="BE84" s="237"/>
      <c r="BF84" s="237"/>
      <c r="BG84" s="246">
        <f>SUM(AR84:BF84)</f>
        <v>-1202.01</v>
      </c>
      <c r="BK84" s="134" t="s">
        <v>335</v>
      </c>
      <c r="BL84" s="240"/>
      <c r="BM84" s="240"/>
      <c r="BN84" s="246">
        <f>SUM(BL84:BM84)</f>
        <v>0</v>
      </c>
    </row>
    <row r="85" spans="33:66">
      <c r="AG85" s="134"/>
      <c r="AH85" s="134"/>
      <c r="AQ85" s="134" t="s">
        <v>336</v>
      </c>
      <c r="AR85" s="237"/>
      <c r="AS85" s="237"/>
      <c r="AT85" s="237">
        <f>Ore_to_PI!O218</f>
        <v>23054812.906863328</v>
      </c>
      <c r="AU85" s="237"/>
      <c r="AV85" s="237"/>
      <c r="AW85" s="237"/>
      <c r="AX85" s="237"/>
      <c r="AY85" s="237"/>
      <c r="AZ85" s="237"/>
      <c r="BA85" s="237"/>
      <c r="BB85" s="237"/>
      <c r="BC85" s="237"/>
      <c r="BD85" s="237"/>
      <c r="BE85" s="237"/>
      <c r="BF85" s="237"/>
      <c r="BG85" s="246">
        <f t="shared" ref="BG85:BG118" si="11">SUM(AR85:BF85)</f>
        <v>23054812.906863328</v>
      </c>
      <c r="BK85" s="134" t="s">
        <v>336</v>
      </c>
      <c r="BL85" s="240"/>
      <c r="BM85" s="240"/>
      <c r="BN85" s="246">
        <f>SUM(BL85:BM85)</f>
        <v>0</v>
      </c>
    </row>
    <row r="86" spans="33:66">
      <c r="AG86" s="134"/>
      <c r="AH86" s="134"/>
      <c r="AQ86" s="134" t="s">
        <v>355</v>
      </c>
      <c r="AR86" s="237">
        <f>Ore_to_PI!O78</f>
        <v>0</v>
      </c>
      <c r="AS86" s="237">
        <f>Ore_to_PI!O169</f>
        <v>0</v>
      </c>
      <c r="AT86" s="237">
        <f>Ore_to_PI!O242</f>
        <v>0</v>
      </c>
      <c r="AU86" s="237"/>
      <c r="AV86" s="237"/>
      <c r="AW86" s="237"/>
      <c r="AX86" s="237"/>
      <c r="AY86" s="237"/>
      <c r="AZ86" s="237"/>
      <c r="BA86" s="237">
        <f>Ore_to_PI!BU146</f>
        <v>0</v>
      </c>
      <c r="BB86" s="237">
        <f>Ore_to_PI!BU238</f>
        <v>0</v>
      </c>
      <c r="BC86" s="237"/>
      <c r="BD86" s="237"/>
      <c r="BE86" s="237"/>
      <c r="BF86" s="239">
        <f>Ore_to_PI!EF146</f>
        <v>0</v>
      </c>
      <c r="BG86" s="246">
        <f t="shared" si="11"/>
        <v>0</v>
      </c>
      <c r="BK86" s="134" t="s">
        <v>355</v>
      </c>
      <c r="BL86" s="240"/>
      <c r="BM86" s="240"/>
      <c r="BN86" s="246">
        <f t="shared" ref="BN86:BN118" si="12">SUM(BL86:BM86)</f>
        <v>0</v>
      </c>
    </row>
    <row r="87" spans="33:66">
      <c r="AG87" s="134"/>
      <c r="AH87" s="134"/>
      <c r="AQ87" s="134" t="s">
        <v>377</v>
      </c>
      <c r="AR87" s="237"/>
      <c r="AS87" s="237"/>
      <c r="AT87" s="237"/>
      <c r="AU87" s="237"/>
      <c r="AV87" s="237"/>
      <c r="AW87" s="237"/>
      <c r="AX87" s="237"/>
      <c r="AY87" s="237"/>
      <c r="AZ87" s="237"/>
      <c r="BA87" s="237">
        <f>Ore_to_PI!BU157</f>
        <v>-74.599999999999994</v>
      </c>
      <c r="BB87" s="237">
        <f>Ore_to_PI!BU249</f>
        <v>-74.599999999999994</v>
      </c>
      <c r="BC87" s="237"/>
      <c r="BD87" s="237"/>
      <c r="BE87" s="237"/>
      <c r="BF87" s="237">
        <f>Ore_to_PI!EF119</f>
        <v>-74.599999999999994</v>
      </c>
      <c r="BG87" s="246">
        <f t="shared" si="11"/>
        <v>-223.79999999999998</v>
      </c>
      <c r="BK87" s="134" t="s">
        <v>377</v>
      </c>
      <c r="BL87" s="240"/>
      <c r="BM87" s="240"/>
      <c r="BN87" s="246">
        <f t="shared" si="12"/>
        <v>0</v>
      </c>
    </row>
    <row r="88" spans="33:66">
      <c r="AG88" s="134"/>
      <c r="AH88" s="134"/>
      <c r="AQ88" s="134" t="s">
        <v>466</v>
      </c>
      <c r="AR88" s="237">
        <f>Ore_to_PI!O64</f>
        <v>7127.6028120000001</v>
      </c>
      <c r="AS88" s="237">
        <f>Ore_to_PI!O145</f>
        <v>7127.6028120000001</v>
      </c>
      <c r="AT88" s="237">
        <f>Ore_to_PI!O227</f>
        <v>7127.6028120000001</v>
      </c>
      <c r="AU88" s="237"/>
      <c r="AV88" s="237"/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46">
        <f t="shared" si="11"/>
        <v>21382.808435999999</v>
      </c>
      <c r="BK88" s="134" t="s">
        <v>466</v>
      </c>
      <c r="BL88" s="240"/>
      <c r="BM88" s="240"/>
      <c r="BN88" s="246">
        <f t="shared" si="12"/>
        <v>0</v>
      </c>
    </row>
    <row r="89" spans="33:66">
      <c r="AG89" s="134"/>
      <c r="AH89" s="134"/>
      <c r="AQ89" s="134" t="s">
        <v>467</v>
      </c>
      <c r="AR89" s="237"/>
      <c r="AS89" s="237">
        <f>Ore_to_PI!O156</f>
        <v>-250.1</v>
      </c>
      <c r="AT89" s="237"/>
      <c r="AU89" s="237"/>
      <c r="AV89" s="237"/>
      <c r="AW89" s="237"/>
      <c r="AX89" s="237"/>
      <c r="AY89" s="237"/>
      <c r="AZ89" s="237"/>
      <c r="BA89" s="237"/>
      <c r="BB89" s="237"/>
      <c r="BC89" s="237"/>
      <c r="BD89" s="237"/>
      <c r="BE89" s="237"/>
      <c r="BF89" s="237"/>
      <c r="BG89" s="246">
        <f t="shared" si="11"/>
        <v>-250.1</v>
      </c>
      <c r="BK89" s="134" t="s">
        <v>467</v>
      </c>
      <c r="BL89" s="240"/>
      <c r="BM89" s="240"/>
      <c r="BN89" s="246">
        <f t="shared" si="12"/>
        <v>0</v>
      </c>
    </row>
    <row r="90" spans="33:66">
      <c r="AG90" s="134"/>
      <c r="AH90" s="134"/>
      <c r="AQ90" s="134" t="s">
        <v>411</v>
      </c>
      <c r="AR90" s="237"/>
      <c r="AS90" s="237"/>
      <c r="AT90" s="237"/>
      <c r="AU90" s="237"/>
      <c r="AV90" s="237"/>
      <c r="AW90" s="237"/>
      <c r="AX90" s="237"/>
      <c r="AY90" s="237"/>
      <c r="AZ90" s="237"/>
      <c r="BA90" s="237"/>
      <c r="BB90" s="237"/>
      <c r="BC90" s="237"/>
      <c r="BD90" s="237"/>
      <c r="BE90" s="237"/>
      <c r="BF90" s="237">
        <f>Ore_to_PI!EF106</f>
        <v>5540.6175999999996</v>
      </c>
      <c r="BG90" s="246">
        <f t="shared" si="11"/>
        <v>5540.6175999999996</v>
      </c>
      <c r="BK90" s="134" t="s">
        <v>411</v>
      </c>
      <c r="BL90" s="240"/>
      <c r="BM90" s="240"/>
      <c r="BN90" s="246">
        <f t="shared" si="12"/>
        <v>0</v>
      </c>
    </row>
    <row r="91" spans="33:66">
      <c r="AG91" s="134"/>
      <c r="AH91" s="134"/>
      <c r="AQ91" s="134" t="s">
        <v>459</v>
      </c>
      <c r="AR91" s="237"/>
      <c r="AS91" s="237"/>
      <c r="AT91" s="237">
        <v>0</v>
      </c>
      <c r="AU91" s="237">
        <v>0</v>
      </c>
      <c r="AV91" s="237">
        <v>0</v>
      </c>
      <c r="AW91" s="237">
        <v>0</v>
      </c>
      <c r="AX91" s="237">
        <v>0</v>
      </c>
      <c r="AY91" s="237">
        <v>0</v>
      </c>
      <c r="AZ91" s="237">
        <v>0</v>
      </c>
      <c r="BA91" s="237"/>
      <c r="BB91" s="237"/>
      <c r="BC91" s="237">
        <v>0</v>
      </c>
      <c r="BD91" s="237"/>
      <c r="BE91" s="237"/>
      <c r="BF91" s="237">
        <v>0</v>
      </c>
      <c r="BG91" s="246">
        <f t="shared" si="11"/>
        <v>0</v>
      </c>
      <c r="BK91" s="134" t="s">
        <v>459</v>
      </c>
      <c r="BL91" s="240"/>
      <c r="BM91" s="240"/>
      <c r="BN91" s="246">
        <f t="shared" si="12"/>
        <v>0</v>
      </c>
    </row>
    <row r="92" spans="33:66" ht="16.05" customHeight="1">
      <c r="AG92" s="242"/>
      <c r="AH92" s="242"/>
      <c r="AQ92" s="232" t="s">
        <v>442</v>
      </c>
      <c r="AR92" s="237"/>
      <c r="AS92" s="237"/>
      <c r="AT92" s="237"/>
      <c r="AU92" s="237">
        <f>Ore_to_PI!AH52</f>
        <v>-841.69623437072971</v>
      </c>
      <c r="AV92" s="237"/>
      <c r="AW92" s="237"/>
      <c r="AX92" s="237"/>
      <c r="AY92" s="237"/>
      <c r="AZ92" s="237"/>
      <c r="BA92" s="237"/>
      <c r="BB92" s="237"/>
      <c r="BC92" s="237"/>
      <c r="BD92" s="237"/>
      <c r="BE92" s="237"/>
      <c r="BF92" s="237"/>
      <c r="BG92" s="246">
        <f t="shared" si="11"/>
        <v>-841.69623437072971</v>
      </c>
      <c r="BK92" s="232" t="s">
        <v>442</v>
      </c>
      <c r="BL92" s="240"/>
      <c r="BM92" s="240"/>
      <c r="BN92" s="246">
        <f t="shared" si="12"/>
        <v>0</v>
      </c>
    </row>
    <row r="93" spans="33:66" ht="16.05" customHeight="1">
      <c r="AG93" s="232"/>
      <c r="AH93" s="232"/>
      <c r="AQ93" s="134" t="s">
        <v>409</v>
      </c>
      <c r="AR93" s="237"/>
      <c r="AS93" s="237"/>
      <c r="AT93" s="237"/>
      <c r="AU93" s="237"/>
      <c r="AV93" s="237"/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46">
        <f t="shared" si="11"/>
        <v>0</v>
      </c>
      <c r="BK93" s="134" t="s">
        <v>409</v>
      </c>
      <c r="BL93" s="240"/>
      <c r="BM93" s="240">
        <f>Ore_to_PI!AH70</f>
        <v>-99.008821849873215</v>
      </c>
      <c r="BN93" s="246">
        <f t="shared" si="12"/>
        <v>-99.008821849873215</v>
      </c>
    </row>
    <row r="94" spans="33:66" ht="16.05" customHeight="1">
      <c r="AG94" s="233"/>
      <c r="AH94" s="233"/>
      <c r="AQ94" s="232" t="s">
        <v>412</v>
      </c>
      <c r="AR94" s="237"/>
      <c r="AS94" s="237"/>
      <c r="AT94" s="237"/>
      <c r="AU94" s="237"/>
      <c r="AV94" s="237">
        <f>Ore_to_PI!AI132</f>
        <v>-1202.01</v>
      </c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46">
        <f t="shared" si="11"/>
        <v>-1202.01</v>
      </c>
      <c r="BK94" s="232" t="s">
        <v>412</v>
      </c>
      <c r="BL94" s="240"/>
      <c r="BM94" s="244"/>
      <c r="BN94" s="246">
        <f t="shared" si="12"/>
        <v>0</v>
      </c>
    </row>
    <row r="95" spans="33:66">
      <c r="AG95" s="233"/>
      <c r="AH95" s="233"/>
      <c r="AQ95" s="134" t="s">
        <v>437</v>
      </c>
      <c r="AR95" s="237"/>
      <c r="AS95" s="237"/>
      <c r="AT95" s="237"/>
      <c r="AU95" s="237"/>
      <c r="AV95" s="237"/>
      <c r="AW95" s="237"/>
      <c r="AX95" s="237"/>
      <c r="AY95" s="237"/>
      <c r="AZ95" s="237"/>
      <c r="BA95" s="237"/>
      <c r="BB95" s="237"/>
      <c r="BC95" s="237"/>
      <c r="BD95" s="237"/>
      <c r="BE95" s="239"/>
      <c r="BF95" s="237"/>
      <c r="BG95" s="246">
        <f t="shared" si="11"/>
        <v>0</v>
      </c>
      <c r="BK95" s="134" t="s">
        <v>437</v>
      </c>
      <c r="BL95" s="240"/>
      <c r="BM95" s="240">
        <f>Ore_to_PI!AI149</f>
        <v>-98.84370786785361</v>
      </c>
      <c r="BN95" s="246">
        <f t="shared" si="12"/>
        <v>-98.84370786785361</v>
      </c>
    </row>
    <row r="96" spans="33:66">
      <c r="AG96" s="233"/>
      <c r="AH96" s="233"/>
      <c r="AQ96" s="233" t="s">
        <v>430</v>
      </c>
      <c r="AR96" s="237"/>
      <c r="AS96" s="237"/>
      <c r="AT96" s="237"/>
      <c r="AU96" s="237"/>
      <c r="AV96" s="237"/>
      <c r="AW96" s="237">
        <f>Ore_to_PI!AI218</f>
        <v>23054812.906863328</v>
      </c>
      <c r="AX96" s="237"/>
      <c r="AY96" s="237"/>
      <c r="AZ96" s="237"/>
      <c r="BA96" s="237"/>
      <c r="BB96" s="237"/>
      <c r="BC96" s="237"/>
      <c r="BD96" s="237"/>
      <c r="BE96" s="237"/>
      <c r="BF96" s="239"/>
      <c r="BG96" s="246">
        <f t="shared" si="11"/>
        <v>23054812.906863328</v>
      </c>
      <c r="BK96" s="233" t="s">
        <v>430</v>
      </c>
      <c r="BL96" s="240"/>
      <c r="BM96" s="240"/>
      <c r="BN96" s="246">
        <f t="shared" si="12"/>
        <v>0</v>
      </c>
    </row>
    <row r="97" spans="33:71">
      <c r="AG97" s="233"/>
      <c r="AH97" s="233"/>
      <c r="AQ97" s="134" t="s">
        <v>416</v>
      </c>
      <c r="AR97" s="237"/>
      <c r="AS97" s="237"/>
      <c r="AT97" s="237"/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46">
        <f t="shared" si="11"/>
        <v>0</v>
      </c>
      <c r="BK97" s="134" t="s">
        <v>416</v>
      </c>
      <c r="BL97" s="240"/>
      <c r="BM97" s="240">
        <f>Ore_to_PI!AI234</f>
        <v>-99.008821849873215</v>
      </c>
      <c r="BN97" s="246">
        <f t="shared" si="12"/>
        <v>-99.008821849873215</v>
      </c>
      <c r="BO97" s="52"/>
      <c r="BP97" s="52"/>
      <c r="BQ97" s="52"/>
      <c r="BR97" s="52"/>
      <c r="BS97" s="52"/>
    </row>
    <row r="98" spans="33:71" ht="16.05" customHeight="1">
      <c r="AG98" s="233"/>
      <c r="AH98" s="233"/>
      <c r="AQ98" s="232" t="s">
        <v>441</v>
      </c>
      <c r="AR98" s="237"/>
      <c r="AS98" s="237"/>
      <c r="AT98" s="237"/>
      <c r="AU98" s="237"/>
      <c r="AV98" s="237"/>
      <c r="AW98" s="237"/>
      <c r="AX98" s="237">
        <f>Ore_to_PI!BA52</f>
        <v>-841.69623437072971</v>
      </c>
      <c r="AY98" s="237"/>
      <c r="AZ98" s="237"/>
      <c r="BA98" s="237"/>
      <c r="BB98" s="237"/>
      <c r="BC98" s="237"/>
      <c r="BD98" s="237"/>
      <c r="BE98" s="237"/>
      <c r="BF98" s="237"/>
      <c r="BG98" s="246">
        <f t="shared" si="11"/>
        <v>-841.69623437072971</v>
      </c>
      <c r="BK98" s="232" t="s">
        <v>441</v>
      </c>
      <c r="BL98" s="240"/>
      <c r="BM98" s="240"/>
      <c r="BN98" s="246">
        <f t="shared" si="12"/>
        <v>0</v>
      </c>
    </row>
    <row r="99" spans="33:71" ht="16.05" customHeight="1">
      <c r="AG99" s="233"/>
      <c r="AH99" s="233"/>
      <c r="AQ99" s="232" t="s">
        <v>436</v>
      </c>
      <c r="AR99" s="237"/>
      <c r="AS99" s="237"/>
      <c r="AT99" s="237"/>
      <c r="AU99" s="237"/>
      <c r="AV99" s="237"/>
      <c r="AW99" s="237"/>
      <c r="AX99" s="237"/>
      <c r="AY99" s="237">
        <f>Ore_to_PI!BB132</f>
        <v>-1202.01</v>
      </c>
      <c r="AZ99" s="237"/>
      <c r="BA99" s="237"/>
      <c r="BB99" s="237"/>
      <c r="BC99" s="237"/>
      <c r="BD99" s="237"/>
      <c r="BE99" s="237"/>
      <c r="BF99" s="237"/>
      <c r="BG99" s="246">
        <f t="shared" si="11"/>
        <v>-1202.01</v>
      </c>
      <c r="BK99" s="232" t="s">
        <v>436</v>
      </c>
      <c r="BL99" s="240"/>
      <c r="BM99" s="240"/>
      <c r="BN99" s="246">
        <f t="shared" si="12"/>
        <v>0</v>
      </c>
    </row>
    <row r="100" spans="33:71" ht="16.05" customHeight="1">
      <c r="AG100" s="233"/>
      <c r="AH100" s="233"/>
      <c r="AQ100" s="232" t="s">
        <v>433</v>
      </c>
      <c r="AR100" s="237"/>
      <c r="AS100" s="237"/>
      <c r="AT100" s="237"/>
      <c r="AU100" s="237"/>
      <c r="AV100" s="237"/>
      <c r="AW100" s="237"/>
      <c r="AX100" s="237"/>
      <c r="AY100" s="237"/>
      <c r="AZ100" s="237">
        <f>Ore_to_PI!BB218</f>
        <v>23054812.906863328</v>
      </c>
      <c r="BA100" s="237"/>
      <c r="BB100" s="237"/>
      <c r="BC100" s="237"/>
      <c r="BD100" s="237"/>
      <c r="BE100" s="237"/>
      <c r="BF100" s="237"/>
      <c r="BG100" s="246">
        <f t="shared" si="11"/>
        <v>23054812.906863328</v>
      </c>
      <c r="BK100" s="232" t="s">
        <v>433</v>
      </c>
      <c r="BL100" s="240"/>
      <c r="BM100" s="240"/>
      <c r="BN100" s="246">
        <f t="shared" si="12"/>
        <v>0</v>
      </c>
    </row>
    <row r="101" spans="33:71" ht="16.05" customHeight="1">
      <c r="AG101" s="247"/>
      <c r="AH101" s="247"/>
      <c r="AQ101" s="232" t="s">
        <v>439</v>
      </c>
      <c r="AR101" s="237"/>
      <c r="AS101" s="237"/>
      <c r="AT101" s="237"/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>
        <f>Ore_to_PI!BT48</f>
        <v>-834.48831000000007</v>
      </c>
      <c r="BF101" s="237"/>
      <c r="BG101" s="246">
        <f t="shared" si="11"/>
        <v>-834.48831000000007</v>
      </c>
      <c r="BK101" s="232" t="s">
        <v>439</v>
      </c>
      <c r="BL101" s="240"/>
      <c r="BM101" s="240"/>
      <c r="BN101" s="246">
        <f t="shared" si="12"/>
        <v>0</v>
      </c>
    </row>
    <row r="102" spans="33:71">
      <c r="AG102" s="233"/>
      <c r="AH102" s="233"/>
      <c r="AQ102" s="233" t="s">
        <v>438</v>
      </c>
      <c r="AR102" s="237"/>
      <c r="AS102" s="237"/>
      <c r="AT102" s="237"/>
      <c r="AU102" s="237"/>
      <c r="AV102" s="237"/>
      <c r="AW102" s="237"/>
      <c r="AX102" s="237"/>
      <c r="AY102" s="237"/>
      <c r="AZ102" s="237"/>
      <c r="BA102" s="237"/>
      <c r="BB102" s="237"/>
      <c r="BC102" s="237"/>
      <c r="BD102" s="237"/>
      <c r="BE102" s="237"/>
      <c r="BF102" s="239"/>
      <c r="BG102" s="246">
        <f t="shared" si="11"/>
        <v>0</v>
      </c>
      <c r="BH102" s="52"/>
      <c r="BI102" s="52"/>
      <c r="BK102" s="233" t="s">
        <v>438</v>
      </c>
      <c r="BL102" s="240"/>
      <c r="BM102" s="240">
        <f>Ore_to_PI!BT63</f>
        <v>-1454.2261001517452</v>
      </c>
      <c r="BN102" s="246">
        <f t="shared" si="12"/>
        <v>-1454.2261001517452</v>
      </c>
    </row>
    <row r="103" spans="33:71">
      <c r="AG103" s="233"/>
      <c r="AH103" s="233"/>
      <c r="AQ103" s="233" t="s">
        <v>424</v>
      </c>
      <c r="AR103" s="237"/>
      <c r="AS103" s="237"/>
      <c r="AT103" s="237"/>
      <c r="AU103" s="237"/>
      <c r="AV103" s="237"/>
      <c r="AW103" s="237"/>
      <c r="AX103" s="237"/>
      <c r="AY103" s="237"/>
      <c r="AZ103" s="237"/>
      <c r="BA103" s="237">
        <f>Ore_to_PI!BU132</f>
        <v>-1202.01</v>
      </c>
      <c r="BB103" s="237"/>
      <c r="BC103" s="237"/>
      <c r="BD103" s="237"/>
      <c r="BE103" s="237"/>
      <c r="BF103" s="237"/>
      <c r="BG103" s="246">
        <f t="shared" si="11"/>
        <v>-1202.01</v>
      </c>
      <c r="BK103" s="233" t="s">
        <v>424</v>
      </c>
      <c r="BL103" s="240"/>
      <c r="BM103" s="240"/>
      <c r="BN103" s="246">
        <f t="shared" si="12"/>
        <v>0</v>
      </c>
    </row>
    <row r="104" spans="33:71">
      <c r="AG104" s="233"/>
      <c r="AH104" s="233"/>
      <c r="AQ104" s="233" t="s">
        <v>456</v>
      </c>
      <c r="AR104" s="237"/>
      <c r="AS104" s="237"/>
      <c r="AT104" s="237"/>
      <c r="AU104" s="237"/>
      <c r="AV104" s="237"/>
      <c r="AW104" s="237"/>
      <c r="AX104" s="237"/>
      <c r="AY104" s="237"/>
      <c r="AZ104" s="237"/>
      <c r="BA104" s="237"/>
      <c r="BB104" s="237">
        <f>Ore_to_PI!BU218</f>
        <v>23054812.906863328</v>
      </c>
      <c r="BC104" s="237"/>
      <c r="BD104" s="237"/>
      <c r="BE104" s="237"/>
      <c r="BF104" s="237"/>
      <c r="BG104" s="246">
        <f t="shared" si="11"/>
        <v>23054812.906863328</v>
      </c>
      <c r="BK104" s="233" t="s">
        <v>456</v>
      </c>
      <c r="BL104" s="240"/>
      <c r="BM104" s="240"/>
      <c r="BN104" s="246">
        <f t="shared" si="12"/>
        <v>0</v>
      </c>
    </row>
    <row r="105" spans="33:71">
      <c r="AG105" s="233"/>
      <c r="AH105" s="233"/>
      <c r="AQ105" s="233" t="s">
        <v>425</v>
      </c>
      <c r="AR105" s="237"/>
      <c r="AS105" s="237"/>
      <c r="AT105" s="237"/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>
        <f>Ore_to_PI!CP131</f>
        <v>-634.9</v>
      </c>
      <c r="BF105" s="237"/>
      <c r="BG105" s="246">
        <f t="shared" si="11"/>
        <v>-634.9</v>
      </c>
      <c r="BK105" s="233" t="s">
        <v>425</v>
      </c>
      <c r="BL105" s="240"/>
      <c r="BM105" s="240"/>
      <c r="BN105" s="246">
        <f t="shared" si="12"/>
        <v>0</v>
      </c>
    </row>
    <row r="106" spans="33:71">
      <c r="AG106" s="233"/>
      <c r="AH106" s="233"/>
      <c r="AQ106" s="233" t="s">
        <v>427</v>
      </c>
      <c r="AR106" s="237"/>
      <c r="AS106" s="237"/>
      <c r="AT106" s="237"/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9"/>
      <c r="BG106" s="246">
        <f t="shared" si="11"/>
        <v>0</v>
      </c>
      <c r="BK106" s="233" t="s">
        <v>427</v>
      </c>
      <c r="BL106" s="240"/>
      <c r="BM106" s="240">
        <f>Ore_to_PI!CP119</f>
        <v>-601.6</v>
      </c>
      <c r="BN106" s="246">
        <f t="shared" si="12"/>
        <v>-601.6</v>
      </c>
    </row>
    <row r="107" spans="33:71">
      <c r="AG107" s="233"/>
      <c r="AH107" s="233"/>
      <c r="AQ107" s="233" t="s">
        <v>426</v>
      </c>
      <c r="AR107" s="237"/>
      <c r="AS107" s="237"/>
      <c r="AT107" s="237"/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/>
      <c r="BE107" s="237"/>
      <c r="BF107" s="237"/>
      <c r="BG107" s="246">
        <f t="shared" si="11"/>
        <v>0</v>
      </c>
      <c r="BK107" s="233" t="s">
        <v>426</v>
      </c>
      <c r="BL107" s="240"/>
      <c r="BM107" s="240">
        <f>Ore_to_PI!CP145</f>
        <v>-125.87204049624027</v>
      </c>
      <c r="BN107" s="246">
        <f t="shared" si="12"/>
        <v>-125.87204049624027</v>
      </c>
    </row>
    <row r="108" spans="33:71">
      <c r="AG108" s="233"/>
      <c r="AH108" s="233"/>
      <c r="AQ108" s="233" t="s">
        <v>484</v>
      </c>
      <c r="AR108" s="237"/>
      <c r="AS108" s="237"/>
      <c r="AT108" s="237"/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Ore_to_PI!CP211</f>
        <v>6546468.5968566798</v>
      </c>
      <c r="BF108" s="237"/>
      <c r="BG108" s="246">
        <f t="shared" si="11"/>
        <v>6546468.5968566798</v>
      </c>
      <c r="BK108" s="233" t="s">
        <v>484</v>
      </c>
      <c r="BL108" s="240"/>
      <c r="BM108" s="240"/>
      <c r="BN108" s="246">
        <f t="shared" si="12"/>
        <v>0</v>
      </c>
    </row>
    <row r="109" spans="33:71" ht="16.05" customHeight="1">
      <c r="AG109" s="233"/>
      <c r="AH109" s="233"/>
      <c r="AQ109" s="247" t="s">
        <v>422</v>
      </c>
      <c r="AR109" s="237"/>
      <c r="AS109" s="237"/>
      <c r="AT109" s="237"/>
      <c r="AU109" s="237"/>
      <c r="AV109" s="237"/>
      <c r="AW109" s="237"/>
      <c r="AX109" s="237"/>
      <c r="AY109" s="237"/>
      <c r="AZ109" s="237"/>
      <c r="BA109" s="237"/>
      <c r="BB109" s="237"/>
      <c r="BC109" s="237">
        <f>Ore_to_PI!CP243</f>
        <v>-37.006500000000003</v>
      </c>
      <c r="BD109" s="237"/>
      <c r="BE109" s="237"/>
      <c r="BF109" s="237"/>
      <c r="BG109" s="246">
        <f t="shared" si="11"/>
        <v>-37.006500000000003</v>
      </c>
      <c r="BK109" s="247" t="s">
        <v>422</v>
      </c>
      <c r="BL109" s="240"/>
      <c r="BM109" s="240"/>
      <c r="BN109" s="246">
        <f t="shared" si="12"/>
        <v>0</v>
      </c>
    </row>
    <row r="110" spans="33:71" ht="16.05" customHeight="1">
      <c r="AG110" s="233"/>
      <c r="AH110" s="233"/>
      <c r="AQ110" s="247" t="s">
        <v>552</v>
      </c>
      <c r="AR110" s="237"/>
      <c r="AS110" s="237"/>
      <c r="AT110" s="237"/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46">
        <f t="shared" si="11"/>
        <v>0</v>
      </c>
      <c r="BK110" s="247" t="s">
        <v>552</v>
      </c>
      <c r="BL110" s="240"/>
      <c r="BM110" s="240">
        <f>Ore_to_PI!CP282</f>
        <v>-221.69899000000004</v>
      </c>
      <c r="BN110" s="246">
        <f t="shared" si="12"/>
        <v>-221.69899000000004</v>
      </c>
    </row>
    <row r="111" spans="33:71">
      <c r="AG111" s="233"/>
      <c r="AH111" s="233"/>
      <c r="AQ111" s="233" t="s">
        <v>421</v>
      </c>
      <c r="AR111" s="237"/>
      <c r="AS111" s="237"/>
      <c r="AT111" s="237"/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46">
        <f t="shared" si="11"/>
        <v>0</v>
      </c>
      <c r="BK111" s="233" t="s">
        <v>421</v>
      </c>
      <c r="BL111" s="240"/>
      <c r="BM111" s="240">
        <f>Ore_to_PI!CP229</f>
        <v>-1089.7720000000002</v>
      </c>
      <c r="BN111" s="246">
        <f t="shared" si="12"/>
        <v>-1089.7720000000002</v>
      </c>
    </row>
    <row r="112" spans="33:71">
      <c r="AG112" s="233"/>
      <c r="AH112" s="233"/>
      <c r="AQ112" s="134" t="s">
        <v>423</v>
      </c>
      <c r="AR112" s="237"/>
      <c r="AS112" s="237"/>
      <c r="AT112" s="237"/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46">
        <f t="shared" si="11"/>
        <v>0</v>
      </c>
      <c r="BK112" s="134" t="s">
        <v>423</v>
      </c>
      <c r="BL112" s="240"/>
      <c r="BM112" s="240">
        <f>Ore_to_PI!CP258</f>
        <v>-89.542108138870873</v>
      </c>
      <c r="BN112" s="246">
        <f t="shared" si="12"/>
        <v>-89.542108138870873</v>
      </c>
    </row>
    <row r="113" spans="2:66">
      <c r="AG113" s="233"/>
      <c r="AH113" s="233"/>
      <c r="AQ113" s="233" t="s">
        <v>515</v>
      </c>
      <c r="AR113" s="237"/>
      <c r="AS113" s="237"/>
      <c r="AT113" s="237"/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>
        <f>Ore_to_PI!DJ241</f>
        <v>-23.917987170512152</v>
      </c>
      <c r="BE113" s="237"/>
      <c r="BF113" s="239"/>
      <c r="BG113" s="246">
        <f t="shared" si="11"/>
        <v>-23.917987170512152</v>
      </c>
      <c r="BK113" s="233" t="s">
        <v>515</v>
      </c>
      <c r="BL113" s="240"/>
      <c r="BM113" s="240"/>
      <c r="BN113" s="246">
        <f t="shared" si="12"/>
        <v>0</v>
      </c>
    </row>
    <row r="114" spans="2:66">
      <c r="AG114" s="233"/>
      <c r="AH114" s="233"/>
      <c r="AQ114" s="233" t="s">
        <v>517</v>
      </c>
      <c r="AR114" s="237"/>
      <c r="AS114" s="237"/>
      <c r="AT114" s="237"/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9">
        <f>Ore_to_PI!EF160</f>
        <v>-23.917987170512156</v>
      </c>
      <c r="BG114" s="246">
        <f t="shared" si="11"/>
        <v>-23.917987170512156</v>
      </c>
      <c r="BK114" s="233" t="s">
        <v>517</v>
      </c>
      <c r="BL114" s="240">
        <f>Ore_to_PI!EZ241</f>
        <v>-23.917987170512156</v>
      </c>
      <c r="BM114" s="240"/>
      <c r="BN114" s="246">
        <f t="shared" si="12"/>
        <v>-23.917987170512156</v>
      </c>
    </row>
    <row r="115" spans="2:66">
      <c r="AG115" s="233"/>
      <c r="AH115" s="233"/>
      <c r="AQ115" s="233" t="s">
        <v>445</v>
      </c>
      <c r="AR115" s="237"/>
      <c r="AS115" s="237"/>
      <c r="AT115" s="237"/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9">
        <f>Ore_to_PI!EF134</f>
        <v>1011848.1879043626</v>
      </c>
      <c r="BG115" s="246">
        <f t="shared" si="11"/>
        <v>1011848.1879043626</v>
      </c>
      <c r="BK115" s="233" t="s">
        <v>445</v>
      </c>
      <c r="BL115" s="240"/>
      <c r="BM115" s="240"/>
      <c r="BN115" s="246">
        <f t="shared" si="12"/>
        <v>0</v>
      </c>
    </row>
    <row r="116" spans="2:66">
      <c r="AG116" s="233"/>
      <c r="AH116" s="233"/>
      <c r="AQ116" s="233" t="s">
        <v>446</v>
      </c>
      <c r="AR116" s="237"/>
      <c r="AS116" s="237"/>
      <c r="AT116" s="237"/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46">
        <f t="shared" si="11"/>
        <v>0</v>
      </c>
      <c r="BK116" s="233" t="s">
        <v>446</v>
      </c>
      <c r="BL116" s="240">
        <f>Ore_to_PI!FF131</f>
        <v>0</v>
      </c>
      <c r="BM116" s="240"/>
      <c r="BN116" s="246">
        <f t="shared" si="12"/>
        <v>0</v>
      </c>
    </row>
    <row r="117" spans="2:66">
      <c r="AG117" s="233"/>
      <c r="AH117" s="233"/>
      <c r="AQ117" s="233" t="s">
        <v>447</v>
      </c>
      <c r="AR117" s="237"/>
      <c r="AS117" s="237"/>
      <c r="AT117" s="237"/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46">
        <f t="shared" si="11"/>
        <v>0</v>
      </c>
      <c r="BK117" s="233" t="s">
        <v>447</v>
      </c>
      <c r="BL117" s="240"/>
      <c r="BM117" s="240">
        <f>Ore_to_PI!FF149</f>
        <v>-126.30390709179704</v>
      </c>
      <c r="BN117" s="246">
        <f t="shared" si="12"/>
        <v>-126.30390709179704</v>
      </c>
    </row>
    <row r="118" spans="2:66">
      <c r="AG118" s="233"/>
      <c r="AH118" s="233"/>
      <c r="AQ118" s="233" t="s">
        <v>457</v>
      </c>
      <c r="AR118" s="237"/>
      <c r="AS118" s="237"/>
      <c r="AT118" s="237"/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46">
        <f t="shared" si="11"/>
        <v>0</v>
      </c>
      <c r="BK118" s="233" t="s">
        <v>457</v>
      </c>
      <c r="BL118" s="240"/>
      <c r="BM118" s="240">
        <f>Ore_to_PI!FF109</f>
        <v>-89.61</v>
      </c>
      <c r="BN118" s="246">
        <f t="shared" si="12"/>
        <v>-89.61</v>
      </c>
    </row>
    <row r="119" spans="2:66">
      <c r="AG119" s="233"/>
      <c r="AH119" s="233"/>
      <c r="AQ119" s="233"/>
      <c r="AR119" s="390" t="s">
        <v>328</v>
      </c>
      <c r="AS119" s="390"/>
      <c r="AT119" s="390"/>
      <c r="AU119" s="390"/>
      <c r="AV119" s="390"/>
      <c r="AW119" s="390"/>
      <c r="AX119" s="390"/>
      <c r="AY119" s="390"/>
      <c r="AZ119" s="390"/>
      <c r="BA119" s="390"/>
      <c r="BB119" s="390"/>
      <c r="BC119" s="390"/>
      <c r="BD119" s="390"/>
      <c r="BE119" s="390"/>
      <c r="BF119" s="390"/>
      <c r="BG119" s="52" t="s">
        <v>369</v>
      </c>
      <c r="BL119" s="390" t="s">
        <v>330</v>
      </c>
      <c r="BM119" s="390"/>
      <c r="BN119" s="52" t="s">
        <v>381</v>
      </c>
    </row>
    <row r="120" spans="2:66">
      <c r="AG120" s="233"/>
      <c r="AH120" s="233"/>
      <c r="AQ120" s="233"/>
      <c r="AR120" s="246">
        <f>SUM(AR83:AR118)</f>
        <v>6285.90657762927</v>
      </c>
      <c r="AS120" s="246">
        <f>SUM(AS83:AS118)</f>
        <v>5675.4928119999995</v>
      </c>
      <c r="AT120" s="246">
        <f>SUM(AT83:AT118)</f>
        <v>23061940.509675328</v>
      </c>
      <c r="AU120" s="246">
        <f t="shared" ref="AU120:BF120" si="13">SUM(AU83:AU118)</f>
        <v>-841.69623437072971</v>
      </c>
      <c r="AV120" s="246">
        <f t="shared" si="13"/>
        <v>-1202.01</v>
      </c>
      <c r="AW120" s="246">
        <f t="shared" si="13"/>
        <v>23054812.906863328</v>
      </c>
      <c r="AX120" s="246">
        <f t="shared" si="13"/>
        <v>-841.69623437072971</v>
      </c>
      <c r="AY120" s="246">
        <f t="shared" si="13"/>
        <v>-1202.01</v>
      </c>
      <c r="AZ120" s="246">
        <f t="shared" si="13"/>
        <v>23054812.906863328</v>
      </c>
      <c r="BA120" s="246">
        <f t="shared" si="13"/>
        <v>-1276.6099999999999</v>
      </c>
      <c r="BB120" s="246">
        <f t="shared" si="13"/>
        <v>23054738.306863327</v>
      </c>
      <c r="BC120" s="246">
        <f t="shared" si="13"/>
        <v>-37.006500000000003</v>
      </c>
      <c r="BD120" s="246">
        <f t="shared" si="13"/>
        <v>-23.917987170512152</v>
      </c>
      <c r="BE120" s="246">
        <f t="shared" si="13"/>
        <v>6544999.2085466795</v>
      </c>
      <c r="BF120" s="246">
        <f t="shared" si="13"/>
        <v>1017290.2875171921</v>
      </c>
      <c r="BL120" s="52"/>
      <c r="BM120" s="52"/>
    </row>
    <row r="121" spans="2:66" ht="13.05" customHeight="1">
      <c r="C121" s="391"/>
      <c r="D121" s="391"/>
      <c r="E121" s="138"/>
      <c r="F121" s="138"/>
      <c r="G121" s="138"/>
      <c r="H121" s="138"/>
      <c r="I121" s="138"/>
      <c r="J121" s="138"/>
      <c r="K121" s="138"/>
      <c r="L121" s="138"/>
      <c r="M121" s="138"/>
      <c r="N121" s="138"/>
      <c r="O121" s="138"/>
      <c r="P121" s="138"/>
      <c r="Q121" s="138"/>
      <c r="R121" s="138"/>
      <c r="S121" s="138"/>
      <c r="T121" s="138"/>
      <c r="U121" s="138"/>
      <c r="V121" s="138"/>
      <c r="W121" s="138"/>
      <c r="X121" s="138"/>
      <c r="Y121" s="138"/>
      <c r="Z121" s="138"/>
      <c r="AA121" s="138"/>
      <c r="AB121" s="138"/>
      <c r="AC121" s="138"/>
      <c r="AD121" s="138"/>
      <c r="AE121" s="138"/>
      <c r="AF121" s="138"/>
      <c r="AG121" s="233"/>
      <c r="AH121" s="233"/>
      <c r="AI121" s="138"/>
      <c r="AJ121" s="138"/>
      <c r="AK121" s="138"/>
      <c r="AL121" s="138"/>
      <c r="AM121" s="138"/>
      <c r="AN121" s="138"/>
      <c r="AO121" s="138"/>
      <c r="AR121" s="390" t="s">
        <v>368</v>
      </c>
      <c r="AS121" s="390"/>
      <c r="AT121" s="390"/>
      <c r="AU121" s="390"/>
      <c r="AV121" s="390"/>
      <c r="AW121" s="390"/>
      <c r="AX121" s="390"/>
      <c r="AY121" s="390"/>
      <c r="AZ121" s="390"/>
      <c r="BA121" s="390"/>
      <c r="BB121" s="390"/>
      <c r="BC121" s="390"/>
      <c r="BD121" s="390"/>
      <c r="BE121" s="390"/>
      <c r="BF121" s="390"/>
      <c r="BL121" s="52"/>
      <c r="BM121" s="52"/>
    </row>
    <row r="122" spans="2:66" ht="235.95" customHeight="1">
      <c r="B122" s="60"/>
      <c r="C122" s="234" t="s">
        <v>333</v>
      </c>
      <c r="D122" s="234" t="s">
        <v>335</v>
      </c>
      <c r="E122" s="234" t="s">
        <v>336</v>
      </c>
      <c r="F122" s="234" t="s">
        <v>355</v>
      </c>
      <c r="G122" s="234" t="s">
        <v>377</v>
      </c>
      <c r="H122" s="234" t="s">
        <v>466</v>
      </c>
      <c r="I122" s="234" t="s">
        <v>467</v>
      </c>
      <c r="J122" s="234" t="s">
        <v>411</v>
      </c>
      <c r="K122" s="234" t="s">
        <v>459</v>
      </c>
      <c r="L122" s="235" t="s">
        <v>442</v>
      </c>
      <c r="M122" s="234" t="s">
        <v>409</v>
      </c>
      <c r="N122" s="235" t="s">
        <v>412</v>
      </c>
      <c r="O122" s="234" t="s">
        <v>437</v>
      </c>
      <c r="P122" s="236" t="s">
        <v>430</v>
      </c>
      <c r="Q122" s="234" t="s">
        <v>416</v>
      </c>
      <c r="R122" s="235" t="s">
        <v>441</v>
      </c>
      <c r="S122" s="235" t="s">
        <v>436</v>
      </c>
      <c r="T122" s="235" t="s">
        <v>433</v>
      </c>
      <c r="U122" s="235" t="s">
        <v>439</v>
      </c>
      <c r="V122" s="236" t="s">
        <v>438</v>
      </c>
      <c r="W122" s="236" t="s">
        <v>424</v>
      </c>
      <c r="X122" s="236" t="s">
        <v>456</v>
      </c>
      <c r="Y122" s="236" t="s">
        <v>425</v>
      </c>
      <c r="Z122" s="236" t="s">
        <v>427</v>
      </c>
      <c r="AA122" s="236" t="s">
        <v>426</v>
      </c>
      <c r="AB122" s="236" t="s">
        <v>484</v>
      </c>
      <c r="AC122" s="238" t="s">
        <v>422</v>
      </c>
      <c r="AD122" s="238" t="s">
        <v>552</v>
      </c>
      <c r="AE122" s="236" t="s">
        <v>421</v>
      </c>
      <c r="AF122" s="234" t="s">
        <v>423</v>
      </c>
      <c r="AG122" s="236" t="s">
        <v>515</v>
      </c>
      <c r="AH122" s="236" t="s">
        <v>517</v>
      </c>
      <c r="AI122" s="236" t="s">
        <v>445</v>
      </c>
      <c r="AJ122" s="236" t="s">
        <v>446</v>
      </c>
      <c r="AK122" s="236" t="s">
        <v>447</v>
      </c>
      <c r="AL122" s="236" t="s">
        <v>457</v>
      </c>
      <c r="AM122" s="236"/>
    </row>
    <row r="123" spans="2:66">
      <c r="B123" s="134" t="s">
        <v>325</v>
      </c>
      <c r="C123" s="237"/>
      <c r="D123" s="237"/>
      <c r="E123" s="237"/>
      <c r="F123" s="237"/>
      <c r="G123" s="237"/>
      <c r="H123" s="237"/>
      <c r="I123" s="237"/>
      <c r="J123" s="237"/>
      <c r="K123" s="237"/>
      <c r="L123" s="237">
        <f>Ore_to_PI!AH52</f>
        <v>-841.69623437072971</v>
      </c>
      <c r="M123" s="237">
        <f>Ore_to_PI!AH70</f>
        <v>-99.008821849873215</v>
      </c>
      <c r="N123" s="237"/>
      <c r="O123" s="237"/>
      <c r="P123" s="237"/>
      <c r="Q123" s="237"/>
      <c r="R123" s="237"/>
      <c r="S123" s="237"/>
      <c r="T123" s="237"/>
      <c r="U123" s="237"/>
      <c r="V123" s="237"/>
      <c r="W123" s="237"/>
      <c r="X123" s="237"/>
      <c r="Y123" s="237"/>
      <c r="Z123" s="237"/>
      <c r="AA123" s="237"/>
      <c r="AB123" s="237"/>
      <c r="AC123" s="237"/>
      <c r="AD123" s="237"/>
      <c r="AE123" s="237"/>
      <c r="AF123" s="237"/>
      <c r="AG123" s="237"/>
      <c r="AH123" s="237"/>
      <c r="AI123" s="237"/>
      <c r="AJ123" s="237"/>
      <c r="AK123" s="237"/>
      <c r="AL123" s="237"/>
      <c r="AM123" s="253">
        <f>SUM(C123:AL123)</f>
        <v>-940.70505622060296</v>
      </c>
    </row>
    <row r="124" spans="2:66">
      <c r="B124" s="134" t="s">
        <v>326</v>
      </c>
      <c r="C124" s="237"/>
      <c r="D124" s="237"/>
      <c r="E124" s="237"/>
      <c r="F124" s="237"/>
      <c r="G124" s="237"/>
      <c r="H124" s="237"/>
      <c r="I124" s="237"/>
      <c r="J124" s="237"/>
      <c r="K124" s="237"/>
      <c r="L124" s="237"/>
      <c r="M124" s="237"/>
      <c r="N124" s="237">
        <f>Ore_to_PI!AI132</f>
        <v>-1202.01</v>
      </c>
      <c r="O124" s="237">
        <f>Ore_to_PI!AI149</f>
        <v>-98.84370786785361</v>
      </c>
      <c r="P124" s="237"/>
      <c r="Q124" s="237"/>
      <c r="R124" s="237"/>
      <c r="S124" s="237"/>
      <c r="T124" s="237"/>
      <c r="U124" s="237"/>
      <c r="V124" s="237"/>
      <c r="W124" s="237"/>
      <c r="X124" s="237"/>
      <c r="Y124" s="237"/>
      <c r="Z124" s="237"/>
      <c r="AA124" s="237"/>
      <c r="AB124" s="237"/>
      <c r="AC124" s="237"/>
      <c r="AD124" s="237"/>
      <c r="AE124" s="237"/>
      <c r="AF124" s="237"/>
      <c r="AG124" s="237"/>
      <c r="AH124" s="237"/>
      <c r="AI124" s="237"/>
      <c r="AJ124" s="237"/>
      <c r="AK124" s="237"/>
      <c r="AL124" s="237"/>
      <c r="AM124" s="253">
        <f t="shared" ref="AM124:AM137" si="14">SUM(C124:AL124)</f>
        <v>-1300.8537078678537</v>
      </c>
    </row>
    <row r="125" spans="2:66">
      <c r="B125" s="134" t="s">
        <v>327</v>
      </c>
      <c r="C125" s="237"/>
      <c r="D125" s="237"/>
      <c r="E125" s="237"/>
      <c r="F125" s="237"/>
      <c r="G125" s="237"/>
      <c r="H125" s="237"/>
      <c r="I125" s="237"/>
      <c r="J125" s="237"/>
      <c r="K125" s="237"/>
      <c r="L125" s="237"/>
      <c r="M125" s="237"/>
      <c r="N125" s="237"/>
      <c r="O125" s="237"/>
      <c r="P125" s="237">
        <f>Ore_to_PI!AI218</f>
        <v>23054812.906863328</v>
      </c>
      <c r="Q125" s="237">
        <f>Ore_to_PI!AI234</f>
        <v>-99.008821849873215</v>
      </c>
      <c r="R125" s="237"/>
      <c r="S125" s="237"/>
      <c r="T125" s="237"/>
      <c r="U125" s="237"/>
      <c r="V125" s="237"/>
      <c r="W125" s="237"/>
      <c r="X125" s="237"/>
      <c r="Y125" s="237"/>
      <c r="Z125" s="237"/>
      <c r="AA125" s="237"/>
      <c r="AB125" s="237"/>
      <c r="AC125" s="237"/>
      <c r="AD125" s="237"/>
      <c r="AE125" s="237"/>
      <c r="AF125" s="237"/>
      <c r="AG125" s="237"/>
      <c r="AH125" s="237"/>
      <c r="AI125" s="237"/>
      <c r="AJ125" s="237"/>
      <c r="AK125" s="237"/>
      <c r="AL125" s="237"/>
      <c r="AM125" s="253">
        <f t="shared" si="14"/>
        <v>23054713.898041479</v>
      </c>
      <c r="AR125" s="52"/>
      <c r="AS125" s="52"/>
      <c r="AT125" s="52"/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  <c r="BL125" s="52"/>
      <c r="BM125" s="52"/>
    </row>
    <row r="126" spans="2:66">
      <c r="B126" s="134" t="s">
        <v>455</v>
      </c>
      <c r="C126" s="237"/>
      <c r="D126" s="237"/>
      <c r="E126" s="237"/>
      <c r="F126" s="237"/>
      <c r="G126" s="237"/>
      <c r="H126" s="237"/>
      <c r="I126" s="237"/>
      <c r="J126" s="237"/>
      <c r="K126" s="237"/>
      <c r="L126" s="237"/>
      <c r="M126" s="237"/>
      <c r="N126" s="237"/>
      <c r="O126" s="237"/>
      <c r="P126" s="237"/>
      <c r="Q126" s="237"/>
      <c r="R126" s="237">
        <f>Ore_to_PI!BA52</f>
        <v>-841.69623437072971</v>
      </c>
      <c r="S126" s="237"/>
      <c r="T126" s="237"/>
      <c r="U126" s="237"/>
      <c r="V126" s="237"/>
      <c r="W126" s="237"/>
      <c r="X126" s="237"/>
      <c r="Y126" s="237"/>
      <c r="Z126" s="237"/>
      <c r="AA126" s="237"/>
      <c r="AB126" s="237"/>
      <c r="AC126" s="237"/>
      <c r="AD126" s="237"/>
      <c r="AE126" s="237"/>
      <c r="AF126" s="237"/>
      <c r="AG126" s="237"/>
      <c r="AH126" s="237"/>
      <c r="AI126" s="237"/>
      <c r="AJ126" s="237"/>
      <c r="AK126" s="237"/>
      <c r="AL126" s="237"/>
      <c r="AM126" s="253">
        <f t="shared" si="14"/>
        <v>-841.69623437072971</v>
      </c>
      <c r="AR126" s="52"/>
      <c r="AS126" s="52"/>
      <c r="AT126" s="52"/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  <c r="BL126" s="52"/>
      <c r="BM126" s="52"/>
    </row>
    <row r="127" spans="2:66">
      <c r="B127" s="134" t="s">
        <v>435</v>
      </c>
      <c r="C127" s="237"/>
      <c r="D127" s="237"/>
      <c r="E127" s="237"/>
      <c r="F127" s="237"/>
      <c r="G127" s="237"/>
      <c r="H127" s="237"/>
      <c r="I127" s="237"/>
      <c r="J127" s="237"/>
      <c r="K127" s="237"/>
      <c r="L127" s="237"/>
      <c r="M127" s="237"/>
      <c r="N127" s="237"/>
      <c r="O127" s="237"/>
      <c r="P127" s="237"/>
      <c r="Q127" s="237"/>
      <c r="R127" s="237"/>
      <c r="S127" s="237">
        <f>Ore_to_PI!BB132</f>
        <v>-1202.01</v>
      </c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53">
        <f t="shared" si="14"/>
        <v>-1202.01</v>
      </c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L127" s="52"/>
      <c r="BM127" s="52"/>
    </row>
    <row r="128" spans="2:66">
      <c r="B128" s="134" t="s">
        <v>434</v>
      </c>
      <c r="C128" s="237"/>
      <c r="D128" s="237"/>
      <c r="E128" s="237"/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/>
      <c r="R128" s="237"/>
      <c r="S128" s="237"/>
      <c r="T128" s="237">
        <f>Ore_to_PI!BB218</f>
        <v>23054812.906863328</v>
      </c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53">
        <f t="shared" si="14"/>
        <v>23054812.906863328</v>
      </c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L128" s="52"/>
      <c r="BM128" s="52"/>
    </row>
    <row r="129" spans="2:65">
      <c r="B129" s="134" t="s">
        <v>351</v>
      </c>
      <c r="C129" s="237"/>
      <c r="D129" s="237"/>
      <c r="E129" s="237"/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/>
      <c r="T129" s="237"/>
      <c r="U129" s="237">
        <f>Ore_to_PI!BT48</f>
        <v>-834.48831000000007</v>
      </c>
      <c r="V129" s="237">
        <f>Ore_to_PI!BT63</f>
        <v>-1454.2261001517452</v>
      </c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53">
        <f t="shared" si="14"/>
        <v>-2288.7144101517451</v>
      </c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L129" s="52"/>
      <c r="BM129" s="52"/>
    </row>
    <row r="130" spans="2:65">
      <c r="B130" s="134" t="s">
        <v>348</v>
      </c>
      <c r="C130" s="237"/>
      <c r="D130" s="237"/>
      <c r="E130" s="237"/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/>
      <c r="V130" s="237"/>
      <c r="W130" s="237">
        <f>Ore_to_PI!BU132</f>
        <v>-1202.01</v>
      </c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53">
        <f t="shared" si="14"/>
        <v>-1202.01</v>
      </c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L130" s="52"/>
      <c r="BM130" s="52"/>
    </row>
    <row r="131" spans="2:65">
      <c r="B131" s="134" t="s">
        <v>362</v>
      </c>
      <c r="C131" s="237"/>
      <c r="D131" s="237"/>
      <c r="E131" s="237"/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/>
      <c r="W131" s="237"/>
      <c r="X131" s="237">
        <f>Ore_to_PI!BU218</f>
        <v>23054812.906863328</v>
      </c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53">
        <f t="shared" si="14"/>
        <v>23054812.906863328</v>
      </c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L131" s="52"/>
      <c r="BM131" s="52"/>
    </row>
    <row r="132" spans="2:65">
      <c r="B132" s="134" t="s">
        <v>349</v>
      </c>
      <c r="C132" s="237"/>
      <c r="D132" s="237"/>
      <c r="E132" s="237"/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/>
      <c r="X132" s="237"/>
      <c r="Y132" s="237">
        <f>Ore_to_PI!CP131</f>
        <v>-634.9</v>
      </c>
      <c r="Z132" s="237">
        <f>Ore_to_PI!CP119</f>
        <v>-601.6</v>
      </c>
      <c r="AA132" s="237">
        <f>Ore_to_PI!CP145</f>
        <v>-125.87204049624027</v>
      </c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53">
        <f t="shared" si="14"/>
        <v>-1362.3720404962403</v>
      </c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L132" s="52"/>
      <c r="BM132" s="52"/>
    </row>
    <row r="133" spans="2:65">
      <c r="B133" s="134" t="s">
        <v>344</v>
      </c>
      <c r="C133" s="237"/>
      <c r="D133" s="237"/>
      <c r="E133" s="237"/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/>
      <c r="Y133" s="237"/>
      <c r="Z133" s="237"/>
      <c r="AA133" s="237"/>
      <c r="AB133" s="237">
        <f>Ore_to_PI!CP211</f>
        <v>6546468.5968566798</v>
      </c>
      <c r="AC133" s="237">
        <f>Ore_to_PI!CP243</f>
        <v>-37.006500000000003</v>
      </c>
      <c r="AD133" s="237">
        <f>Ore_to_PI!CP282</f>
        <v>-221.69899000000004</v>
      </c>
      <c r="AE133" s="237">
        <f>Ore_to_PI!CP229</f>
        <v>-1089.7720000000002</v>
      </c>
      <c r="AF133" s="237">
        <f>Ore_to_PI!CP258</f>
        <v>-89.542108138870873</v>
      </c>
      <c r="AG133" s="237"/>
      <c r="AH133" s="237"/>
      <c r="AI133" s="237"/>
      <c r="AJ133" s="237"/>
      <c r="AK133" s="237"/>
      <c r="AL133" s="237"/>
      <c r="AM133" s="253">
        <f t="shared" si="14"/>
        <v>6545030.5772585403</v>
      </c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L133" s="52"/>
      <c r="BM133" s="52"/>
    </row>
    <row r="134" spans="2:65">
      <c r="B134" s="134" t="s">
        <v>514</v>
      </c>
      <c r="C134" s="237"/>
      <c r="D134" s="237"/>
      <c r="E134" s="237"/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/>
      <c r="AA134" s="237"/>
      <c r="AB134" s="237"/>
      <c r="AC134" s="237"/>
      <c r="AD134" s="237"/>
      <c r="AE134" s="237"/>
      <c r="AF134" s="237"/>
      <c r="AG134" s="237">
        <f>Ore_to_PI!DJ241</f>
        <v>-23.917987170512152</v>
      </c>
      <c r="AH134" s="237"/>
      <c r="AI134" s="237"/>
      <c r="AJ134" s="237"/>
      <c r="AK134" s="237"/>
      <c r="AL134" s="237"/>
      <c r="AM134" s="253">
        <f t="shared" si="14"/>
        <v>-23.917987170512152</v>
      </c>
    </row>
    <row r="135" spans="2:65">
      <c r="B135" s="134" t="s">
        <v>516</v>
      </c>
      <c r="C135" s="237"/>
      <c r="D135" s="237"/>
      <c r="E135" s="237"/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/>
      <c r="AB135" s="237"/>
      <c r="AC135" s="237"/>
      <c r="AD135" s="237"/>
      <c r="AE135" s="237"/>
      <c r="AF135" s="237"/>
      <c r="AG135" s="237"/>
      <c r="AH135" s="237">
        <f>Ore_to_PI!EE241</f>
        <v>-23.917987170512152</v>
      </c>
      <c r="AI135" s="237"/>
      <c r="AJ135" s="237"/>
      <c r="AK135" s="237"/>
      <c r="AL135" s="237"/>
      <c r="AM135" s="253">
        <f t="shared" si="14"/>
        <v>-23.917987170512152</v>
      </c>
    </row>
    <row r="136" spans="2:65">
      <c r="B136" s="134" t="s">
        <v>76</v>
      </c>
      <c r="C136" s="237"/>
      <c r="D136" s="237"/>
      <c r="E136" s="237"/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/>
      <c r="AC136" s="237"/>
      <c r="AD136" s="237"/>
      <c r="AE136" s="237"/>
      <c r="AF136" s="237"/>
      <c r="AG136" s="237"/>
      <c r="AH136" s="237"/>
      <c r="AI136" s="237">
        <f>Ore_to_PI!EF134</f>
        <v>1011848.1879043626</v>
      </c>
      <c r="AJ136" s="237"/>
      <c r="AK136" s="237"/>
      <c r="AL136" s="237"/>
      <c r="AM136" s="253">
        <f t="shared" si="14"/>
        <v>1011848.1879043626</v>
      </c>
    </row>
    <row r="137" spans="2:65">
      <c r="B137" s="134" t="s">
        <v>337</v>
      </c>
      <c r="C137" s="237"/>
      <c r="D137" s="237"/>
      <c r="E137" s="237"/>
      <c r="F137" s="239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43"/>
      <c r="AB137" s="237"/>
      <c r="AC137" s="237"/>
      <c r="AD137" s="237"/>
      <c r="AE137" s="237"/>
      <c r="AF137" s="237"/>
      <c r="AG137" s="237"/>
      <c r="AH137" s="237"/>
      <c r="AI137" s="237"/>
      <c r="AJ137" s="237">
        <f>Ore_to_PI!FF131</f>
        <v>0</v>
      </c>
      <c r="AK137" s="237">
        <f>Ore_to_PI!FF149</f>
        <v>-126.30390709179704</v>
      </c>
      <c r="AL137" s="237">
        <f>Ore_to_PI!FF109</f>
        <v>-89.61</v>
      </c>
      <c r="AM137" s="253">
        <f t="shared" si="14"/>
        <v>-215.91390709179706</v>
      </c>
    </row>
    <row r="138" spans="2:65">
      <c r="B138" s="134"/>
      <c r="C138" s="390" t="s">
        <v>329</v>
      </c>
      <c r="D138" s="390"/>
      <c r="E138" s="390"/>
      <c r="F138" s="390"/>
      <c r="G138" s="390"/>
      <c r="H138" s="390"/>
      <c r="I138" s="390"/>
      <c r="J138" s="390"/>
      <c r="K138" s="390"/>
      <c r="L138" s="390"/>
      <c r="M138" s="390"/>
      <c r="N138" s="390"/>
      <c r="O138" s="390"/>
      <c r="P138" s="390"/>
      <c r="Q138" s="390"/>
      <c r="R138" s="390"/>
      <c r="S138" s="390"/>
      <c r="T138" s="390"/>
      <c r="U138" s="390"/>
      <c r="V138" s="390"/>
      <c r="W138" s="390"/>
      <c r="X138" s="390"/>
      <c r="Y138" s="390"/>
      <c r="Z138" s="390"/>
      <c r="AA138" s="390"/>
      <c r="AB138" s="390"/>
      <c r="AC138" s="390"/>
      <c r="AD138" s="390"/>
      <c r="AE138" s="390"/>
      <c r="AF138" s="390"/>
      <c r="AG138" s="390"/>
      <c r="AH138" s="390"/>
      <c r="AI138" s="390"/>
      <c r="AJ138" s="390"/>
      <c r="AK138" s="390"/>
      <c r="AL138" s="390"/>
      <c r="AM138" s="52" t="s">
        <v>365</v>
      </c>
      <c r="AN138" s="52"/>
    </row>
    <row r="139" spans="2:65">
      <c r="B139" s="134"/>
      <c r="C139" s="246">
        <f t="shared" ref="C139:G139" si="15">SUM(C123:C137)</f>
        <v>0</v>
      </c>
      <c r="D139" s="246">
        <f t="shared" si="15"/>
        <v>0</v>
      </c>
      <c r="E139" s="246">
        <f t="shared" si="15"/>
        <v>0</v>
      </c>
      <c r="F139" s="246">
        <f t="shared" si="15"/>
        <v>0</v>
      </c>
      <c r="G139" s="246">
        <f t="shared" si="15"/>
        <v>0</v>
      </c>
      <c r="H139" s="246">
        <f t="shared" ref="H139:AL139" si="16">SUM(H123:H137)</f>
        <v>0</v>
      </c>
      <c r="I139" s="246">
        <f t="shared" si="16"/>
        <v>0</v>
      </c>
      <c r="J139" s="246">
        <f t="shared" si="16"/>
        <v>0</v>
      </c>
      <c r="K139" s="246">
        <f t="shared" si="16"/>
        <v>0</v>
      </c>
      <c r="L139" s="246">
        <f t="shared" si="16"/>
        <v>-841.69623437072971</v>
      </c>
      <c r="M139" s="246">
        <f t="shared" si="16"/>
        <v>-99.008821849873215</v>
      </c>
      <c r="N139" s="246">
        <f t="shared" si="16"/>
        <v>-1202.01</v>
      </c>
      <c r="O139" s="246">
        <f t="shared" si="16"/>
        <v>-98.84370786785361</v>
      </c>
      <c r="P139" s="246">
        <f t="shared" si="16"/>
        <v>23054812.906863328</v>
      </c>
      <c r="Q139" s="246">
        <f t="shared" si="16"/>
        <v>-99.008821849873215</v>
      </c>
      <c r="R139" s="246">
        <f t="shared" si="16"/>
        <v>-841.69623437072971</v>
      </c>
      <c r="S139" s="246">
        <f t="shared" si="16"/>
        <v>-1202.01</v>
      </c>
      <c r="T139" s="246">
        <f t="shared" si="16"/>
        <v>23054812.906863328</v>
      </c>
      <c r="U139" s="246">
        <f t="shared" si="16"/>
        <v>-834.48831000000007</v>
      </c>
      <c r="V139" s="246">
        <f t="shared" si="16"/>
        <v>-1454.2261001517452</v>
      </c>
      <c r="W139" s="246">
        <f t="shared" si="16"/>
        <v>-1202.01</v>
      </c>
      <c r="X139" s="246">
        <f t="shared" si="16"/>
        <v>23054812.906863328</v>
      </c>
      <c r="Y139" s="246">
        <f t="shared" si="16"/>
        <v>-634.9</v>
      </c>
      <c r="Z139" s="246">
        <f t="shared" si="16"/>
        <v>-601.6</v>
      </c>
      <c r="AA139" s="246">
        <f t="shared" si="16"/>
        <v>-125.87204049624027</v>
      </c>
      <c r="AB139" s="246">
        <f t="shared" si="16"/>
        <v>6546468.5968566798</v>
      </c>
      <c r="AC139" s="246">
        <f t="shared" si="16"/>
        <v>-37.006500000000003</v>
      </c>
      <c r="AD139" s="246">
        <f t="shared" si="16"/>
        <v>-221.69899000000004</v>
      </c>
      <c r="AE139" s="246">
        <f t="shared" si="16"/>
        <v>-1089.7720000000002</v>
      </c>
      <c r="AF139" s="246">
        <f t="shared" si="16"/>
        <v>-89.542108138870873</v>
      </c>
      <c r="AG139" s="246">
        <f t="shared" si="16"/>
        <v>-23.917987170512152</v>
      </c>
      <c r="AH139" s="246">
        <f t="shared" si="16"/>
        <v>-23.917987170512152</v>
      </c>
      <c r="AI139" s="246">
        <f t="shared" si="16"/>
        <v>1011848.1879043626</v>
      </c>
      <c r="AJ139" s="246">
        <f t="shared" si="16"/>
        <v>0</v>
      </c>
      <c r="AK139" s="246">
        <f t="shared" si="16"/>
        <v>-126.30390709179704</v>
      </c>
      <c r="AL139" s="246">
        <f t="shared" si="16"/>
        <v>-89.61</v>
      </c>
      <c r="AM139" s="52"/>
    </row>
    <row r="140" spans="2:65">
      <c r="B140" s="134"/>
      <c r="C140" s="390" t="s">
        <v>366</v>
      </c>
      <c r="D140" s="390"/>
      <c r="E140" s="390"/>
      <c r="F140" s="390"/>
      <c r="G140" s="390"/>
      <c r="H140" s="390"/>
      <c r="I140" s="390"/>
      <c r="J140" s="390"/>
      <c r="K140" s="390"/>
      <c r="L140" s="390"/>
      <c r="M140" s="390"/>
      <c r="N140" s="390"/>
      <c r="O140" s="390"/>
      <c r="P140" s="390"/>
      <c r="Q140" s="390"/>
      <c r="R140" s="390"/>
      <c r="S140" s="390"/>
      <c r="T140" s="390"/>
      <c r="U140" s="390"/>
      <c r="V140" s="390"/>
      <c r="W140" s="390"/>
      <c r="X140" s="390"/>
      <c r="Y140" s="390"/>
      <c r="Z140" s="390"/>
      <c r="AA140" s="390"/>
      <c r="AB140" s="390"/>
      <c r="AC140" s="390"/>
      <c r="AD140" s="390"/>
      <c r="AE140" s="390"/>
      <c r="AF140" s="390"/>
      <c r="AG140" s="390"/>
      <c r="AH140" s="390"/>
      <c r="AI140" s="390"/>
      <c r="AJ140" s="390"/>
      <c r="AK140" s="390"/>
      <c r="AL140" s="390"/>
    </row>
    <row r="141" spans="2:65">
      <c r="B141" s="134"/>
    </row>
    <row r="142" spans="2:65">
      <c r="B142" s="134"/>
    </row>
    <row r="143" spans="2:65">
      <c r="B143" s="134"/>
    </row>
    <row r="144" spans="2:65">
      <c r="B144" s="134"/>
    </row>
    <row r="145" spans="2:44">
      <c r="B145" s="134"/>
    </row>
    <row r="146" spans="2:44">
      <c r="B146" s="134"/>
    </row>
    <row r="147" spans="2:44">
      <c r="B147" s="134"/>
    </row>
    <row r="148" spans="2:44">
      <c r="B148" s="134"/>
    </row>
    <row r="149" spans="2:44">
      <c r="B149" s="134"/>
    </row>
    <row r="150" spans="2:44">
      <c r="B150" s="134"/>
    </row>
    <row r="151" spans="2:44" ht="235.95" customHeight="1">
      <c r="B151" s="134"/>
      <c r="C151" s="234" t="s">
        <v>333</v>
      </c>
      <c r="D151" s="234" t="s">
        <v>335</v>
      </c>
      <c r="E151" s="234" t="s">
        <v>336</v>
      </c>
      <c r="F151" s="234" t="s">
        <v>355</v>
      </c>
      <c r="G151" s="234" t="s">
        <v>377</v>
      </c>
      <c r="H151" s="234" t="s">
        <v>466</v>
      </c>
      <c r="I151" s="234" t="s">
        <v>467</v>
      </c>
      <c r="J151" s="234" t="s">
        <v>411</v>
      </c>
      <c r="K151" s="234" t="s">
        <v>459</v>
      </c>
      <c r="L151" s="235" t="s">
        <v>442</v>
      </c>
      <c r="M151" s="234" t="s">
        <v>409</v>
      </c>
      <c r="N151" s="235" t="s">
        <v>412</v>
      </c>
      <c r="O151" s="234" t="s">
        <v>437</v>
      </c>
      <c r="P151" s="236" t="s">
        <v>430</v>
      </c>
      <c r="Q151" s="234" t="s">
        <v>416</v>
      </c>
      <c r="R151" s="235" t="s">
        <v>441</v>
      </c>
      <c r="S151" s="235" t="s">
        <v>436</v>
      </c>
      <c r="T151" s="235" t="s">
        <v>433</v>
      </c>
      <c r="U151" s="235" t="s">
        <v>439</v>
      </c>
      <c r="V151" s="236" t="s">
        <v>438</v>
      </c>
      <c r="W151" s="236" t="s">
        <v>424</v>
      </c>
      <c r="X151" s="236" t="s">
        <v>456</v>
      </c>
      <c r="Y151" s="236" t="s">
        <v>425</v>
      </c>
      <c r="Z151" s="236" t="s">
        <v>427</v>
      </c>
      <c r="AA151" s="236" t="s">
        <v>426</v>
      </c>
      <c r="AB151" s="236" t="s">
        <v>484</v>
      </c>
      <c r="AC151" s="238" t="s">
        <v>422</v>
      </c>
      <c r="AD151" s="238" t="s">
        <v>552</v>
      </c>
      <c r="AE151" s="236" t="s">
        <v>421</v>
      </c>
      <c r="AF151" s="234" t="s">
        <v>423</v>
      </c>
      <c r="AG151" s="236" t="s">
        <v>515</v>
      </c>
      <c r="AH151" s="236" t="s">
        <v>517</v>
      </c>
      <c r="AI151" s="236" t="s">
        <v>445</v>
      </c>
      <c r="AJ151" s="236" t="s">
        <v>446</v>
      </c>
      <c r="AK151" s="236" t="s">
        <v>447</v>
      </c>
      <c r="AL151" s="236" t="s">
        <v>457</v>
      </c>
      <c r="AM151" s="236"/>
      <c r="AN151" s="236"/>
    </row>
    <row r="152" spans="2:44">
      <c r="B152" s="134" t="s">
        <v>332</v>
      </c>
      <c r="C152" s="240">
        <f>Ore_to_PI!O52</f>
        <v>-841.69623437072971</v>
      </c>
      <c r="D152" s="240"/>
      <c r="E152" s="240"/>
      <c r="F152" s="240"/>
      <c r="G152" s="240"/>
      <c r="H152" s="240"/>
      <c r="I152" s="240"/>
      <c r="J152" s="240"/>
      <c r="K152" s="240"/>
      <c r="L152" s="240"/>
      <c r="M152" s="240"/>
      <c r="N152" s="240"/>
      <c r="O152" s="240"/>
      <c r="P152" s="240"/>
      <c r="Q152" s="240"/>
      <c r="R152" s="240"/>
      <c r="S152" s="240"/>
      <c r="T152" s="240"/>
      <c r="U152" s="240"/>
      <c r="V152" s="240"/>
      <c r="W152" s="240"/>
      <c r="X152" s="240"/>
      <c r="Y152" s="240"/>
      <c r="Z152" s="240"/>
      <c r="AA152" s="240"/>
      <c r="AB152" s="240"/>
      <c r="AC152" s="240"/>
      <c r="AD152" s="240"/>
      <c r="AE152" s="240"/>
      <c r="AF152" s="240"/>
      <c r="AG152" s="240"/>
      <c r="AH152" s="240"/>
      <c r="AI152" s="240"/>
      <c r="AJ152" s="240"/>
      <c r="AK152" s="240"/>
      <c r="AL152" s="240"/>
    </row>
    <row r="153" spans="2:44" ht="16.05" customHeight="1">
      <c r="B153" s="232" t="s">
        <v>334</v>
      </c>
      <c r="C153" s="240"/>
      <c r="D153" s="240">
        <f>Ore_to_PI!O132</f>
        <v>-1202.01</v>
      </c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>
      <c r="B154" s="233" t="s">
        <v>356</v>
      </c>
      <c r="C154" s="240"/>
      <c r="D154" s="240"/>
      <c r="E154" s="240">
        <f>Ore_to_PI!O218</f>
        <v>23054812.906863328</v>
      </c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>
      <c r="B155" s="134" t="s">
        <v>380</v>
      </c>
      <c r="C155" s="240"/>
      <c r="D155" s="240"/>
      <c r="E155" s="240"/>
      <c r="F155" s="245">
        <f>Ore_to_PI!O242</f>
        <v>0</v>
      </c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>
      <c r="B156" s="134" t="s">
        <v>376</v>
      </c>
      <c r="C156" s="240"/>
      <c r="D156" s="240"/>
      <c r="E156" s="240"/>
      <c r="F156" s="240"/>
      <c r="G156" s="240">
        <f>h_CH4</f>
        <v>-74.599999999999994</v>
      </c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>
      <c r="B157" s="134" t="s">
        <v>469</v>
      </c>
      <c r="C157" s="240"/>
      <c r="D157" s="240"/>
      <c r="E157" s="240"/>
      <c r="F157" s="240"/>
      <c r="G157" s="240"/>
      <c r="H157" s="240">
        <f>LHV_Diesel*MW_C12H23</f>
        <v>7127.6028120000001</v>
      </c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R157" s="238"/>
    </row>
    <row r="158" spans="2:44">
      <c r="B158" s="134" t="s">
        <v>468</v>
      </c>
      <c r="C158" s="240"/>
      <c r="D158" s="240"/>
      <c r="E158" s="240"/>
      <c r="F158" s="240"/>
      <c r="G158" s="240"/>
      <c r="H158" s="240"/>
      <c r="I158" s="240">
        <f>Ore_to_PI!O156</f>
        <v>-250.1</v>
      </c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>
      <c r="B159" s="134" t="s">
        <v>410</v>
      </c>
      <c r="C159" s="240"/>
      <c r="D159" s="240"/>
      <c r="E159" s="240"/>
      <c r="F159" s="240"/>
      <c r="G159" s="240"/>
      <c r="H159" s="240"/>
      <c r="I159" s="240"/>
      <c r="J159" s="240">
        <f>Ore_to_PI!EF106</f>
        <v>5540.6175999999996</v>
      </c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>
      <c r="B160" s="134" t="s">
        <v>458</v>
      </c>
      <c r="C160" s="240"/>
      <c r="D160" s="240"/>
      <c r="E160" s="240"/>
      <c r="F160" s="240"/>
      <c r="G160" s="240"/>
      <c r="H160" s="240"/>
      <c r="I160" s="240"/>
      <c r="J160" s="240"/>
      <c r="K160" s="240">
        <v>0</v>
      </c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</row>
    <row r="161" spans="2:40">
      <c r="C161" s="390" t="s">
        <v>56</v>
      </c>
      <c r="D161" s="390"/>
      <c r="E161" s="390"/>
      <c r="F161" s="390"/>
      <c r="G161" s="390"/>
      <c r="H161" s="390"/>
      <c r="I161" s="390"/>
      <c r="J161" s="390"/>
      <c r="K161" s="390"/>
      <c r="L161" s="390"/>
      <c r="M161" s="390"/>
      <c r="N161" s="390"/>
      <c r="O161" s="390"/>
      <c r="P161" s="390"/>
      <c r="Q161" s="390"/>
      <c r="R161" s="390"/>
      <c r="S161" s="390"/>
      <c r="T161" s="390"/>
      <c r="U161" s="390"/>
      <c r="V161" s="390"/>
      <c r="W161" s="390"/>
      <c r="X161" s="390"/>
      <c r="Y161" s="390"/>
      <c r="Z161" s="390"/>
      <c r="AA161" s="390"/>
      <c r="AB161" s="390"/>
      <c r="AC161" s="390"/>
      <c r="AD161" s="390"/>
      <c r="AE161" s="390"/>
      <c r="AF161" s="390"/>
      <c r="AG161" s="390"/>
      <c r="AH161" s="390"/>
      <c r="AI161" s="390"/>
      <c r="AJ161" s="390"/>
      <c r="AK161" s="390"/>
      <c r="AL161" s="390"/>
      <c r="AM161" s="52"/>
      <c r="AN161" s="52"/>
    </row>
    <row r="162" spans="2:40">
      <c r="C162" s="246">
        <f t="shared" ref="C162:AL162" si="17">SUM(C152:C160)</f>
        <v>-841.69623437072971</v>
      </c>
      <c r="D162" s="246">
        <f t="shared" si="17"/>
        <v>-1202.01</v>
      </c>
      <c r="E162" s="246">
        <f t="shared" si="17"/>
        <v>23054812.906863328</v>
      </c>
      <c r="F162" s="246">
        <f t="shared" si="17"/>
        <v>0</v>
      </c>
      <c r="G162" s="246">
        <f t="shared" si="17"/>
        <v>-74.599999999999994</v>
      </c>
      <c r="H162" s="246">
        <f t="shared" si="17"/>
        <v>7127.6028120000001</v>
      </c>
      <c r="I162" s="246">
        <f t="shared" si="17"/>
        <v>-250.1</v>
      </c>
      <c r="J162" s="246">
        <f t="shared" si="17"/>
        <v>5540.6175999999996</v>
      </c>
      <c r="K162" s="246">
        <f t="shared" si="17"/>
        <v>0</v>
      </c>
      <c r="L162" s="246">
        <f t="shared" si="17"/>
        <v>0</v>
      </c>
      <c r="M162" s="246">
        <f t="shared" si="17"/>
        <v>0</v>
      </c>
      <c r="N162" s="246">
        <f t="shared" si="17"/>
        <v>0</v>
      </c>
      <c r="O162" s="246">
        <f t="shared" si="17"/>
        <v>0</v>
      </c>
      <c r="P162" s="246">
        <f t="shared" si="17"/>
        <v>0</v>
      </c>
      <c r="Q162" s="246">
        <f t="shared" si="17"/>
        <v>0</v>
      </c>
      <c r="R162" s="246">
        <f t="shared" si="17"/>
        <v>0</v>
      </c>
      <c r="S162" s="246">
        <f t="shared" si="17"/>
        <v>0</v>
      </c>
      <c r="T162" s="246">
        <f t="shared" si="17"/>
        <v>0</v>
      </c>
      <c r="U162" s="246">
        <f t="shared" si="17"/>
        <v>0</v>
      </c>
      <c r="V162" s="246">
        <f t="shared" si="17"/>
        <v>0</v>
      </c>
      <c r="W162" s="246">
        <f t="shared" si="17"/>
        <v>0</v>
      </c>
      <c r="X162" s="246">
        <f t="shared" si="17"/>
        <v>0</v>
      </c>
      <c r="Y162" s="246">
        <f t="shared" si="17"/>
        <v>0</v>
      </c>
      <c r="Z162" s="246">
        <f t="shared" si="17"/>
        <v>0</v>
      </c>
      <c r="AA162" s="246">
        <f t="shared" si="17"/>
        <v>0</v>
      </c>
      <c r="AB162" s="246">
        <f t="shared" si="17"/>
        <v>0</v>
      </c>
      <c r="AC162" s="246">
        <f t="shared" si="17"/>
        <v>0</v>
      </c>
      <c r="AD162" s="246">
        <f t="shared" si="17"/>
        <v>0</v>
      </c>
      <c r="AE162" s="246">
        <f t="shared" si="17"/>
        <v>0</v>
      </c>
      <c r="AF162" s="246">
        <f t="shared" si="17"/>
        <v>0</v>
      </c>
      <c r="AG162" s="246">
        <f t="shared" si="17"/>
        <v>0</v>
      </c>
      <c r="AH162" s="246">
        <f t="shared" si="17"/>
        <v>0</v>
      </c>
      <c r="AI162" s="246">
        <f t="shared" si="17"/>
        <v>0</v>
      </c>
      <c r="AJ162" s="246">
        <f t="shared" si="17"/>
        <v>0</v>
      </c>
      <c r="AK162" s="246">
        <f t="shared" si="17"/>
        <v>0</v>
      </c>
      <c r="AL162" s="246">
        <f t="shared" si="17"/>
        <v>0</v>
      </c>
    </row>
    <row r="163" spans="2:40">
      <c r="C163" s="390" t="s">
        <v>367</v>
      </c>
      <c r="D163" s="390"/>
      <c r="E163" s="390"/>
      <c r="F163" s="390"/>
      <c r="G163" s="390"/>
      <c r="H163" s="390"/>
      <c r="I163" s="390"/>
      <c r="J163" s="390"/>
      <c r="K163" s="390"/>
      <c r="L163" s="390"/>
      <c r="M163" s="390"/>
      <c r="N163" s="390"/>
      <c r="O163" s="390"/>
      <c r="P163" s="390"/>
      <c r="Q163" s="390"/>
      <c r="R163" s="390"/>
      <c r="S163" s="390"/>
      <c r="T163" s="390"/>
      <c r="U163" s="390"/>
      <c r="V163" s="390"/>
      <c r="W163" s="390"/>
      <c r="X163" s="390"/>
      <c r="Y163" s="390"/>
      <c r="Z163" s="390"/>
      <c r="AA163" s="390"/>
      <c r="AB163" s="390"/>
      <c r="AC163" s="390"/>
      <c r="AD163" s="390"/>
      <c r="AE163" s="390"/>
      <c r="AF163" s="390"/>
      <c r="AG163" s="390"/>
      <c r="AH163" s="390"/>
      <c r="AI163" s="390"/>
      <c r="AJ163" s="390"/>
      <c r="AK163" s="390"/>
      <c r="AL163" s="390"/>
      <c r="AM163" s="52"/>
      <c r="AN163" s="52"/>
    </row>
    <row r="167" spans="2:40">
      <c r="C167" s="390" t="s">
        <v>512</v>
      </c>
      <c r="D167" s="390"/>
      <c r="E167" s="390"/>
      <c r="F167" s="390"/>
      <c r="G167" s="390"/>
      <c r="H167" s="390"/>
      <c r="I167" s="390"/>
      <c r="J167" s="390"/>
      <c r="K167" s="390"/>
      <c r="L167" s="241"/>
      <c r="M167" s="241"/>
      <c r="N167" s="241"/>
      <c r="O167" s="241"/>
      <c r="P167" s="241"/>
      <c r="Q167" s="241"/>
      <c r="R167" s="241"/>
      <c r="S167" s="241"/>
      <c r="T167" s="241"/>
      <c r="U167" s="52"/>
      <c r="V167" s="52"/>
    </row>
    <row r="170" spans="2:40">
      <c r="B170" s="134" t="s">
        <v>333</v>
      </c>
      <c r="C170" s="246">
        <f t="array" ref="C170:C205">TRANSPOSE(C162:AL162)</f>
        <v>-841.69623437072971</v>
      </c>
      <c r="E170" s="246">
        <f t="array" ref="E170:E205">TRANSPOSE(C139:AL139)</f>
        <v>0</v>
      </c>
      <c r="G170" s="246">
        <f t="shared" ref="G170:G196" si="18">BG83</f>
        <v>-841.69623437072971</v>
      </c>
      <c r="I170" s="246">
        <f t="array" ref="I170:I205">BN83:BN118</f>
        <v>0</v>
      </c>
      <c r="K170" s="250">
        <f>C170+E170-G170-I170</f>
        <v>0</v>
      </c>
    </row>
    <row r="171" spans="2:40">
      <c r="B171" s="134" t="s">
        <v>335</v>
      </c>
      <c r="C171" s="246">
        <v>-1202.01</v>
      </c>
      <c r="E171" s="246">
        <v>0</v>
      </c>
      <c r="G171" s="246">
        <f t="shared" si="18"/>
        <v>-1202.01</v>
      </c>
      <c r="I171" s="246">
        <v>0</v>
      </c>
      <c r="K171" s="250">
        <f t="shared" ref="K171:K205" si="19">C171+E171-G171-I171</f>
        <v>0</v>
      </c>
    </row>
    <row r="172" spans="2:40">
      <c r="B172" s="134" t="s">
        <v>336</v>
      </c>
      <c r="C172" s="246">
        <v>23054812.906863328</v>
      </c>
      <c r="E172" s="246">
        <v>0</v>
      </c>
      <c r="G172" s="246">
        <f t="shared" si="18"/>
        <v>23054812.906863328</v>
      </c>
      <c r="I172" s="246">
        <v>0</v>
      </c>
      <c r="K172" s="250">
        <f t="shared" si="19"/>
        <v>0</v>
      </c>
    </row>
    <row r="173" spans="2:40">
      <c r="B173" s="134" t="s">
        <v>355</v>
      </c>
      <c r="C173" s="246">
        <v>0</v>
      </c>
      <c r="E173" s="246">
        <v>0</v>
      </c>
      <c r="G173" s="246">
        <f t="shared" si="18"/>
        <v>0</v>
      </c>
      <c r="I173" s="246">
        <v>0</v>
      </c>
      <c r="K173" s="250">
        <f t="shared" si="19"/>
        <v>0</v>
      </c>
    </row>
    <row r="174" spans="2:40">
      <c r="B174" s="134" t="s">
        <v>377</v>
      </c>
      <c r="C174" s="246">
        <v>-74.599999999999994</v>
      </c>
      <c r="E174" s="246">
        <v>0</v>
      </c>
      <c r="G174" s="246">
        <f t="shared" si="18"/>
        <v>-223.79999999999998</v>
      </c>
      <c r="I174" s="246">
        <v>0</v>
      </c>
      <c r="K174" s="250" t="s">
        <v>518</v>
      </c>
    </row>
    <row r="175" spans="2:40">
      <c r="B175" s="134" t="s">
        <v>407</v>
      </c>
      <c r="C175" s="246">
        <v>7127.6028120000001</v>
      </c>
      <c r="E175" s="246">
        <v>0</v>
      </c>
      <c r="G175" s="246">
        <f t="shared" si="18"/>
        <v>21382.808435999999</v>
      </c>
      <c r="I175" s="246">
        <v>0</v>
      </c>
      <c r="K175" s="250" t="s">
        <v>518</v>
      </c>
    </row>
    <row r="176" spans="2:40">
      <c r="B176" s="134" t="s">
        <v>408</v>
      </c>
      <c r="C176" s="246">
        <v>-250.1</v>
      </c>
      <c r="E176" s="246">
        <v>0</v>
      </c>
      <c r="G176" s="246">
        <f t="shared" si="18"/>
        <v>-250.1</v>
      </c>
      <c r="I176" s="246">
        <v>0</v>
      </c>
      <c r="K176" s="250">
        <f t="shared" si="19"/>
        <v>0</v>
      </c>
    </row>
    <row r="177" spans="2:18">
      <c r="B177" s="134" t="s">
        <v>411</v>
      </c>
      <c r="C177" s="246">
        <v>5540.6175999999996</v>
      </c>
      <c r="E177" s="246">
        <v>0</v>
      </c>
      <c r="G177" s="246">
        <f t="shared" si="18"/>
        <v>5540.6175999999996</v>
      </c>
      <c r="I177" s="246">
        <v>0</v>
      </c>
      <c r="K177" s="250">
        <f t="shared" si="19"/>
        <v>0</v>
      </c>
    </row>
    <row r="178" spans="2:18">
      <c r="B178" s="134" t="s">
        <v>459</v>
      </c>
      <c r="C178" s="246">
        <v>0</v>
      </c>
      <c r="E178" s="246">
        <v>0</v>
      </c>
      <c r="G178" s="246">
        <f t="shared" si="18"/>
        <v>0</v>
      </c>
      <c r="I178" s="246">
        <v>0</v>
      </c>
      <c r="K178" s="250">
        <f t="shared" si="19"/>
        <v>0</v>
      </c>
    </row>
    <row r="179" spans="2:18" ht="16.05" customHeight="1">
      <c r="B179" s="232" t="s">
        <v>442</v>
      </c>
      <c r="C179" s="246">
        <v>0</v>
      </c>
      <c r="E179" s="246">
        <v>-841.69623437072971</v>
      </c>
      <c r="G179" s="246">
        <f t="shared" si="18"/>
        <v>-841.69623437072971</v>
      </c>
      <c r="I179" s="246">
        <v>0</v>
      </c>
      <c r="K179" s="250">
        <f t="shared" si="19"/>
        <v>0</v>
      </c>
    </row>
    <row r="180" spans="2:18">
      <c r="B180" s="134" t="s">
        <v>409</v>
      </c>
      <c r="C180" s="246">
        <v>0</v>
      </c>
      <c r="E180" s="246">
        <v>-99.008821849873215</v>
      </c>
      <c r="G180" s="246">
        <f t="shared" si="18"/>
        <v>0</v>
      </c>
      <c r="I180" s="246">
        <v>-99.008821849873215</v>
      </c>
      <c r="K180" s="250">
        <f t="shared" si="19"/>
        <v>0</v>
      </c>
    </row>
    <row r="181" spans="2:18" ht="16.05" customHeight="1">
      <c r="B181" s="232" t="s">
        <v>412</v>
      </c>
      <c r="C181" s="246">
        <v>0</v>
      </c>
      <c r="E181" s="246">
        <v>-1202.01</v>
      </c>
      <c r="G181" s="246">
        <f t="shared" si="18"/>
        <v>-1202.01</v>
      </c>
      <c r="I181" s="246">
        <v>0</v>
      </c>
      <c r="K181" s="250">
        <f t="shared" si="19"/>
        <v>0</v>
      </c>
    </row>
    <row r="182" spans="2:18">
      <c r="B182" s="134" t="s">
        <v>437</v>
      </c>
      <c r="C182" s="246">
        <v>0</v>
      </c>
      <c r="E182" s="246">
        <v>-98.84370786785361</v>
      </c>
      <c r="G182" s="246">
        <f t="shared" si="18"/>
        <v>0</v>
      </c>
      <c r="I182" s="246">
        <v>-98.84370786785361</v>
      </c>
      <c r="K182" s="250">
        <f t="shared" si="19"/>
        <v>0</v>
      </c>
    </row>
    <row r="183" spans="2:18">
      <c r="B183" s="233" t="s">
        <v>430</v>
      </c>
      <c r="C183" s="246">
        <v>0</v>
      </c>
      <c r="D183" s="52" t="s">
        <v>371</v>
      </c>
      <c r="E183" s="246">
        <v>23054812.906863328</v>
      </c>
      <c r="F183" s="52" t="s">
        <v>373</v>
      </c>
      <c r="G183" s="246">
        <f t="shared" si="18"/>
        <v>23054812.906863328</v>
      </c>
      <c r="H183" s="52" t="s">
        <v>373</v>
      </c>
      <c r="I183" s="246">
        <v>0</v>
      </c>
      <c r="J183" s="52" t="s">
        <v>374</v>
      </c>
      <c r="K183" s="250">
        <f t="shared" si="19"/>
        <v>0</v>
      </c>
      <c r="P183" s="234"/>
    </row>
    <row r="184" spans="2:18">
      <c r="B184" s="134" t="s">
        <v>416</v>
      </c>
      <c r="C184" s="246">
        <v>0</v>
      </c>
      <c r="E184" s="246">
        <v>-99.008821849873215</v>
      </c>
      <c r="G184" s="246">
        <f t="shared" si="18"/>
        <v>0</v>
      </c>
      <c r="I184" s="246">
        <v>-99.008821849873215</v>
      </c>
      <c r="K184" s="250">
        <f t="shared" si="19"/>
        <v>0</v>
      </c>
    </row>
    <row r="185" spans="2:18" ht="16.05" customHeight="1">
      <c r="B185" s="232" t="s">
        <v>441</v>
      </c>
      <c r="C185" s="246">
        <v>0</v>
      </c>
      <c r="E185" s="246">
        <v>-841.69623437072971</v>
      </c>
      <c r="G185" s="246">
        <f t="shared" si="18"/>
        <v>-841.69623437072971</v>
      </c>
      <c r="I185" s="246">
        <v>0</v>
      </c>
      <c r="K185" s="250">
        <f t="shared" si="19"/>
        <v>0</v>
      </c>
    </row>
    <row r="186" spans="2:18" ht="16.05" customHeight="1">
      <c r="B186" s="232" t="s">
        <v>436</v>
      </c>
      <c r="C186" s="246">
        <v>0</v>
      </c>
      <c r="E186" s="246">
        <v>-1202.01</v>
      </c>
      <c r="G186" s="246">
        <f t="shared" si="18"/>
        <v>-1202.01</v>
      </c>
      <c r="I186" s="246">
        <v>0</v>
      </c>
      <c r="K186" s="250">
        <f t="shared" si="19"/>
        <v>0</v>
      </c>
    </row>
    <row r="187" spans="2:18" ht="16.05" customHeight="1">
      <c r="B187" s="232" t="s">
        <v>433</v>
      </c>
      <c r="C187" s="246">
        <v>0</v>
      </c>
      <c r="E187" s="246">
        <v>23054812.906863328</v>
      </c>
      <c r="G187" s="246">
        <f t="shared" si="18"/>
        <v>23054812.906863328</v>
      </c>
      <c r="I187" s="246">
        <v>0</v>
      </c>
      <c r="K187" s="250">
        <f t="shared" si="19"/>
        <v>0</v>
      </c>
    </row>
    <row r="188" spans="2:18" ht="16.05" customHeight="1">
      <c r="B188" s="232" t="s">
        <v>439</v>
      </c>
      <c r="C188" s="246">
        <v>0</v>
      </c>
      <c r="E188" s="246">
        <v>-834.48831000000007</v>
      </c>
      <c r="G188" s="246">
        <f t="shared" si="18"/>
        <v>-834.48831000000007</v>
      </c>
      <c r="I188" s="246">
        <v>0</v>
      </c>
      <c r="K188" s="250">
        <f t="shared" si="19"/>
        <v>0</v>
      </c>
    </row>
    <row r="189" spans="2:18">
      <c r="B189" s="233" t="s">
        <v>438</v>
      </c>
      <c r="C189" s="246">
        <v>0</v>
      </c>
      <c r="E189" s="246">
        <v>-1454.2261001517452</v>
      </c>
      <c r="G189" s="246">
        <f t="shared" si="18"/>
        <v>0</v>
      </c>
      <c r="I189" s="246">
        <v>-1454.2261001517452</v>
      </c>
      <c r="K189" s="250">
        <f t="shared" si="19"/>
        <v>0</v>
      </c>
    </row>
    <row r="190" spans="2:18">
      <c r="B190" s="233" t="s">
        <v>424</v>
      </c>
      <c r="C190" s="246">
        <v>0</v>
      </c>
      <c r="E190" s="246">
        <v>-1202.01</v>
      </c>
      <c r="G190" s="246">
        <f t="shared" si="18"/>
        <v>-1202.01</v>
      </c>
      <c r="I190" s="246">
        <v>0</v>
      </c>
      <c r="K190" s="250">
        <f t="shared" si="19"/>
        <v>0</v>
      </c>
      <c r="N190" s="52"/>
      <c r="P190" s="52"/>
      <c r="Q190" s="52"/>
      <c r="R190" s="52"/>
    </row>
    <row r="191" spans="2:18">
      <c r="B191" s="233" t="s">
        <v>456</v>
      </c>
      <c r="C191" s="246">
        <v>0</v>
      </c>
      <c r="E191" s="246">
        <v>23054812.906863328</v>
      </c>
      <c r="G191" s="246">
        <f t="shared" si="18"/>
        <v>23054812.906863328</v>
      </c>
      <c r="I191" s="246">
        <v>0</v>
      </c>
      <c r="K191" s="250">
        <f t="shared" si="19"/>
        <v>0</v>
      </c>
      <c r="N191" s="52"/>
      <c r="P191" s="52"/>
      <c r="Q191" s="52"/>
      <c r="R191" s="52"/>
    </row>
    <row r="192" spans="2:18">
      <c r="B192" s="233" t="s">
        <v>425</v>
      </c>
      <c r="C192" s="246">
        <v>0</v>
      </c>
      <c r="E192" s="246">
        <v>-634.9</v>
      </c>
      <c r="G192" s="246">
        <f t="shared" si="18"/>
        <v>-634.9</v>
      </c>
      <c r="I192" s="246">
        <v>0</v>
      </c>
      <c r="K192" s="250">
        <f t="shared" si="19"/>
        <v>0</v>
      </c>
      <c r="N192" s="52"/>
      <c r="P192" s="52"/>
      <c r="Q192" s="52"/>
      <c r="R192" s="52"/>
    </row>
    <row r="193" spans="2:19">
      <c r="B193" s="233" t="s">
        <v>427</v>
      </c>
      <c r="C193" s="246">
        <v>0</v>
      </c>
      <c r="E193" s="246">
        <v>-601.6</v>
      </c>
      <c r="G193" s="246">
        <f t="shared" si="18"/>
        <v>0</v>
      </c>
      <c r="I193" s="246">
        <v>-601.6</v>
      </c>
      <c r="K193" s="250">
        <f t="shared" si="19"/>
        <v>0</v>
      </c>
      <c r="N193" s="52"/>
      <c r="P193" s="52"/>
      <c r="Q193" s="52"/>
      <c r="R193" s="52"/>
    </row>
    <row r="194" spans="2:19">
      <c r="B194" s="233" t="s">
        <v>426</v>
      </c>
      <c r="C194" s="246">
        <v>0</v>
      </c>
      <c r="E194" s="246">
        <v>-125.87204049624027</v>
      </c>
      <c r="G194" s="246">
        <f t="shared" si="18"/>
        <v>0</v>
      </c>
      <c r="I194" s="246">
        <v>-125.87204049624027</v>
      </c>
      <c r="K194" s="250">
        <f t="shared" si="19"/>
        <v>0</v>
      </c>
      <c r="N194" s="52"/>
      <c r="P194" s="52"/>
      <c r="Q194" s="52"/>
      <c r="R194" s="52"/>
    </row>
    <row r="195" spans="2:19">
      <c r="B195" s="233" t="s">
        <v>484</v>
      </c>
      <c r="C195" s="246">
        <v>0</v>
      </c>
      <c r="E195" s="246">
        <v>6546468.5968566798</v>
      </c>
      <c r="G195" s="246">
        <f t="shared" si="18"/>
        <v>6546468.5968566798</v>
      </c>
      <c r="I195" s="246">
        <v>0</v>
      </c>
      <c r="K195" s="250">
        <f t="shared" si="19"/>
        <v>0</v>
      </c>
    </row>
    <row r="196" spans="2:19" ht="16.05" customHeight="1">
      <c r="B196" s="247" t="s">
        <v>422</v>
      </c>
      <c r="C196" s="246">
        <v>0</v>
      </c>
      <c r="E196" s="246">
        <v>-37.006500000000003</v>
      </c>
      <c r="G196" s="246">
        <f t="shared" si="18"/>
        <v>-37.006500000000003</v>
      </c>
      <c r="I196" s="246">
        <v>0</v>
      </c>
      <c r="K196" s="250">
        <f t="shared" si="19"/>
        <v>0</v>
      </c>
    </row>
    <row r="197" spans="2:19" ht="16.05" customHeight="1">
      <c r="B197" s="247" t="s">
        <v>552</v>
      </c>
      <c r="C197" s="246">
        <v>0</v>
      </c>
      <c r="E197" s="246">
        <v>-221.69899000000004</v>
      </c>
      <c r="G197" s="246"/>
      <c r="I197" s="246">
        <v>-221.69899000000004</v>
      </c>
      <c r="K197" s="250">
        <f t="shared" si="19"/>
        <v>0</v>
      </c>
    </row>
    <row r="198" spans="2:19">
      <c r="B198" s="233" t="s">
        <v>421</v>
      </c>
      <c r="C198" s="246">
        <v>0</v>
      </c>
      <c r="E198" s="246">
        <v>-1089.7720000000002</v>
      </c>
      <c r="G198" s="246">
        <f t="shared" ref="G198:G205" si="20">BG111</f>
        <v>0</v>
      </c>
      <c r="I198" s="246">
        <v>-1089.7720000000002</v>
      </c>
      <c r="K198" s="250">
        <f t="shared" si="19"/>
        <v>0</v>
      </c>
      <c r="L198" s="52"/>
    </row>
    <row r="199" spans="2:19">
      <c r="B199" s="134" t="s">
        <v>423</v>
      </c>
      <c r="C199" s="246">
        <v>0</v>
      </c>
      <c r="E199" s="246">
        <v>-89.542108138870873</v>
      </c>
      <c r="G199" s="246">
        <f t="shared" si="20"/>
        <v>0</v>
      </c>
      <c r="I199" s="246">
        <v>-89.542108138870873</v>
      </c>
      <c r="K199" s="250">
        <f t="shared" si="19"/>
        <v>0</v>
      </c>
    </row>
    <row r="200" spans="2:19">
      <c r="B200" s="233" t="s">
        <v>515</v>
      </c>
      <c r="C200" s="246">
        <v>0</v>
      </c>
      <c r="E200" s="246">
        <v>-23.917987170512152</v>
      </c>
      <c r="G200" s="246">
        <f t="shared" si="20"/>
        <v>-23.917987170512152</v>
      </c>
      <c r="I200" s="246">
        <v>0</v>
      </c>
      <c r="K200" s="250">
        <f t="shared" si="19"/>
        <v>0</v>
      </c>
    </row>
    <row r="201" spans="2:19">
      <c r="B201" s="233" t="s">
        <v>517</v>
      </c>
      <c r="C201" s="246">
        <v>0</v>
      </c>
      <c r="E201" s="246">
        <v>-23.917987170512152</v>
      </c>
      <c r="G201" s="246">
        <f t="shared" si="20"/>
        <v>-23.917987170512156</v>
      </c>
      <c r="I201" s="246">
        <v>-23.917987170512156</v>
      </c>
      <c r="K201" s="250" t="s">
        <v>518</v>
      </c>
    </row>
    <row r="202" spans="2:19">
      <c r="B202" s="233" t="s">
        <v>445</v>
      </c>
      <c r="C202" s="246">
        <v>0</v>
      </c>
      <c r="E202" s="246">
        <v>1011848.1879043626</v>
      </c>
      <c r="G202" s="246">
        <f t="shared" si="20"/>
        <v>1011848.1879043626</v>
      </c>
      <c r="I202" s="246">
        <v>0</v>
      </c>
      <c r="K202" s="250">
        <f t="shared" si="19"/>
        <v>0</v>
      </c>
      <c r="P202" s="241"/>
      <c r="Q202" s="241"/>
      <c r="R202" s="241"/>
      <c r="S202" s="241"/>
    </row>
    <row r="203" spans="2:19">
      <c r="B203" s="233" t="s">
        <v>446</v>
      </c>
      <c r="C203" s="246">
        <v>0</v>
      </c>
      <c r="E203" s="246">
        <v>0</v>
      </c>
      <c r="G203" s="246">
        <f t="shared" si="20"/>
        <v>0</v>
      </c>
      <c r="I203" s="246">
        <v>0</v>
      </c>
      <c r="K203" s="250">
        <f t="shared" si="19"/>
        <v>0</v>
      </c>
    </row>
    <row r="204" spans="2:19">
      <c r="B204" s="233" t="s">
        <v>447</v>
      </c>
      <c r="C204" s="246">
        <v>0</v>
      </c>
      <c r="E204" s="246">
        <v>-126.30390709179704</v>
      </c>
      <c r="G204" s="246">
        <f t="shared" si="20"/>
        <v>0</v>
      </c>
      <c r="I204" s="246">
        <v>-126.30390709179704</v>
      </c>
      <c r="K204" s="250">
        <f t="shared" si="19"/>
        <v>0</v>
      </c>
    </row>
    <row r="205" spans="2:19">
      <c r="B205" s="233" t="s">
        <v>457</v>
      </c>
      <c r="C205" s="246">
        <v>0</v>
      </c>
      <c r="E205" s="246">
        <v>-89.61</v>
      </c>
      <c r="G205" s="246">
        <f t="shared" si="20"/>
        <v>0</v>
      </c>
      <c r="I205" s="246">
        <v>-89.61</v>
      </c>
      <c r="K205" s="250">
        <f t="shared" si="19"/>
        <v>0</v>
      </c>
    </row>
    <row r="206" spans="2:19" ht="16.95" customHeight="1">
      <c r="B206" s="233"/>
      <c r="C206" s="14" t="s">
        <v>370</v>
      </c>
      <c r="E206" s="14" t="s">
        <v>372</v>
      </c>
      <c r="G206" s="52" t="s">
        <v>369</v>
      </c>
      <c r="I206" s="52" t="s">
        <v>38</v>
      </c>
      <c r="K206" s="52">
        <f>SUM(K170:K205)</f>
        <v>0</v>
      </c>
    </row>
    <row r="207" spans="2:19">
      <c r="B207" s="233"/>
      <c r="G207" s="52"/>
      <c r="I207" s="52"/>
    </row>
    <row r="208" spans="2:19">
      <c r="B208" s="233"/>
    </row>
    <row r="209" spans="2:15">
      <c r="D209" s="241"/>
      <c r="E209" s="241"/>
      <c r="L209" s="241"/>
      <c r="M209" s="241"/>
    </row>
    <row r="212" spans="2:15">
      <c r="D212" s="241"/>
      <c r="E212" s="241"/>
    </row>
    <row r="213" spans="2:15">
      <c r="B213" s="134" t="s">
        <v>325</v>
      </c>
      <c r="C213" s="251">
        <v>0</v>
      </c>
      <c r="N213" s="241"/>
      <c r="O213" s="241"/>
    </row>
    <row r="214" spans="2:15">
      <c r="B214" s="134" t="s">
        <v>326</v>
      </c>
      <c r="C214" s="251">
        <v>0</v>
      </c>
    </row>
    <row r="215" spans="2:15">
      <c r="B215" s="134" t="s">
        <v>327</v>
      </c>
      <c r="C215" s="251">
        <f>Ore_to_PI!AA195</f>
        <v>80616.370239891301</v>
      </c>
    </row>
    <row r="216" spans="2:15">
      <c r="B216" s="134" t="s">
        <v>455</v>
      </c>
      <c r="C216" s="251">
        <f>Ore_to_PI!AS28</f>
        <v>609792.2517593482</v>
      </c>
      <c r="F216" s="241"/>
      <c r="G216" s="241"/>
      <c r="I216" s="241"/>
      <c r="J216" s="241"/>
      <c r="K216" s="241"/>
    </row>
    <row r="217" spans="2:15">
      <c r="B217" s="134" t="s">
        <v>435</v>
      </c>
      <c r="C217" s="251">
        <f>Ore_to_PI!AS113</f>
        <v>2824.8856477449194</v>
      </c>
    </row>
    <row r="218" spans="2:15">
      <c r="B218" s="134" t="s">
        <v>434</v>
      </c>
      <c r="C218" s="251">
        <f>Ore_to_PI!AS190</f>
        <v>282.1287710315147</v>
      </c>
    </row>
    <row r="219" spans="2:15">
      <c r="B219" s="134" t="s">
        <v>351</v>
      </c>
      <c r="C219" s="251">
        <f>Ore_to_PI!BL35</f>
        <v>12479.249680000003</v>
      </c>
    </row>
    <row r="220" spans="2:15">
      <c r="B220" s="134" t="s">
        <v>348</v>
      </c>
      <c r="C220" s="251">
        <f>Ore_to_PI!BK116</f>
        <v>34.678095164114971</v>
      </c>
    </row>
    <row r="221" spans="2:15">
      <c r="B221" s="134" t="s">
        <v>362</v>
      </c>
      <c r="C221" s="251">
        <f>Ore_to_PI!BK195</f>
        <v>50.358084153937838</v>
      </c>
    </row>
    <row r="222" spans="2:15">
      <c r="B222" s="134" t="s">
        <v>349</v>
      </c>
      <c r="C222" s="251">
        <v>0</v>
      </c>
    </row>
    <row r="223" spans="2:15">
      <c r="B223" s="134" t="s">
        <v>344</v>
      </c>
      <c r="C223" s="251">
        <v>0</v>
      </c>
    </row>
    <row r="224" spans="2:15">
      <c r="B224" s="134" t="s">
        <v>514</v>
      </c>
      <c r="C224" s="251">
        <f>Ore_to_PI!DB229</f>
        <v>33191.859393697465</v>
      </c>
    </row>
    <row r="225" spans="2:11">
      <c r="B225" s="134" t="s">
        <v>516</v>
      </c>
      <c r="C225" s="251">
        <v>0</v>
      </c>
    </row>
    <row r="226" spans="2:11">
      <c r="B226" s="134" t="s">
        <v>76</v>
      </c>
      <c r="C226" s="251">
        <v>0</v>
      </c>
    </row>
    <row r="227" spans="2:11">
      <c r="B227" s="134" t="s">
        <v>337</v>
      </c>
      <c r="C227" s="253">
        <f>Ore_to_PI!ES117</f>
        <v>318930.1042317453</v>
      </c>
    </row>
    <row r="228" spans="2:11">
      <c r="B228" s="233"/>
      <c r="C228" s="252" t="s">
        <v>196</v>
      </c>
    </row>
    <row r="233" spans="2:11">
      <c r="H233" s="52"/>
      <c r="I233" s="52"/>
      <c r="J233" s="52"/>
      <c r="K233" s="52"/>
    </row>
  </sheetData>
  <mergeCells count="12">
    <mergeCell ref="AR38:BF38"/>
    <mergeCell ref="BL38:BZ38"/>
    <mergeCell ref="AR78:BF78"/>
    <mergeCell ref="AR119:BF119"/>
    <mergeCell ref="BL119:BM119"/>
    <mergeCell ref="C163:AL163"/>
    <mergeCell ref="C167:K167"/>
    <mergeCell ref="C121:D121"/>
    <mergeCell ref="AR121:BF121"/>
    <mergeCell ref="C138:AL138"/>
    <mergeCell ref="C140:AL140"/>
    <mergeCell ref="C161:AL161"/>
  </mergeCells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E17:BP138"/>
  <sheetViews>
    <sheetView topLeftCell="B83" workbookViewId="0">
      <selection activeCell="F95" sqref="F95:AO95"/>
    </sheetView>
  </sheetViews>
  <sheetFormatPr defaultColWidth="11.5546875" defaultRowHeight="14.4"/>
  <sheetData>
    <row r="17" spans="5:68" ht="112.05" customHeight="1">
      <c r="AT17" s="234" t="s">
        <v>325</v>
      </c>
      <c r="AU17" s="234" t="s">
        <v>326</v>
      </c>
      <c r="AV17" s="234" t="s">
        <v>327</v>
      </c>
      <c r="AW17" s="234" t="s">
        <v>455</v>
      </c>
      <c r="AX17" s="234" t="s">
        <v>435</v>
      </c>
      <c r="AY17" s="234" t="s">
        <v>434</v>
      </c>
      <c r="AZ17" s="234" t="s">
        <v>351</v>
      </c>
      <c r="BA17" s="234" t="s">
        <v>348</v>
      </c>
      <c r="BB17" s="234" t="s">
        <v>362</v>
      </c>
      <c r="BC17" s="234" t="s">
        <v>349</v>
      </c>
      <c r="BD17" s="234" t="s">
        <v>344</v>
      </c>
      <c r="BE17" s="234" t="s">
        <v>514</v>
      </c>
      <c r="BF17" s="234" t="s">
        <v>516</v>
      </c>
      <c r="BG17" s="234" t="s">
        <v>76</v>
      </c>
      <c r="BH17" s="234" t="s">
        <v>337</v>
      </c>
    </row>
    <row r="18" spans="5:68"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34"/>
      <c r="AK18" s="14"/>
      <c r="AL18" s="14"/>
      <c r="AM18" s="14"/>
      <c r="AN18" s="14"/>
      <c r="AO18" s="14"/>
      <c r="AP18" s="14"/>
      <c r="AQ18" s="14"/>
      <c r="AR18" s="14"/>
      <c r="AS18" s="134" t="s">
        <v>333</v>
      </c>
      <c r="AT18" s="254">
        <v>0.47896953999999997</v>
      </c>
      <c r="AU18" s="254"/>
      <c r="AV18" s="254"/>
      <c r="AW18" s="254"/>
      <c r="AX18" s="254"/>
      <c r="AY18" s="254"/>
      <c r="AZ18" s="254"/>
      <c r="BA18" s="254"/>
      <c r="BB18" s="254"/>
      <c r="BC18" s="254"/>
      <c r="BD18" s="254"/>
      <c r="BE18" s="254"/>
      <c r="BF18" s="254"/>
      <c r="BG18" s="254"/>
      <c r="BH18" s="255"/>
      <c r="BI18" s="253">
        <f>SUM(AT18:BH18)</f>
        <v>0.47896953999999997</v>
      </c>
      <c r="BJ18" s="14"/>
      <c r="BK18" s="14"/>
      <c r="BL18" s="134"/>
      <c r="BM18" s="134" t="s">
        <v>333</v>
      </c>
      <c r="BN18" s="256"/>
      <c r="BO18" s="256"/>
      <c r="BP18" s="253">
        <f>SUM(BN18:BO18)</f>
        <v>0</v>
      </c>
    </row>
    <row r="19" spans="5:68"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34"/>
      <c r="AK19" s="14"/>
      <c r="AL19" s="14"/>
      <c r="AM19" s="14"/>
      <c r="AN19" s="14"/>
      <c r="AO19" s="14"/>
      <c r="AP19" s="14"/>
      <c r="AQ19" s="14"/>
      <c r="AR19" s="14"/>
      <c r="AS19" s="134" t="s">
        <v>335</v>
      </c>
      <c r="AT19" s="254"/>
      <c r="AU19" s="254">
        <v>0.18440139999999999</v>
      </c>
      <c r="AV19" s="254"/>
      <c r="AW19" s="254"/>
      <c r="AX19" s="254"/>
      <c r="AY19" s="254"/>
      <c r="AZ19" s="254"/>
      <c r="BA19" s="254"/>
      <c r="BB19" s="254"/>
      <c r="BC19" s="254"/>
      <c r="BD19" s="254"/>
      <c r="BE19" s="254"/>
      <c r="BF19" s="254"/>
      <c r="BG19" s="254"/>
      <c r="BH19" s="255"/>
      <c r="BI19" s="253">
        <f t="shared" ref="BI19:BI53" si="0">SUM(AT19:BH19)</f>
        <v>0.18440139999999999</v>
      </c>
      <c r="BJ19" s="14"/>
      <c r="BK19" s="14"/>
      <c r="BL19" s="134"/>
      <c r="BM19" s="134" t="s">
        <v>335</v>
      </c>
      <c r="BN19" s="256"/>
      <c r="BO19" s="256"/>
      <c r="BP19" s="253">
        <f t="shared" ref="BP19:BP53" si="1">SUM(BN19:BO19)</f>
        <v>0</v>
      </c>
    </row>
    <row r="20" spans="5:68"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34"/>
      <c r="AK20" s="14"/>
      <c r="AL20" s="14"/>
      <c r="AM20" s="14"/>
      <c r="AN20" s="14"/>
      <c r="AO20" s="14"/>
      <c r="AP20" s="14"/>
      <c r="AQ20" s="14"/>
      <c r="AR20" s="14"/>
      <c r="AS20" s="134" t="s">
        <v>336</v>
      </c>
      <c r="AT20" s="254"/>
      <c r="AU20" s="254"/>
      <c r="AV20" s="254">
        <f>Ore_to_PI!AG218</f>
        <v>754.33705407660659</v>
      </c>
      <c r="AW20" s="254"/>
      <c r="AX20" s="254"/>
      <c r="AY20" s="254"/>
      <c r="AZ20" s="254"/>
      <c r="BA20" s="254"/>
      <c r="BB20" s="254"/>
      <c r="BC20" s="254"/>
      <c r="BD20" s="254"/>
      <c r="BE20" s="254"/>
      <c r="BF20" s="254"/>
      <c r="BG20" s="254"/>
      <c r="BH20" s="255"/>
      <c r="BI20" s="253">
        <f t="shared" si="0"/>
        <v>754.33705407660659</v>
      </c>
      <c r="BJ20" s="14"/>
      <c r="BK20" s="14"/>
      <c r="BL20" s="134"/>
      <c r="BM20" s="134" t="s">
        <v>336</v>
      </c>
      <c r="BN20" s="256"/>
      <c r="BO20" s="256"/>
      <c r="BP20" s="253">
        <f t="shared" si="1"/>
        <v>0</v>
      </c>
    </row>
    <row r="21" spans="5:68"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34"/>
      <c r="AK21" s="14"/>
      <c r="AL21" s="14"/>
      <c r="AM21" s="14"/>
      <c r="AN21" s="14"/>
      <c r="AO21" s="14"/>
      <c r="AP21" s="14"/>
      <c r="AQ21" s="14"/>
      <c r="AR21" s="14"/>
      <c r="AS21" s="134" t="s">
        <v>355</v>
      </c>
      <c r="AT21" s="254">
        <v>6.0012280000000001E-2</v>
      </c>
      <c r="AU21" s="254">
        <v>6.0012280000000001E-2</v>
      </c>
      <c r="AV21" s="254">
        <v>6.0012280000000001E-2</v>
      </c>
      <c r="AW21" s="254"/>
      <c r="AX21" s="254"/>
      <c r="AY21" s="254"/>
      <c r="AZ21" s="254"/>
      <c r="BA21" s="254"/>
      <c r="BB21" s="254"/>
      <c r="BC21" s="254">
        <v>6.0012280000000001E-2</v>
      </c>
      <c r="BD21" s="254">
        <f>Ore_to_PI!BS238</f>
        <v>6.0012280000000001E-2</v>
      </c>
      <c r="BE21" s="254"/>
      <c r="BF21" s="254"/>
      <c r="BG21" s="254"/>
      <c r="BH21" s="254">
        <v>6.0012280000000001E-2</v>
      </c>
      <c r="BI21" s="253">
        <f t="shared" si="0"/>
        <v>0.36007368000000006</v>
      </c>
      <c r="BJ21" s="14"/>
      <c r="BK21" s="14"/>
      <c r="BL21" s="134"/>
      <c r="BM21" s="134" t="s">
        <v>355</v>
      </c>
      <c r="BN21" s="256"/>
      <c r="BO21" s="256"/>
      <c r="BP21" s="253">
        <f t="shared" si="1"/>
        <v>0</v>
      </c>
    </row>
    <row r="22" spans="5:68"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34"/>
      <c r="AK22" s="14"/>
      <c r="AL22" s="14"/>
      <c r="AM22" s="14"/>
      <c r="AN22" s="14"/>
      <c r="AO22" s="14"/>
      <c r="AP22" s="14"/>
      <c r="AQ22" s="14"/>
      <c r="AR22" s="14"/>
      <c r="AS22" s="134" t="s">
        <v>377</v>
      </c>
      <c r="AT22" s="254"/>
      <c r="AU22" s="254"/>
      <c r="AV22" s="254"/>
      <c r="AW22" s="254"/>
      <c r="AX22" s="254"/>
      <c r="AY22" s="254"/>
      <c r="AZ22" s="254"/>
      <c r="BA22" s="254"/>
      <c r="BB22" s="254"/>
      <c r="BC22" s="254">
        <v>1.604276E-2</v>
      </c>
      <c r="BD22" s="254">
        <v>1.604276E-2</v>
      </c>
      <c r="BE22" s="254"/>
      <c r="BF22" s="254"/>
      <c r="BG22" s="254"/>
      <c r="BH22" s="254">
        <v>1.604276E-2</v>
      </c>
      <c r="BI22" s="253">
        <f t="shared" si="0"/>
        <v>4.8128279999999996E-2</v>
      </c>
      <c r="BJ22" s="14"/>
      <c r="BK22" s="14"/>
      <c r="BL22" s="134"/>
      <c r="BM22" s="134" t="s">
        <v>377</v>
      </c>
      <c r="BN22" s="256"/>
      <c r="BO22" s="256"/>
      <c r="BP22" s="253">
        <f t="shared" si="1"/>
        <v>0</v>
      </c>
    </row>
    <row r="23" spans="5:68"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34"/>
      <c r="AK23" s="14"/>
      <c r="AL23" s="14"/>
      <c r="AM23" s="14"/>
      <c r="AN23" s="14"/>
      <c r="AO23" s="14"/>
      <c r="AP23" s="14"/>
      <c r="AQ23" s="14"/>
      <c r="AR23" s="14"/>
      <c r="AS23" s="134" t="s">
        <v>466</v>
      </c>
      <c r="AT23" s="254">
        <v>0.16731462</v>
      </c>
      <c r="AU23" s="254">
        <v>0.16731462</v>
      </c>
      <c r="AV23" s="254">
        <v>0.16731462</v>
      </c>
      <c r="AW23" s="254"/>
      <c r="AX23" s="254"/>
      <c r="AY23" s="254"/>
      <c r="AZ23" s="254"/>
      <c r="BA23" s="254"/>
      <c r="BB23" s="254"/>
      <c r="BC23" s="254"/>
      <c r="BD23" s="254"/>
      <c r="BE23" s="254"/>
      <c r="BF23" s="254"/>
      <c r="BG23" s="254"/>
      <c r="BH23" s="255"/>
      <c r="BI23" s="253">
        <f t="shared" si="0"/>
        <v>0.50194386000000002</v>
      </c>
      <c r="BJ23" s="14"/>
      <c r="BK23" s="14"/>
      <c r="BL23" s="134"/>
      <c r="BM23" s="134" t="s">
        <v>466</v>
      </c>
      <c r="BN23" s="256"/>
      <c r="BO23" s="256"/>
      <c r="BP23" s="253">
        <f t="shared" si="1"/>
        <v>0</v>
      </c>
    </row>
    <row r="24" spans="5:68"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34"/>
      <c r="AK24" s="14"/>
      <c r="AL24" s="14"/>
      <c r="AM24" s="14"/>
      <c r="AN24" s="14"/>
      <c r="AO24" s="14"/>
      <c r="AP24" s="14"/>
      <c r="AQ24" s="14"/>
      <c r="AR24" s="14"/>
      <c r="AS24" s="134" t="s">
        <v>467</v>
      </c>
      <c r="AT24" s="254"/>
      <c r="AU24" s="254">
        <v>0.11423092</v>
      </c>
      <c r="AV24" s="254"/>
      <c r="AW24" s="254"/>
      <c r="AX24" s="254"/>
      <c r="AY24" s="254"/>
      <c r="AZ24" s="254"/>
      <c r="BA24" s="254"/>
      <c r="BB24" s="254"/>
      <c r="BC24" s="254"/>
      <c r="BD24" s="254"/>
      <c r="BE24" s="254"/>
      <c r="BF24" s="254"/>
      <c r="BG24" s="254"/>
      <c r="BH24" s="255"/>
      <c r="BI24" s="253">
        <f t="shared" si="0"/>
        <v>0.11423092</v>
      </c>
      <c r="BJ24" s="14"/>
      <c r="BK24" s="14"/>
      <c r="BL24" s="134"/>
      <c r="BM24" s="134" t="s">
        <v>467</v>
      </c>
      <c r="BN24" s="256"/>
      <c r="BO24" s="256"/>
      <c r="BP24" s="253">
        <f t="shared" si="1"/>
        <v>0</v>
      </c>
    </row>
    <row r="25" spans="5:68"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34"/>
      <c r="AK25" s="14"/>
      <c r="AL25" s="14"/>
      <c r="AM25" s="14"/>
      <c r="AN25" s="14"/>
      <c r="AO25" s="14"/>
      <c r="AP25" s="14"/>
      <c r="AQ25" s="14"/>
      <c r="AR25" s="14"/>
      <c r="AS25" s="134" t="s">
        <v>411</v>
      </c>
      <c r="AT25" s="254"/>
      <c r="AU25" s="254"/>
      <c r="AV25" s="254"/>
      <c r="AW25" s="254"/>
      <c r="AX25" s="254"/>
      <c r="AY25" s="254"/>
      <c r="AZ25" s="254"/>
      <c r="BA25" s="254"/>
      <c r="BB25" s="254"/>
      <c r="BC25" s="254"/>
      <c r="BD25" s="254"/>
      <c r="BE25" s="254"/>
      <c r="BF25" s="254"/>
      <c r="BG25" s="254"/>
      <c r="BH25" s="255">
        <v>0.1402688</v>
      </c>
      <c r="BI25" s="253">
        <f t="shared" si="0"/>
        <v>0.1402688</v>
      </c>
      <c r="BJ25" s="14"/>
      <c r="BK25" s="14"/>
      <c r="BL25" s="134"/>
      <c r="BM25" s="134" t="s">
        <v>411</v>
      </c>
      <c r="BN25" s="256"/>
      <c r="BO25" s="256"/>
      <c r="BP25" s="253">
        <f t="shared" si="1"/>
        <v>0</v>
      </c>
    </row>
    <row r="26" spans="5:68"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34"/>
      <c r="AK26" s="14"/>
      <c r="AL26" s="14"/>
      <c r="AM26" s="14"/>
      <c r="AN26" s="14"/>
      <c r="AO26" s="14"/>
      <c r="AP26" s="14"/>
      <c r="AQ26" s="14"/>
      <c r="AR26" s="14"/>
      <c r="AS26" s="134" t="s">
        <v>459</v>
      </c>
      <c r="AT26" s="254"/>
      <c r="AU26" s="254"/>
      <c r="AV26" s="254">
        <v>0</v>
      </c>
      <c r="AW26" s="254">
        <v>0</v>
      </c>
      <c r="AX26" s="254">
        <v>0</v>
      </c>
      <c r="AY26" s="254">
        <v>0</v>
      </c>
      <c r="AZ26" s="254">
        <v>0</v>
      </c>
      <c r="BA26" s="254">
        <v>0</v>
      </c>
      <c r="BB26" s="254">
        <v>0</v>
      </c>
      <c r="BC26" s="254"/>
      <c r="BD26" s="254"/>
      <c r="BE26" s="254">
        <v>0</v>
      </c>
      <c r="BF26" s="254"/>
      <c r="BG26" s="254"/>
      <c r="BH26" s="255">
        <v>0</v>
      </c>
      <c r="BI26" s="253">
        <f t="shared" si="0"/>
        <v>0</v>
      </c>
      <c r="BJ26" s="14"/>
      <c r="BK26" s="14"/>
      <c r="BL26" s="134"/>
      <c r="BM26" s="134" t="s">
        <v>459</v>
      </c>
      <c r="BN26" s="256"/>
      <c r="BO26" s="256"/>
      <c r="BP26" s="253">
        <f t="shared" si="1"/>
        <v>0</v>
      </c>
    </row>
    <row r="27" spans="5:68" ht="16.05" customHeight="1"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242"/>
      <c r="AK27" s="14"/>
      <c r="AL27" s="14"/>
      <c r="AM27" s="14"/>
      <c r="AN27" s="14"/>
      <c r="AO27" s="14"/>
      <c r="AP27" s="14"/>
      <c r="AQ27" s="14"/>
      <c r="AR27" s="14"/>
      <c r="AS27" s="232" t="s">
        <v>442</v>
      </c>
      <c r="AT27" s="254"/>
      <c r="AU27" s="254"/>
      <c r="AV27" s="254"/>
      <c r="AW27" s="254">
        <v>0.47896953999999997</v>
      </c>
      <c r="AX27" s="254"/>
      <c r="AY27" s="254"/>
      <c r="AZ27" s="254"/>
      <c r="BA27" s="254"/>
      <c r="BB27" s="254"/>
      <c r="BC27" s="254"/>
      <c r="BD27" s="254"/>
      <c r="BE27" s="254"/>
      <c r="BF27" s="254"/>
      <c r="BG27" s="254"/>
      <c r="BH27" s="255"/>
      <c r="BI27" s="253">
        <f t="shared" si="0"/>
        <v>0.47896953999999997</v>
      </c>
      <c r="BJ27" s="14"/>
      <c r="BK27" s="14"/>
      <c r="BL27" s="232"/>
      <c r="BM27" s="134" t="s">
        <v>442</v>
      </c>
      <c r="BN27" s="256"/>
      <c r="BO27" s="256"/>
      <c r="BP27" s="253">
        <f t="shared" si="1"/>
        <v>0</v>
      </c>
    </row>
    <row r="28" spans="5:68" ht="16.05" customHeight="1"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232"/>
      <c r="AK28" s="14"/>
      <c r="AL28" s="14"/>
      <c r="AM28" s="14"/>
      <c r="AN28" s="14"/>
      <c r="AO28" s="14"/>
      <c r="AP28" s="14"/>
      <c r="AQ28" s="14"/>
      <c r="AR28" s="14"/>
      <c r="AS28" s="134" t="s">
        <v>409</v>
      </c>
      <c r="AT28" s="254"/>
      <c r="AU28" s="254"/>
      <c r="AV28" s="254"/>
      <c r="AW28" s="254"/>
      <c r="AX28" s="254"/>
      <c r="AY28" s="254"/>
      <c r="AZ28" s="254"/>
      <c r="BA28" s="254"/>
      <c r="BB28" s="254"/>
      <c r="BC28" s="254"/>
      <c r="BD28" s="254"/>
      <c r="BE28" s="254"/>
      <c r="BF28" s="254"/>
      <c r="BG28" s="254"/>
      <c r="BH28" s="255"/>
      <c r="BI28" s="253">
        <f t="shared" si="0"/>
        <v>0</v>
      </c>
      <c r="BJ28" s="14"/>
      <c r="BK28" s="14"/>
      <c r="BL28" s="134"/>
      <c r="BM28" s="134" t="s">
        <v>409</v>
      </c>
      <c r="BN28" s="256"/>
      <c r="BO28" s="256">
        <v>9.0038560000000004E-2</v>
      </c>
      <c r="BP28" s="253">
        <f t="shared" si="1"/>
        <v>9.0038560000000004E-2</v>
      </c>
    </row>
    <row r="29" spans="5:68" ht="16.05" customHeight="1"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233"/>
      <c r="AK29" s="14"/>
      <c r="AL29" s="14"/>
      <c r="AM29" s="14"/>
      <c r="AN29" s="14"/>
      <c r="AO29" s="14"/>
      <c r="AP29" s="14"/>
      <c r="AQ29" s="14"/>
      <c r="AR29" s="14"/>
      <c r="AS29" s="232" t="s">
        <v>412</v>
      </c>
      <c r="AT29" s="254"/>
      <c r="AU29" s="254"/>
      <c r="AV29" s="254"/>
      <c r="AW29" s="254"/>
      <c r="AX29" s="254">
        <v>0.18440139999999999</v>
      </c>
      <c r="AY29" s="254"/>
      <c r="AZ29" s="254"/>
      <c r="BA29" s="254"/>
      <c r="BB29" s="254"/>
      <c r="BC29" s="254"/>
      <c r="BD29" s="254"/>
      <c r="BE29" s="254"/>
      <c r="BF29" s="254"/>
      <c r="BG29" s="254"/>
      <c r="BH29" s="255"/>
      <c r="BI29" s="253">
        <f t="shared" si="0"/>
        <v>0.18440139999999999</v>
      </c>
      <c r="BJ29" s="14"/>
      <c r="BK29" s="14"/>
      <c r="BL29" s="232"/>
      <c r="BM29" s="134" t="s">
        <v>412</v>
      </c>
      <c r="BN29" s="257"/>
      <c r="BO29" s="256"/>
      <c r="BP29" s="253">
        <f t="shared" si="1"/>
        <v>0</v>
      </c>
    </row>
    <row r="30" spans="5:68"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233"/>
      <c r="AK30" s="14"/>
      <c r="AL30" s="14"/>
      <c r="AM30" s="14"/>
      <c r="AN30" s="14"/>
      <c r="AO30" s="14"/>
      <c r="AP30" s="14"/>
      <c r="AQ30" s="14"/>
      <c r="AR30" s="14"/>
      <c r="AS30" s="134" t="s">
        <v>437</v>
      </c>
      <c r="AT30" s="254"/>
      <c r="AU30" s="254"/>
      <c r="AV30" s="254"/>
      <c r="AW30" s="254"/>
      <c r="AX30" s="254"/>
      <c r="AY30" s="254"/>
      <c r="AZ30" s="254"/>
      <c r="BA30" s="254"/>
      <c r="BB30" s="254"/>
      <c r="BC30" s="254"/>
      <c r="BD30" s="254"/>
      <c r="BE30" s="254"/>
      <c r="BF30" s="254"/>
      <c r="BG30" s="258"/>
      <c r="BH30" s="255"/>
      <c r="BI30" s="253">
        <f t="shared" si="0"/>
        <v>0</v>
      </c>
      <c r="BJ30" s="14"/>
      <c r="BK30" s="14"/>
      <c r="BL30" s="134"/>
      <c r="BM30" s="134" t="s">
        <v>437</v>
      </c>
      <c r="BN30" s="256"/>
      <c r="BO30" s="256">
        <v>9.0038560000000004E-2</v>
      </c>
      <c r="BP30" s="253">
        <f t="shared" si="1"/>
        <v>9.0038560000000004E-2</v>
      </c>
    </row>
    <row r="31" spans="5:68"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233"/>
      <c r="AK31" s="14"/>
      <c r="AL31" s="14"/>
      <c r="AM31" s="14"/>
      <c r="AN31" s="14"/>
      <c r="AO31" s="14"/>
      <c r="AP31" s="14"/>
      <c r="AQ31" s="14"/>
      <c r="AR31" s="14"/>
      <c r="AS31" s="233" t="s">
        <v>430</v>
      </c>
      <c r="AT31" s="254"/>
      <c r="AU31" s="254"/>
      <c r="AV31" s="254"/>
      <c r="AW31" s="254"/>
      <c r="AX31" s="254"/>
      <c r="AY31" s="254">
        <v>754.33705407660659</v>
      </c>
      <c r="AZ31" s="254"/>
      <c r="BA31" s="254"/>
      <c r="BB31" s="254"/>
      <c r="BC31" s="254"/>
      <c r="BD31" s="254"/>
      <c r="BE31" s="254"/>
      <c r="BF31" s="254"/>
      <c r="BG31" s="254"/>
      <c r="BH31" s="259"/>
      <c r="BI31" s="253">
        <f t="shared" si="0"/>
        <v>754.33705407660659</v>
      </c>
      <c r="BJ31" s="14"/>
      <c r="BK31" s="14"/>
      <c r="BL31" s="233"/>
      <c r="BM31" s="134" t="s">
        <v>430</v>
      </c>
      <c r="BN31" s="256"/>
      <c r="BO31" s="256"/>
      <c r="BP31" s="253">
        <f t="shared" si="1"/>
        <v>0</v>
      </c>
    </row>
    <row r="32" spans="5:68"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233"/>
      <c r="AK32" s="14"/>
      <c r="AL32" s="14"/>
      <c r="AM32" s="14"/>
      <c r="AN32" s="14"/>
      <c r="AO32" s="14"/>
      <c r="AP32" s="14"/>
      <c r="AQ32" s="14"/>
      <c r="AR32" s="14"/>
      <c r="AS32" s="134" t="s">
        <v>416</v>
      </c>
      <c r="AT32" s="254"/>
      <c r="AU32" s="254"/>
      <c r="AV32" s="254"/>
      <c r="AW32" s="254"/>
      <c r="AX32" s="254"/>
      <c r="AY32" s="254"/>
      <c r="AZ32" s="254"/>
      <c r="BA32" s="254"/>
      <c r="BB32" s="254"/>
      <c r="BC32" s="254"/>
      <c r="BD32" s="254"/>
      <c r="BE32" s="254"/>
      <c r="BF32" s="254"/>
      <c r="BG32" s="254"/>
      <c r="BH32" s="255"/>
      <c r="BI32" s="253">
        <f t="shared" si="0"/>
        <v>0</v>
      </c>
      <c r="BJ32" s="14"/>
      <c r="BK32" s="14"/>
      <c r="BL32" s="134"/>
      <c r="BM32" s="134" t="s">
        <v>416</v>
      </c>
      <c r="BN32" s="256"/>
      <c r="BO32" s="256">
        <v>9.0038560000000004E-2</v>
      </c>
      <c r="BP32" s="253">
        <f t="shared" si="1"/>
        <v>9.0038560000000004E-2</v>
      </c>
    </row>
    <row r="33" spans="5:68" ht="16.05" customHeight="1"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233"/>
      <c r="AK33" s="14"/>
      <c r="AL33" s="14"/>
      <c r="AM33" s="14"/>
      <c r="AN33" s="14"/>
      <c r="AO33" s="14"/>
      <c r="AP33" s="14"/>
      <c r="AQ33" s="14"/>
      <c r="AR33" s="14"/>
      <c r="AS33" s="232" t="s">
        <v>441</v>
      </c>
      <c r="AT33" s="254"/>
      <c r="AU33" s="254"/>
      <c r="AV33" s="254"/>
      <c r="AW33" s="254"/>
      <c r="AX33" s="254"/>
      <c r="AY33" s="254"/>
      <c r="AZ33" s="254">
        <v>0.47896953999999997</v>
      </c>
      <c r="BA33" s="254"/>
      <c r="BB33" s="254"/>
      <c r="BC33" s="254"/>
      <c r="BD33" s="254"/>
      <c r="BE33" s="254"/>
      <c r="BF33" s="254"/>
      <c r="BG33" s="254"/>
      <c r="BH33" s="255"/>
      <c r="BI33" s="253">
        <f t="shared" si="0"/>
        <v>0.47896953999999997</v>
      </c>
      <c r="BJ33" s="14"/>
      <c r="BK33" s="14"/>
      <c r="BL33" s="232"/>
      <c r="BM33" s="134" t="s">
        <v>441</v>
      </c>
      <c r="BN33" s="256"/>
      <c r="BO33" s="256"/>
      <c r="BP33" s="253">
        <f t="shared" si="1"/>
        <v>0</v>
      </c>
    </row>
    <row r="34" spans="5:68" ht="16.05" customHeight="1"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233"/>
      <c r="AK34" s="14"/>
      <c r="AL34" s="14"/>
      <c r="AM34" s="14"/>
      <c r="AN34" s="14"/>
      <c r="AO34" s="14"/>
      <c r="AP34" s="14"/>
      <c r="AQ34" s="14"/>
      <c r="AR34" s="14"/>
      <c r="AS34" s="232" t="s">
        <v>436</v>
      </c>
      <c r="AT34" s="254"/>
      <c r="AU34" s="254"/>
      <c r="AV34" s="254"/>
      <c r="AW34" s="254"/>
      <c r="AX34" s="254"/>
      <c r="AY34" s="254"/>
      <c r="AZ34" s="254"/>
      <c r="BA34" s="254">
        <v>0.18440139999999999</v>
      </c>
      <c r="BB34" s="254"/>
      <c r="BC34" s="254"/>
      <c r="BD34" s="254"/>
      <c r="BE34" s="254"/>
      <c r="BF34" s="254"/>
      <c r="BG34" s="254"/>
      <c r="BH34" s="255"/>
      <c r="BI34" s="253">
        <f t="shared" si="0"/>
        <v>0.18440139999999999</v>
      </c>
      <c r="BJ34" s="14"/>
      <c r="BK34" s="14"/>
      <c r="BL34" s="232"/>
      <c r="BM34" s="134" t="s">
        <v>436</v>
      </c>
      <c r="BN34" s="256"/>
      <c r="BO34" s="256"/>
      <c r="BP34" s="253">
        <f t="shared" si="1"/>
        <v>0</v>
      </c>
    </row>
    <row r="35" spans="5:68" ht="16.05" customHeight="1"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233"/>
      <c r="AK35" s="14"/>
      <c r="AL35" s="14"/>
      <c r="AM35" s="14"/>
      <c r="AN35" s="14"/>
      <c r="AO35" s="14"/>
      <c r="AP35" s="14"/>
      <c r="AQ35" s="14"/>
      <c r="AR35" s="14"/>
      <c r="AS35" s="232" t="s">
        <v>433</v>
      </c>
      <c r="AT35" s="254"/>
      <c r="AU35" s="254"/>
      <c r="AV35" s="254"/>
      <c r="AW35" s="254"/>
      <c r="AX35" s="254"/>
      <c r="AY35" s="254"/>
      <c r="AZ35" s="254"/>
      <c r="BA35" s="254"/>
      <c r="BB35" s="254">
        <v>754.33705407660659</v>
      </c>
      <c r="BC35" s="254"/>
      <c r="BD35" s="254"/>
      <c r="BE35" s="254"/>
      <c r="BF35" s="254"/>
      <c r="BG35" s="254"/>
      <c r="BH35" s="255"/>
      <c r="BI35" s="253">
        <f t="shared" si="0"/>
        <v>754.33705407660659</v>
      </c>
      <c r="BJ35" s="14"/>
      <c r="BK35" s="14"/>
      <c r="BL35" s="232"/>
      <c r="BM35" s="134" t="s">
        <v>433</v>
      </c>
      <c r="BN35" s="256"/>
      <c r="BO35" s="256"/>
      <c r="BP35" s="253">
        <f t="shared" si="1"/>
        <v>0</v>
      </c>
    </row>
    <row r="36" spans="5:68" ht="16.05" customHeight="1"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247"/>
      <c r="AK36" s="14"/>
      <c r="AL36" s="14"/>
      <c r="AM36" s="14"/>
      <c r="AN36" s="14"/>
      <c r="AO36" s="14"/>
      <c r="AP36" s="14"/>
      <c r="AQ36" s="14"/>
      <c r="AR36" s="14"/>
      <c r="AS36" s="232" t="s">
        <v>439</v>
      </c>
      <c r="AT36" s="254"/>
      <c r="AU36" s="254"/>
      <c r="AV36" s="254"/>
      <c r="AW36" s="254"/>
      <c r="AX36" s="254"/>
      <c r="AY36" s="254"/>
      <c r="AZ36" s="254"/>
      <c r="BA36" s="254"/>
      <c r="BB36" s="254"/>
      <c r="BC36" s="254"/>
      <c r="BD36" s="254"/>
      <c r="BE36" s="254"/>
      <c r="BF36" s="254"/>
      <c r="BG36" s="254">
        <v>0.21977250000000001</v>
      </c>
      <c r="BH36" s="255"/>
      <c r="BI36" s="253">
        <f t="shared" si="0"/>
        <v>0.21977250000000001</v>
      </c>
      <c r="BJ36" s="14"/>
      <c r="BK36" s="14"/>
      <c r="BL36" s="232"/>
      <c r="BM36" s="134" t="s">
        <v>439</v>
      </c>
      <c r="BN36" s="256"/>
      <c r="BO36" s="256"/>
      <c r="BP36" s="253">
        <f t="shared" si="1"/>
        <v>0</v>
      </c>
    </row>
    <row r="37" spans="5:68"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233"/>
      <c r="AK37" s="14"/>
      <c r="AL37" s="14"/>
      <c r="AM37" s="14"/>
      <c r="AN37" s="14"/>
      <c r="AO37" s="14"/>
      <c r="AP37" s="14"/>
      <c r="AQ37" s="14"/>
      <c r="AR37" s="14"/>
      <c r="AS37" s="233" t="s">
        <v>438</v>
      </c>
      <c r="AT37" s="254"/>
      <c r="AU37" s="254"/>
      <c r="AV37" s="254"/>
      <c r="AW37" s="254"/>
      <c r="AX37" s="254"/>
      <c r="AY37" s="254"/>
      <c r="AZ37" s="254"/>
      <c r="BA37" s="254"/>
      <c r="BB37" s="254"/>
      <c r="BC37" s="254"/>
      <c r="BD37" s="254"/>
      <c r="BE37" s="254"/>
      <c r="BF37" s="254"/>
      <c r="BG37" s="254"/>
      <c r="BH37" s="259"/>
      <c r="BI37" s="253">
        <f t="shared" si="0"/>
        <v>0</v>
      </c>
      <c r="BJ37" s="252"/>
      <c r="BK37" s="14"/>
      <c r="BL37" s="233"/>
      <c r="BM37" s="134" t="s">
        <v>438</v>
      </c>
      <c r="BN37" s="256"/>
      <c r="BO37" s="256">
        <v>0.25919703999999999</v>
      </c>
      <c r="BP37" s="253">
        <f t="shared" si="1"/>
        <v>0.25919703999999999</v>
      </c>
    </row>
    <row r="38" spans="5:68"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233"/>
      <c r="AK38" s="14"/>
      <c r="AL38" s="14"/>
      <c r="AM38" s="14"/>
      <c r="AN38" s="14"/>
      <c r="AO38" s="14"/>
      <c r="AP38" s="14"/>
      <c r="AQ38" s="14"/>
      <c r="AR38" s="14"/>
      <c r="AS38" s="233" t="s">
        <v>424</v>
      </c>
      <c r="AT38" s="254"/>
      <c r="AU38" s="254"/>
      <c r="AV38" s="254"/>
      <c r="AW38" s="254"/>
      <c r="AX38" s="254"/>
      <c r="AY38" s="254"/>
      <c r="AZ38" s="254"/>
      <c r="BA38" s="254"/>
      <c r="BB38" s="254"/>
      <c r="BC38" s="254">
        <v>0.18440139999999999</v>
      </c>
      <c r="BD38" s="254"/>
      <c r="BE38" s="254"/>
      <c r="BF38" s="254"/>
      <c r="BG38" s="254"/>
      <c r="BH38" s="255"/>
      <c r="BI38" s="253">
        <f t="shared" si="0"/>
        <v>0.18440139999999999</v>
      </c>
      <c r="BJ38" s="14"/>
      <c r="BK38" s="14"/>
      <c r="BL38" s="233"/>
      <c r="BM38" s="134" t="s">
        <v>424</v>
      </c>
      <c r="BN38" s="256"/>
      <c r="BO38" s="256"/>
      <c r="BP38" s="253">
        <f t="shared" si="1"/>
        <v>0</v>
      </c>
    </row>
    <row r="39" spans="5:68"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233"/>
      <c r="AK39" s="14"/>
      <c r="AL39" s="14"/>
      <c r="AM39" s="14"/>
      <c r="AN39" s="14"/>
      <c r="AO39" s="14"/>
      <c r="AP39" s="14"/>
      <c r="AQ39" s="14"/>
      <c r="AR39" s="14"/>
      <c r="AS39" s="233" t="s">
        <v>456</v>
      </c>
      <c r="AT39" s="254"/>
      <c r="AU39" s="254"/>
      <c r="AV39" s="254"/>
      <c r="AW39" s="254"/>
      <c r="AX39" s="254"/>
      <c r="AY39" s="254"/>
      <c r="AZ39" s="254"/>
      <c r="BA39" s="254"/>
      <c r="BB39" s="254"/>
      <c r="BC39" s="254"/>
      <c r="BD39" s="254">
        <f>Ore_to_PI!BS218</f>
        <v>754.33705407660659</v>
      </c>
      <c r="BE39" s="254"/>
      <c r="BF39" s="254"/>
      <c r="BG39" s="254"/>
      <c r="BH39" s="255"/>
      <c r="BI39" s="253">
        <f t="shared" si="0"/>
        <v>754.33705407660659</v>
      </c>
      <c r="BJ39" s="14"/>
      <c r="BK39" s="14"/>
      <c r="BL39" s="233"/>
      <c r="BM39" s="134" t="s">
        <v>456</v>
      </c>
      <c r="BN39" s="256"/>
      <c r="BO39" s="256"/>
      <c r="BP39" s="253">
        <f t="shared" si="1"/>
        <v>0</v>
      </c>
    </row>
    <row r="40" spans="5:68"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233"/>
      <c r="AK40" s="14"/>
      <c r="AL40" s="14"/>
      <c r="AM40" s="14"/>
      <c r="AN40" s="14"/>
      <c r="AO40" s="14"/>
      <c r="AP40" s="14"/>
      <c r="AQ40" s="14"/>
      <c r="AR40" s="14"/>
      <c r="AS40" s="233" t="s">
        <v>425</v>
      </c>
      <c r="AT40" s="254"/>
      <c r="AU40" s="254"/>
      <c r="AV40" s="254"/>
      <c r="AW40" s="254"/>
      <c r="AX40" s="254"/>
      <c r="AY40" s="254"/>
      <c r="AZ40" s="254"/>
      <c r="BA40" s="254"/>
      <c r="BB40" s="254"/>
      <c r="BC40" s="254"/>
      <c r="BD40" s="254"/>
      <c r="BE40" s="254"/>
      <c r="BF40" s="254"/>
      <c r="BG40" s="254">
        <v>5.6077400000000006E-2</v>
      </c>
      <c r="BH40" s="255"/>
      <c r="BI40" s="253">
        <f t="shared" si="0"/>
        <v>5.6077400000000006E-2</v>
      </c>
      <c r="BJ40" s="14"/>
      <c r="BK40" s="14"/>
      <c r="BL40" s="233"/>
      <c r="BM40" s="134" t="s">
        <v>425</v>
      </c>
      <c r="BN40" s="256"/>
      <c r="BO40" s="256"/>
      <c r="BP40" s="253">
        <f t="shared" si="1"/>
        <v>0</v>
      </c>
    </row>
    <row r="41" spans="5:68"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233"/>
      <c r="AK41" s="14"/>
      <c r="AL41" s="14"/>
      <c r="AM41" s="14"/>
      <c r="AN41" s="14"/>
      <c r="AO41" s="14"/>
      <c r="AP41" s="14"/>
      <c r="AQ41" s="14"/>
      <c r="AR41" s="14"/>
      <c r="AS41" s="233" t="s">
        <v>427</v>
      </c>
      <c r="AT41" s="254"/>
      <c r="AU41" s="254"/>
      <c r="AV41" s="254"/>
      <c r="AW41" s="254"/>
      <c r="AX41" s="254"/>
      <c r="AY41" s="254"/>
      <c r="AZ41" s="254"/>
      <c r="BA41" s="254"/>
      <c r="BB41" s="254"/>
      <c r="BC41" s="254"/>
      <c r="BD41" s="254"/>
      <c r="BE41" s="254"/>
      <c r="BF41" s="254"/>
      <c r="BG41" s="254"/>
      <c r="BH41" s="259"/>
      <c r="BI41" s="253">
        <f t="shared" si="0"/>
        <v>0</v>
      </c>
      <c r="BJ41" s="14"/>
      <c r="BK41" s="14"/>
      <c r="BL41" s="233"/>
      <c r="BM41" s="134" t="s">
        <v>427</v>
      </c>
      <c r="BN41" s="256"/>
      <c r="BO41" s="256">
        <v>4.0304400000000004E-2</v>
      </c>
      <c r="BP41" s="253">
        <f t="shared" si="1"/>
        <v>4.0304400000000004E-2</v>
      </c>
    </row>
    <row r="42" spans="5:68"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233"/>
      <c r="AK42" s="14"/>
      <c r="AL42" s="14"/>
      <c r="AM42" s="14"/>
      <c r="AN42" s="14"/>
      <c r="AO42" s="14"/>
      <c r="AP42" s="14"/>
      <c r="AQ42" s="14"/>
      <c r="AR42" s="14"/>
      <c r="AS42" s="233" t="s">
        <v>426</v>
      </c>
      <c r="AT42" s="254"/>
      <c r="AU42" s="254"/>
      <c r="AV42" s="254"/>
      <c r="AW42" s="254"/>
      <c r="AX42" s="254"/>
      <c r="AY42" s="254"/>
      <c r="AZ42" s="254"/>
      <c r="BA42" s="254"/>
      <c r="BB42" s="254"/>
      <c r="BC42" s="254"/>
      <c r="BD42" s="254"/>
      <c r="BE42" s="254"/>
      <c r="BF42" s="254"/>
      <c r="BG42" s="254"/>
      <c r="BH42" s="255"/>
      <c r="BI42" s="253">
        <f t="shared" si="0"/>
        <v>0</v>
      </c>
      <c r="BJ42" s="14"/>
      <c r="BK42" s="14"/>
      <c r="BL42" s="233"/>
      <c r="BM42" s="134" t="s">
        <v>426</v>
      </c>
      <c r="BN42" s="256"/>
      <c r="BO42" s="256">
        <v>9.0038560000000004E-2</v>
      </c>
      <c r="BP42" s="253">
        <f t="shared" si="1"/>
        <v>9.0038560000000004E-2</v>
      </c>
    </row>
    <row r="43" spans="5:68"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233"/>
      <c r="AK43" s="14"/>
      <c r="AL43" s="14"/>
      <c r="AM43" s="14"/>
      <c r="AN43" s="14"/>
      <c r="AO43" s="14"/>
      <c r="AP43" s="14"/>
      <c r="AQ43" s="14"/>
      <c r="AR43" s="14"/>
      <c r="AS43" s="233" t="s">
        <v>484</v>
      </c>
      <c r="AT43" s="254"/>
      <c r="AU43" s="254"/>
      <c r="AV43" s="254"/>
      <c r="AW43" s="254"/>
      <c r="AX43" s="254"/>
      <c r="AY43" s="254"/>
      <c r="AZ43" s="254"/>
      <c r="BA43" s="254"/>
      <c r="BB43" s="254"/>
      <c r="BC43" s="254"/>
      <c r="BD43" s="254"/>
      <c r="BE43" s="254"/>
      <c r="BF43" s="254"/>
      <c r="BG43" s="254">
        <v>217.63525920401193</v>
      </c>
      <c r="BH43" s="255"/>
      <c r="BI43" s="253">
        <f t="shared" si="0"/>
        <v>217.63525920401193</v>
      </c>
      <c r="BJ43" s="14"/>
      <c r="BK43" s="14"/>
      <c r="BL43" s="233"/>
      <c r="BM43" s="134" t="s">
        <v>484</v>
      </c>
      <c r="BN43" s="256"/>
      <c r="BO43" s="256"/>
      <c r="BP43" s="253">
        <f t="shared" si="1"/>
        <v>0</v>
      </c>
    </row>
    <row r="44" spans="5:68" ht="16.05" customHeight="1"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233"/>
      <c r="AK44" s="14"/>
      <c r="AL44" s="14"/>
      <c r="AM44" s="14"/>
      <c r="AN44" s="14"/>
      <c r="AO44" s="14"/>
      <c r="AP44" s="14"/>
      <c r="AQ44" s="14"/>
      <c r="AR44" s="14"/>
      <c r="AS44" s="247" t="s">
        <v>422</v>
      </c>
      <c r="AT44" s="254"/>
      <c r="AU44" s="254"/>
      <c r="AV44" s="254"/>
      <c r="AW44" s="254"/>
      <c r="AX44" s="254"/>
      <c r="AY44" s="254"/>
      <c r="AZ44" s="254"/>
      <c r="BA44" s="254"/>
      <c r="BB44" s="254"/>
      <c r="BC44" s="254"/>
      <c r="BD44" s="254"/>
      <c r="BE44" s="254">
        <v>0.12416072</v>
      </c>
      <c r="BF44" s="254"/>
      <c r="BG44" s="254"/>
      <c r="BH44" s="255"/>
      <c r="BI44" s="253">
        <f t="shared" si="0"/>
        <v>0.12416072</v>
      </c>
      <c r="BJ44" s="14"/>
      <c r="BK44" s="14"/>
      <c r="BL44" s="247"/>
      <c r="BM44" s="134" t="s">
        <v>422</v>
      </c>
      <c r="BN44" s="256"/>
      <c r="BO44" s="256"/>
      <c r="BP44" s="253">
        <f t="shared" si="1"/>
        <v>0</v>
      </c>
    </row>
    <row r="45" spans="5:68"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233"/>
      <c r="AK45" s="14"/>
      <c r="AL45" s="14"/>
      <c r="AM45" s="14"/>
      <c r="AN45" s="14"/>
      <c r="AO45" s="14"/>
      <c r="AP45" s="14"/>
      <c r="AQ45" s="14"/>
      <c r="AR45" s="14"/>
      <c r="AS45" s="233" t="s">
        <v>552</v>
      </c>
      <c r="AT45" s="254"/>
      <c r="AU45" s="254"/>
      <c r="AV45" s="254"/>
      <c r="AW45" s="254"/>
      <c r="AX45" s="254"/>
      <c r="AY45" s="254"/>
      <c r="AZ45" s="254"/>
      <c r="BA45" s="254"/>
      <c r="BB45" s="254"/>
      <c r="BC45" s="254"/>
      <c r="BD45" s="254"/>
      <c r="BE45" s="254"/>
      <c r="BF45" s="254"/>
      <c r="BG45" s="254"/>
      <c r="BH45" s="255"/>
      <c r="BI45" s="253">
        <f t="shared" si="0"/>
        <v>0</v>
      </c>
      <c r="BJ45" s="14"/>
      <c r="BK45" s="14"/>
      <c r="BL45" s="233"/>
      <c r="BM45" s="134" t="s">
        <v>552</v>
      </c>
      <c r="BN45" s="256"/>
      <c r="BO45" s="256">
        <v>1.445899</v>
      </c>
      <c r="BP45" s="253">
        <f t="shared" si="1"/>
        <v>1.445899</v>
      </c>
    </row>
    <row r="46" spans="5:68"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233"/>
      <c r="AK46" s="14"/>
      <c r="AL46" s="14"/>
      <c r="AM46" s="14"/>
      <c r="AN46" s="14"/>
      <c r="AO46" s="14"/>
      <c r="AP46" s="14"/>
      <c r="AQ46" s="14"/>
      <c r="AR46" s="14"/>
      <c r="AS46" s="134" t="s">
        <v>421</v>
      </c>
      <c r="AT46" s="254"/>
      <c r="AU46" s="254"/>
      <c r="AV46" s="254"/>
      <c r="AW46" s="254"/>
      <c r="AX46" s="254"/>
      <c r="AY46" s="254"/>
      <c r="AZ46" s="254"/>
      <c r="BA46" s="254"/>
      <c r="BB46" s="254"/>
      <c r="BC46" s="254"/>
      <c r="BD46" s="254"/>
      <c r="BE46" s="254"/>
      <c r="BF46" s="254"/>
      <c r="BG46" s="254"/>
      <c r="BH46" s="255"/>
      <c r="BI46" s="253">
        <f t="shared" si="0"/>
        <v>0</v>
      </c>
      <c r="BJ46" s="14"/>
      <c r="BK46" s="14"/>
      <c r="BL46" s="134"/>
      <c r="BM46" s="134" t="s">
        <v>421</v>
      </c>
      <c r="BN46" s="256"/>
      <c r="BO46" s="256">
        <f>Ore_to_PI!CN229</f>
        <v>0.57429051399999997</v>
      </c>
      <c r="BP46" s="253">
        <f t="shared" si="1"/>
        <v>0.57429051399999997</v>
      </c>
    </row>
    <row r="47" spans="5:68"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233"/>
      <c r="AK47" s="14"/>
      <c r="AL47" s="14"/>
      <c r="AM47" s="14"/>
      <c r="AN47" s="14"/>
      <c r="AO47" s="14"/>
      <c r="AP47" s="14"/>
      <c r="AQ47" s="14"/>
      <c r="AR47" s="14"/>
      <c r="AS47" s="233" t="s">
        <v>423</v>
      </c>
      <c r="AT47" s="254"/>
      <c r="AU47" s="254"/>
      <c r="AV47" s="254"/>
      <c r="AW47" s="254"/>
      <c r="AX47" s="254"/>
      <c r="AY47" s="254"/>
      <c r="AZ47" s="254"/>
      <c r="BA47" s="254"/>
      <c r="BB47" s="254"/>
      <c r="BC47" s="254"/>
      <c r="BD47" s="254"/>
      <c r="BE47" s="254"/>
      <c r="BF47" s="254"/>
      <c r="BG47" s="254"/>
      <c r="BH47" s="255"/>
      <c r="BI47" s="253">
        <f t="shared" si="0"/>
        <v>0</v>
      </c>
      <c r="BJ47" s="14"/>
      <c r="BK47" s="14"/>
      <c r="BL47" s="233"/>
      <c r="BM47" s="134" t="s">
        <v>423</v>
      </c>
      <c r="BN47" s="256"/>
      <c r="BO47" s="256">
        <v>9.0038560000000004E-2</v>
      </c>
      <c r="BP47" s="253">
        <f t="shared" si="1"/>
        <v>9.0038560000000004E-2</v>
      </c>
    </row>
    <row r="48" spans="5:68"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233"/>
      <c r="AK48" s="14"/>
      <c r="AL48" s="14"/>
      <c r="AM48" s="14"/>
      <c r="AN48" s="14"/>
      <c r="AO48" s="14"/>
      <c r="AP48" s="14"/>
      <c r="AQ48" s="14"/>
      <c r="AR48" s="14"/>
      <c r="AS48" s="233" t="s">
        <v>515</v>
      </c>
      <c r="AT48" s="254"/>
      <c r="AU48" s="254"/>
      <c r="AV48" s="254"/>
      <c r="AW48" s="254"/>
      <c r="AX48" s="254"/>
      <c r="AY48" s="254"/>
      <c r="AZ48" s="254"/>
      <c r="BA48" s="254"/>
      <c r="BB48" s="254"/>
      <c r="BC48" s="254"/>
      <c r="BD48" s="254"/>
      <c r="BE48" s="254"/>
      <c r="BF48" s="254">
        <v>8.4139320000000004E-2</v>
      </c>
      <c r="BG48" s="254"/>
      <c r="BH48" s="259"/>
      <c r="BI48" s="253">
        <f t="shared" si="0"/>
        <v>8.4139320000000004E-2</v>
      </c>
      <c r="BJ48" s="14"/>
      <c r="BK48" s="14"/>
      <c r="BL48" s="233"/>
      <c r="BM48" s="134" t="s">
        <v>515</v>
      </c>
      <c r="BN48" s="256"/>
      <c r="BO48" s="256"/>
      <c r="BP48" s="253">
        <f t="shared" si="1"/>
        <v>0</v>
      </c>
    </row>
    <row r="49" spans="5:68"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233"/>
      <c r="AK49" s="14"/>
      <c r="AL49" s="14"/>
      <c r="AM49" s="14"/>
      <c r="AN49" s="14"/>
      <c r="AO49" s="14"/>
      <c r="AP49" s="14"/>
      <c r="AQ49" s="14"/>
      <c r="AR49" s="14"/>
      <c r="AS49" s="233" t="s">
        <v>517</v>
      </c>
      <c r="AT49" s="254"/>
      <c r="AU49" s="254"/>
      <c r="AV49" s="254"/>
      <c r="AW49" s="254"/>
      <c r="AX49" s="254"/>
      <c r="AY49" s="254"/>
      <c r="AZ49" s="254"/>
      <c r="BA49" s="254"/>
      <c r="BB49" s="254"/>
      <c r="BC49" s="254"/>
      <c r="BD49" s="254"/>
      <c r="BE49" s="254"/>
      <c r="BF49" s="254"/>
      <c r="BG49" s="254"/>
      <c r="BH49" s="254">
        <v>8.4139320000000004E-2</v>
      </c>
      <c r="BI49" s="253">
        <f t="shared" si="0"/>
        <v>8.4139320000000004E-2</v>
      </c>
      <c r="BJ49" s="14"/>
      <c r="BK49" s="14"/>
      <c r="BL49" s="233"/>
      <c r="BM49" s="134" t="s">
        <v>517</v>
      </c>
      <c r="BN49" s="256">
        <v>8.4139320000000004E-2</v>
      </c>
      <c r="BO49" s="256"/>
      <c r="BP49" s="253">
        <f t="shared" si="1"/>
        <v>8.4139320000000004E-2</v>
      </c>
    </row>
    <row r="50" spans="5:68"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233"/>
      <c r="AK50" s="14"/>
      <c r="AL50" s="14"/>
      <c r="AM50" s="14"/>
      <c r="AN50" s="14"/>
      <c r="AO50" s="14"/>
      <c r="AP50" s="14"/>
      <c r="AQ50" s="14"/>
      <c r="AR50" s="14"/>
      <c r="AS50" s="233" t="s">
        <v>445</v>
      </c>
      <c r="AT50" s="254"/>
      <c r="AU50" s="254"/>
      <c r="AV50" s="254"/>
      <c r="AW50" s="254"/>
      <c r="AX50" s="254"/>
      <c r="AY50" s="254"/>
      <c r="AZ50" s="254"/>
      <c r="BA50" s="254"/>
      <c r="BB50" s="254"/>
      <c r="BC50" s="254"/>
      <c r="BD50" s="254"/>
      <c r="BE50" s="254"/>
      <c r="BF50" s="254"/>
      <c r="BG50" s="254"/>
      <c r="BH50" s="258">
        <f>Ore_to_PI!ED134</f>
        <v>217.91110910401193</v>
      </c>
      <c r="BI50" s="253">
        <f t="shared" si="0"/>
        <v>217.91110910401193</v>
      </c>
      <c r="BJ50" s="14"/>
      <c r="BK50" s="14"/>
      <c r="BL50" s="233"/>
      <c r="BM50" s="134" t="s">
        <v>445</v>
      </c>
      <c r="BN50" s="256"/>
      <c r="BO50" s="256"/>
      <c r="BP50" s="253">
        <f t="shared" si="1"/>
        <v>0</v>
      </c>
    </row>
    <row r="51" spans="5:68"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233"/>
      <c r="AK51" s="14"/>
      <c r="AL51" s="14"/>
      <c r="AM51" s="14"/>
      <c r="AN51" s="14"/>
      <c r="AO51" s="14"/>
      <c r="AP51" s="14"/>
      <c r="AQ51" s="14"/>
      <c r="AR51" s="14"/>
      <c r="AS51" s="233" t="s">
        <v>446</v>
      </c>
      <c r="AT51" s="255"/>
      <c r="AU51" s="255"/>
      <c r="AV51" s="255"/>
      <c r="AW51" s="255"/>
      <c r="AX51" s="255"/>
      <c r="AY51" s="255"/>
      <c r="AZ51" s="255"/>
      <c r="BA51" s="255"/>
      <c r="BB51" s="255"/>
      <c r="BC51" s="255"/>
      <c r="BD51" s="255"/>
      <c r="BE51" s="255"/>
      <c r="BF51" s="255"/>
      <c r="BG51" s="255"/>
      <c r="BH51" s="255"/>
      <c r="BI51" s="253">
        <f t="shared" si="0"/>
        <v>0</v>
      </c>
      <c r="BJ51" s="14"/>
      <c r="BK51" s="14"/>
      <c r="BL51" s="233"/>
      <c r="BM51" s="134" t="s">
        <v>446</v>
      </c>
      <c r="BN51" s="256">
        <v>5.5844999999999999E-2</v>
      </c>
      <c r="BO51" s="256"/>
      <c r="BP51" s="253">
        <f t="shared" si="1"/>
        <v>5.5844999999999999E-2</v>
      </c>
    </row>
    <row r="52" spans="5:68"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233"/>
      <c r="AK52" s="14"/>
      <c r="AL52" s="14"/>
      <c r="AM52" s="14"/>
      <c r="AN52" s="14"/>
      <c r="AO52" s="14"/>
      <c r="AP52" s="14"/>
      <c r="AQ52" s="14"/>
      <c r="AR52" s="14"/>
      <c r="AS52" s="233" t="s">
        <v>447</v>
      </c>
      <c r="AT52" s="260"/>
      <c r="AU52" s="260"/>
      <c r="AV52" s="260"/>
      <c r="AW52" s="260"/>
      <c r="AX52" s="260"/>
      <c r="AY52" s="260"/>
      <c r="AZ52" s="260"/>
      <c r="BA52" s="260"/>
      <c r="BB52" s="260"/>
      <c r="BC52" s="260"/>
      <c r="BD52" s="260"/>
      <c r="BE52" s="260"/>
      <c r="BF52" s="260"/>
      <c r="BG52" s="260"/>
      <c r="BH52" s="261"/>
      <c r="BI52" s="253">
        <f t="shared" si="0"/>
        <v>0</v>
      </c>
      <c r="BJ52" s="14"/>
      <c r="BK52" s="14"/>
      <c r="BL52" s="14"/>
      <c r="BM52" s="262" t="s">
        <v>447</v>
      </c>
      <c r="BN52" s="263"/>
      <c r="BO52" s="240">
        <v>0.15410336000000002</v>
      </c>
      <c r="BP52" s="253">
        <f t="shared" si="1"/>
        <v>0.15410336000000002</v>
      </c>
    </row>
    <row r="53" spans="5:68"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233"/>
      <c r="AK53" s="14"/>
      <c r="AL53" s="14"/>
      <c r="AM53" s="14"/>
      <c r="AN53" s="14"/>
      <c r="AO53" s="14"/>
      <c r="AP53" s="14"/>
      <c r="AQ53" s="14"/>
      <c r="AR53" s="14"/>
      <c r="AS53" s="233" t="s">
        <v>457</v>
      </c>
      <c r="AT53" s="264"/>
      <c r="AU53" s="264"/>
      <c r="AV53" s="264"/>
      <c r="AW53" s="264"/>
      <c r="AX53" s="264"/>
      <c r="AY53" s="264"/>
      <c r="AZ53" s="264"/>
      <c r="BA53" s="264"/>
      <c r="BB53" s="264"/>
      <c r="BC53" s="264"/>
      <c r="BD53" s="264"/>
      <c r="BE53" s="264"/>
      <c r="BF53" s="264"/>
      <c r="BG53" s="264"/>
      <c r="BH53" s="264"/>
      <c r="BI53" s="253">
        <f t="shared" si="0"/>
        <v>0</v>
      </c>
      <c r="BJ53" s="14"/>
      <c r="BK53" s="14"/>
      <c r="BL53" s="14"/>
      <c r="BM53" s="262" t="s">
        <v>457</v>
      </c>
      <c r="BN53" s="263"/>
      <c r="BO53" s="240">
        <v>0.11616169999999999</v>
      </c>
      <c r="BP53" s="253">
        <f t="shared" si="1"/>
        <v>0.11616169999999999</v>
      </c>
    </row>
    <row r="54" spans="5:68">
      <c r="E54" s="14"/>
      <c r="F54" s="393"/>
      <c r="G54" s="393"/>
      <c r="H54" s="265"/>
      <c r="I54" s="265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  <c r="AA54" s="265"/>
      <c r="AB54" s="265"/>
      <c r="AC54" s="265"/>
      <c r="AD54" s="265"/>
      <c r="AE54" s="265"/>
      <c r="AF54" s="265"/>
      <c r="AG54" s="265"/>
      <c r="AH54" s="265"/>
      <c r="AI54" s="265"/>
      <c r="AJ54" s="233"/>
      <c r="AK54" s="265"/>
      <c r="AL54" s="265"/>
      <c r="AM54" s="265"/>
      <c r="AN54" s="265"/>
      <c r="AO54" s="265"/>
      <c r="AP54" s="265"/>
      <c r="AQ54" s="265"/>
      <c r="AR54" s="14"/>
      <c r="AS54" s="14"/>
      <c r="AT54" s="390" t="s">
        <v>328</v>
      </c>
      <c r="AU54" s="313"/>
      <c r="AV54" s="313"/>
      <c r="AW54" s="313"/>
      <c r="AX54" s="313"/>
      <c r="AY54" s="313"/>
      <c r="AZ54" s="313"/>
      <c r="BA54" s="313"/>
      <c r="BB54" s="313"/>
      <c r="BC54" s="313"/>
      <c r="BD54" s="313"/>
      <c r="BE54" s="313"/>
      <c r="BF54" s="313"/>
      <c r="BG54" s="313"/>
      <c r="BH54" s="313"/>
      <c r="BI54" s="52" t="s">
        <v>369</v>
      </c>
      <c r="BJ54" s="14"/>
      <c r="BK54" s="14"/>
      <c r="BL54" s="14"/>
      <c r="BM54" s="252"/>
      <c r="BN54" s="392" t="s">
        <v>330</v>
      </c>
      <c r="BO54" s="392">
        <v>-89.61</v>
      </c>
      <c r="BP54" s="52" t="s">
        <v>381</v>
      </c>
    </row>
    <row r="55" spans="5:68">
      <c r="AQ55" s="14"/>
      <c r="AR55" s="14"/>
      <c r="AS55" s="14"/>
      <c r="AT55" s="266">
        <f>SUM(AT18:AT53)</f>
        <v>0.70629643999999991</v>
      </c>
      <c r="AU55" s="266">
        <f t="shared" ref="AU55:BH55" si="2">SUM(AU18:AU53)</f>
        <v>0.52595921999999995</v>
      </c>
      <c r="AV55" s="266">
        <f t="shared" si="2"/>
        <v>754.56438097660657</v>
      </c>
      <c r="AW55" s="266">
        <f t="shared" si="2"/>
        <v>0.47896953999999997</v>
      </c>
      <c r="AX55" s="266">
        <f t="shared" si="2"/>
        <v>0.18440139999999999</v>
      </c>
      <c r="AY55" s="266">
        <f t="shared" si="2"/>
        <v>754.33705407660659</v>
      </c>
      <c r="AZ55" s="266">
        <f t="shared" si="2"/>
        <v>0.47896953999999997</v>
      </c>
      <c r="BA55" s="266">
        <f t="shared" si="2"/>
        <v>0.18440139999999999</v>
      </c>
      <c r="BB55" s="266">
        <f t="shared" si="2"/>
        <v>754.33705407660659</v>
      </c>
      <c r="BC55" s="266">
        <f t="shared" si="2"/>
        <v>0.26045644000000001</v>
      </c>
      <c r="BD55" s="266">
        <f t="shared" si="2"/>
        <v>754.41310911660662</v>
      </c>
      <c r="BE55" s="266">
        <f t="shared" si="2"/>
        <v>0.12416072</v>
      </c>
      <c r="BF55" s="266">
        <f t="shared" si="2"/>
        <v>8.4139320000000004E-2</v>
      </c>
      <c r="BG55" s="266">
        <f t="shared" si="2"/>
        <v>217.91110910401193</v>
      </c>
      <c r="BH55" s="266">
        <f t="shared" si="2"/>
        <v>218.21157226401192</v>
      </c>
      <c r="BJ55" s="14"/>
      <c r="BK55" s="14"/>
      <c r="BL55" s="14"/>
      <c r="BM55" s="14"/>
      <c r="BN55" s="252"/>
      <c r="BO55" s="14"/>
    </row>
    <row r="56" spans="5:68" ht="235.95" customHeight="1">
      <c r="E56" s="60"/>
      <c r="F56" s="234" t="s">
        <v>333</v>
      </c>
      <c r="G56" s="234" t="s">
        <v>335</v>
      </c>
      <c r="H56" s="234" t="s">
        <v>336</v>
      </c>
      <c r="I56" s="234" t="s">
        <v>355</v>
      </c>
      <c r="J56" s="234" t="s">
        <v>377</v>
      </c>
      <c r="K56" s="234" t="s">
        <v>466</v>
      </c>
      <c r="L56" s="234" t="s">
        <v>467</v>
      </c>
      <c r="M56" s="234" t="s">
        <v>411</v>
      </c>
      <c r="N56" s="234" t="s">
        <v>459</v>
      </c>
      <c r="O56" s="235" t="s">
        <v>442</v>
      </c>
      <c r="P56" s="234" t="s">
        <v>409</v>
      </c>
      <c r="Q56" s="235" t="s">
        <v>412</v>
      </c>
      <c r="R56" s="234" t="s">
        <v>437</v>
      </c>
      <c r="S56" s="236" t="s">
        <v>430</v>
      </c>
      <c r="T56" s="234" t="s">
        <v>416</v>
      </c>
      <c r="U56" s="235" t="s">
        <v>441</v>
      </c>
      <c r="V56" s="235" t="s">
        <v>436</v>
      </c>
      <c r="W56" s="235" t="s">
        <v>433</v>
      </c>
      <c r="X56" s="235" t="s">
        <v>439</v>
      </c>
      <c r="Y56" s="236" t="s">
        <v>438</v>
      </c>
      <c r="Z56" s="236" t="s">
        <v>424</v>
      </c>
      <c r="AA56" s="236" t="s">
        <v>456</v>
      </c>
      <c r="AB56" s="236" t="s">
        <v>425</v>
      </c>
      <c r="AC56" s="236" t="s">
        <v>427</v>
      </c>
      <c r="AD56" s="236" t="s">
        <v>426</v>
      </c>
      <c r="AE56" s="236" t="s">
        <v>484</v>
      </c>
      <c r="AF56" s="238" t="s">
        <v>422</v>
      </c>
      <c r="AG56" s="238" t="s">
        <v>552</v>
      </c>
      <c r="AH56" s="236" t="s">
        <v>421</v>
      </c>
      <c r="AI56" s="234" t="s">
        <v>423</v>
      </c>
      <c r="AJ56" s="236" t="s">
        <v>515</v>
      </c>
      <c r="AK56" s="236" t="s">
        <v>517</v>
      </c>
      <c r="AL56" s="236" t="s">
        <v>445</v>
      </c>
      <c r="AM56" s="236" t="s">
        <v>446</v>
      </c>
      <c r="AN56" s="236" t="s">
        <v>447</v>
      </c>
      <c r="AO56" s="236" t="s">
        <v>457</v>
      </c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</row>
    <row r="57" spans="5:68">
      <c r="E57" s="134" t="s">
        <v>325</v>
      </c>
      <c r="F57" s="237"/>
      <c r="G57" s="237"/>
      <c r="H57" s="237"/>
      <c r="I57" s="237"/>
      <c r="J57" s="237"/>
      <c r="K57" s="237"/>
      <c r="L57" s="237"/>
      <c r="M57" s="237"/>
      <c r="N57" s="237"/>
      <c r="O57" s="254">
        <v>0.47896953999999997</v>
      </c>
      <c r="P57" s="254">
        <v>9.0038560000000004E-2</v>
      </c>
      <c r="Q57" s="254"/>
      <c r="R57" s="254"/>
      <c r="S57" s="254"/>
      <c r="T57" s="254"/>
      <c r="U57" s="254"/>
      <c r="V57" s="254"/>
      <c r="W57" s="254"/>
      <c r="X57" s="254"/>
      <c r="Y57" s="254"/>
      <c r="Z57" s="254"/>
      <c r="AA57" s="254"/>
      <c r="AB57" s="254"/>
      <c r="AC57" s="254"/>
      <c r="AD57" s="254"/>
      <c r="AE57" s="254"/>
      <c r="AF57" s="254"/>
      <c r="AG57" s="254"/>
      <c r="AH57" s="254"/>
      <c r="AI57" s="254"/>
      <c r="AJ57" s="254"/>
      <c r="AK57" s="254"/>
      <c r="AL57" s="254"/>
      <c r="AM57" s="254"/>
      <c r="AN57" s="254"/>
      <c r="AO57" s="254"/>
      <c r="AP57" s="251">
        <f>SUM(F57:AO57)</f>
        <v>0.56900810000000002</v>
      </c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</row>
    <row r="58" spans="5:68">
      <c r="E58" s="134" t="s">
        <v>326</v>
      </c>
      <c r="F58" s="237"/>
      <c r="G58" s="237"/>
      <c r="H58" s="237"/>
      <c r="I58" s="237"/>
      <c r="J58" s="237"/>
      <c r="K58" s="237"/>
      <c r="L58" s="237"/>
      <c r="M58" s="237"/>
      <c r="N58" s="237"/>
      <c r="O58" s="254"/>
      <c r="P58" s="254"/>
      <c r="Q58" s="254">
        <v>0.18440139999999999</v>
      </c>
      <c r="R58" s="254">
        <v>9.0038560000000004E-2</v>
      </c>
      <c r="S58" s="254"/>
      <c r="T58" s="254"/>
      <c r="U58" s="254"/>
      <c r="V58" s="254"/>
      <c r="W58" s="254"/>
      <c r="X58" s="254"/>
      <c r="Y58" s="254"/>
      <c r="Z58" s="254"/>
      <c r="AA58" s="254"/>
      <c r="AB58" s="254"/>
      <c r="AC58" s="254"/>
      <c r="AD58" s="254"/>
      <c r="AE58" s="254"/>
      <c r="AF58" s="254"/>
      <c r="AG58" s="254"/>
      <c r="AH58" s="254"/>
      <c r="AI58" s="254"/>
      <c r="AJ58" s="254"/>
      <c r="AK58" s="254"/>
      <c r="AL58" s="254"/>
      <c r="AM58" s="254"/>
      <c r="AN58" s="254"/>
      <c r="AO58" s="254"/>
      <c r="AP58" s="251">
        <f t="shared" ref="AP58:AP71" si="3">SUM(F58:AO58)</f>
        <v>0.27443995999999998</v>
      </c>
      <c r="AQ58" s="14"/>
      <c r="AR58" s="14"/>
      <c r="AS58" s="14"/>
      <c r="AT58" s="252"/>
      <c r="AU58" s="252"/>
      <c r="AV58" s="252"/>
      <c r="AW58" s="252"/>
      <c r="AX58" s="252"/>
      <c r="AY58" s="252"/>
      <c r="AZ58" s="252"/>
      <c r="BA58" s="252"/>
      <c r="BB58" s="252"/>
      <c r="BC58" s="252"/>
      <c r="BD58" s="252"/>
      <c r="BE58" s="252"/>
      <c r="BF58" s="252"/>
      <c r="BG58" s="252"/>
      <c r="BH58" s="14"/>
      <c r="BI58" s="14"/>
      <c r="BJ58" s="14"/>
      <c r="BK58" s="14"/>
      <c r="BL58" s="14"/>
      <c r="BM58" s="252"/>
      <c r="BN58" s="252"/>
      <c r="BO58" s="14"/>
    </row>
    <row r="59" spans="5:68">
      <c r="E59" s="134" t="s">
        <v>327</v>
      </c>
      <c r="F59" s="237"/>
      <c r="G59" s="237"/>
      <c r="H59" s="237"/>
      <c r="I59" s="237"/>
      <c r="J59" s="237"/>
      <c r="K59" s="237"/>
      <c r="L59" s="237"/>
      <c r="M59" s="237"/>
      <c r="N59" s="237"/>
      <c r="O59" s="254"/>
      <c r="P59" s="254"/>
      <c r="Q59" s="254"/>
      <c r="R59" s="254"/>
      <c r="S59" s="254">
        <v>754.33705407660659</v>
      </c>
      <c r="T59" s="254">
        <v>9.0038560000000004E-2</v>
      </c>
      <c r="U59" s="254"/>
      <c r="V59" s="254"/>
      <c r="W59" s="254"/>
      <c r="X59" s="254"/>
      <c r="Y59" s="254"/>
      <c r="Z59" s="254"/>
      <c r="AA59" s="254"/>
      <c r="AB59" s="254"/>
      <c r="AC59" s="254"/>
      <c r="AD59" s="254"/>
      <c r="AE59" s="254"/>
      <c r="AF59" s="254"/>
      <c r="AG59" s="254"/>
      <c r="AH59" s="254"/>
      <c r="AI59" s="254"/>
      <c r="AJ59" s="254"/>
      <c r="AK59" s="254"/>
      <c r="AL59" s="254"/>
      <c r="AM59" s="254"/>
      <c r="AN59" s="254"/>
      <c r="AO59" s="254"/>
      <c r="AP59" s="251">
        <f t="shared" si="3"/>
        <v>754.42709263660663</v>
      </c>
      <c r="AQ59" s="14"/>
      <c r="AR59" s="14"/>
      <c r="AS59" s="14"/>
      <c r="AT59" s="252"/>
      <c r="AU59" s="252"/>
      <c r="AV59" s="252"/>
      <c r="AW59" s="252"/>
      <c r="AX59" s="252"/>
      <c r="AY59" s="252"/>
      <c r="AZ59" s="252"/>
      <c r="BA59" s="252"/>
      <c r="BB59" s="252"/>
      <c r="BC59" s="252"/>
      <c r="BD59" s="252"/>
      <c r="BE59" s="252"/>
      <c r="BF59" s="252"/>
      <c r="BG59" s="252"/>
      <c r="BH59" s="14"/>
      <c r="BI59" s="14"/>
      <c r="BJ59" s="14"/>
      <c r="BK59" s="14"/>
      <c r="BL59" s="14"/>
      <c r="BM59" s="252"/>
      <c r="BN59" s="252"/>
      <c r="BO59" s="14"/>
    </row>
    <row r="60" spans="5:68">
      <c r="E60" s="134" t="s">
        <v>455</v>
      </c>
      <c r="F60" s="237"/>
      <c r="G60" s="237"/>
      <c r="H60" s="237"/>
      <c r="I60" s="237"/>
      <c r="J60" s="237"/>
      <c r="K60" s="237"/>
      <c r="L60" s="237"/>
      <c r="M60" s="237"/>
      <c r="N60" s="237"/>
      <c r="O60" s="254"/>
      <c r="P60" s="254"/>
      <c r="Q60" s="254"/>
      <c r="R60" s="254"/>
      <c r="S60" s="254"/>
      <c r="T60" s="254"/>
      <c r="U60" s="254">
        <v>0.47896953999999997</v>
      </c>
      <c r="V60" s="254"/>
      <c r="W60" s="254"/>
      <c r="X60" s="254"/>
      <c r="Y60" s="254"/>
      <c r="Z60" s="254"/>
      <c r="AA60" s="254"/>
      <c r="AB60" s="254"/>
      <c r="AC60" s="254"/>
      <c r="AD60" s="254"/>
      <c r="AE60" s="254"/>
      <c r="AF60" s="254"/>
      <c r="AG60" s="254"/>
      <c r="AH60" s="254"/>
      <c r="AI60" s="254"/>
      <c r="AJ60" s="254"/>
      <c r="AK60" s="254"/>
      <c r="AL60" s="254"/>
      <c r="AM60" s="254"/>
      <c r="AN60" s="254"/>
      <c r="AO60" s="254"/>
      <c r="AP60" s="251">
        <f t="shared" si="3"/>
        <v>0.47896953999999997</v>
      </c>
      <c r="AQ60" s="14"/>
      <c r="AR60" s="14"/>
      <c r="AS60" s="14"/>
      <c r="AT60" s="252"/>
      <c r="AU60" s="252"/>
      <c r="AV60" s="252"/>
      <c r="AW60" s="252"/>
      <c r="AX60" s="252"/>
      <c r="AY60" s="252"/>
      <c r="AZ60" s="252"/>
      <c r="BA60" s="252"/>
      <c r="BB60" s="252"/>
      <c r="BC60" s="252"/>
      <c r="BD60" s="252"/>
      <c r="BE60" s="252"/>
      <c r="BF60" s="252"/>
      <c r="BG60" s="252"/>
      <c r="BH60" s="14"/>
      <c r="BI60" s="14"/>
      <c r="BJ60" s="14"/>
      <c r="BK60" s="14"/>
      <c r="BL60" s="14"/>
      <c r="BM60" s="252"/>
      <c r="BN60" s="252"/>
      <c r="BO60" s="14"/>
    </row>
    <row r="61" spans="5:68">
      <c r="E61" s="134" t="s">
        <v>435</v>
      </c>
      <c r="F61" s="237"/>
      <c r="G61" s="237"/>
      <c r="H61" s="237"/>
      <c r="I61" s="237"/>
      <c r="J61" s="237"/>
      <c r="K61" s="237"/>
      <c r="L61" s="237"/>
      <c r="M61" s="237"/>
      <c r="N61" s="237"/>
      <c r="O61" s="254"/>
      <c r="P61" s="254"/>
      <c r="Q61" s="254"/>
      <c r="R61" s="254"/>
      <c r="S61" s="254"/>
      <c r="T61" s="254"/>
      <c r="U61" s="254"/>
      <c r="V61" s="254">
        <v>0.18440139999999999</v>
      </c>
      <c r="W61" s="254"/>
      <c r="X61" s="254"/>
      <c r="Y61" s="254"/>
      <c r="Z61" s="254"/>
      <c r="AA61" s="254"/>
      <c r="AB61" s="254"/>
      <c r="AC61" s="254"/>
      <c r="AD61" s="254"/>
      <c r="AE61" s="254"/>
      <c r="AF61" s="254"/>
      <c r="AG61" s="254"/>
      <c r="AH61" s="254"/>
      <c r="AI61" s="254"/>
      <c r="AJ61" s="254"/>
      <c r="AK61" s="254"/>
      <c r="AL61" s="254"/>
      <c r="AM61" s="254"/>
      <c r="AN61" s="254"/>
      <c r="AO61" s="254"/>
      <c r="AP61" s="251">
        <f t="shared" si="3"/>
        <v>0.18440139999999999</v>
      </c>
      <c r="AQ61" s="14"/>
      <c r="AR61" s="14"/>
      <c r="AS61" s="14"/>
      <c r="AT61" s="252"/>
      <c r="AU61" s="252"/>
      <c r="AV61" s="252"/>
      <c r="AW61" s="252"/>
      <c r="AX61" s="252"/>
      <c r="AY61" s="252"/>
      <c r="AZ61" s="252"/>
      <c r="BA61" s="252"/>
      <c r="BB61" s="252"/>
      <c r="BC61" s="252"/>
      <c r="BD61" s="252"/>
      <c r="BE61" s="252"/>
      <c r="BF61" s="252"/>
      <c r="BG61" s="252"/>
      <c r="BH61" s="14"/>
      <c r="BI61" s="14"/>
      <c r="BJ61" s="14"/>
      <c r="BK61" s="14"/>
      <c r="BL61" s="14"/>
      <c r="BM61" s="252"/>
      <c r="BN61" s="252"/>
      <c r="BO61" s="14"/>
    </row>
    <row r="62" spans="5:68">
      <c r="E62" s="134" t="s">
        <v>434</v>
      </c>
      <c r="F62" s="237"/>
      <c r="G62" s="237"/>
      <c r="H62" s="237"/>
      <c r="I62" s="237"/>
      <c r="J62" s="237"/>
      <c r="K62" s="237"/>
      <c r="L62" s="237"/>
      <c r="M62" s="237"/>
      <c r="N62" s="237"/>
      <c r="O62" s="254"/>
      <c r="P62" s="254"/>
      <c r="Q62" s="254"/>
      <c r="R62" s="254"/>
      <c r="S62" s="254"/>
      <c r="T62" s="254"/>
      <c r="U62" s="254"/>
      <c r="V62" s="254"/>
      <c r="W62" s="254">
        <v>754.33705407660659</v>
      </c>
      <c r="X62" s="254"/>
      <c r="Y62" s="254"/>
      <c r="Z62" s="254"/>
      <c r="AA62" s="254"/>
      <c r="AB62" s="254"/>
      <c r="AC62" s="254"/>
      <c r="AD62" s="254"/>
      <c r="AE62" s="254"/>
      <c r="AF62" s="254"/>
      <c r="AG62" s="254"/>
      <c r="AH62" s="254"/>
      <c r="AI62" s="254"/>
      <c r="AJ62" s="254"/>
      <c r="AK62" s="254"/>
      <c r="AL62" s="254"/>
      <c r="AM62" s="254"/>
      <c r="AN62" s="254"/>
      <c r="AO62" s="254"/>
      <c r="AP62" s="251">
        <f t="shared" si="3"/>
        <v>754.33705407660659</v>
      </c>
      <c r="AQ62" s="14"/>
      <c r="AR62" s="14"/>
      <c r="AS62" s="14"/>
      <c r="AT62" s="252"/>
      <c r="AU62" s="252"/>
      <c r="AV62" s="252"/>
      <c r="AW62" s="252"/>
      <c r="AX62" s="252"/>
      <c r="AY62" s="252"/>
      <c r="AZ62" s="252"/>
      <c r="BA62" s="252"/>
      <c r="BB62" s="252"/>
      <c r="BC62" s="252"/>
      <c r="BD62" s="252"/>
      <c r="BE62" s="252"/>
      <c r="BF62" s="252"/>
      <c r="BG62" s="252"/>
      <c r="BH62" s="14"/>
      <c r="BI62" s="14"/>
      <c r="BJ62" s="14"/>
      <c r="BK62" s="14"/>
      <c r="BL62" s="14"/>
      <c r="BM62" s="252"/>
      <c r="BN62" s="252"/>
      <c r="BO62" s="14"/>
    </row>
    <row r="63" spans="5:68">
      <c r="E63" s="134" t="s">
        <v>351</v>
      </c>
      <c r="F63" s="237"/>
      <c r="G63" s="237"/>
      <c r="H63" s="237"/>
      <c r="I63" s="237"/>
      <c r="J63" s="237"/>
      <c r="K63" s="237"/>
      <c r="L63" s="237"/>
      <c r="M63" s="237"/>
      <c r="N63" s="237"/>
      <c r="O63" s="254"/>
      <c r="P63" s="254"/>
      <c r="Q63" s="254"/>
      <c r="R63" s="254"/>
      <c r="S63" s="254"/>
      <c r="T63" s="254"/>
      <c r="U63" s="254"/>
      <c r="V63" s="254"/>
      <c r="W63" s="254"/>
      <c r="X63" s="254">
        <v>0.21977250000000001</v>
      </c>
      <c r="Y63" s="254">
        <v>0.25919703999999999</v>
      </c>
      <c r="Z63" s="254"/>
      <c r="AA63" s="254"/>
      <c r="AB63" s="254"/>
      <c r="AC63" s="254"/>
      <c r="AD63" s="254"/>
      <c r="AE63" s="254"/>
      <c r="AF63" s="254"/>
      <c r="AG63" s="254"/>
      <c r="AH63" s="254"/>
      <c r="AI63" s="254"/>
      <c r="AJ63" s="254"/>
      <c r="AK63" s="254"/>
      <c r="AL63" s="254"/>
      <c r="AM63" s="254"/>
      <c r="AN63" s="254"/>
      <c r="AO63" s="254"/>
      <c r="AP63" s="251">
        <f t="shared" si="3"/>
        <v>0.47896954000000003</v>
      </c>
      <c r="AQ63" s="14"/>
      <c r="AR63" s="14"/>
      <c r="AS63" s="14"/>
      <c r="AT63" s="252"/>
      <c r="AU63" s="252"/>
      <c r="AV63" s="252"/>
      <c r="AW63" s="252"/>
      <c r="AX63" s="252"/>
      <c r="AY63" s="252"/>
      <c r="AZ63" s="252"/>
      <c r="BA63" s="252"/>
      <c r="BB63" s="252"/>
      <c r="BC63" s="252"/>
      <c r="BD63" s="252"/>
      <c r="BE63" s="252"/>
      <c r="BF63" s="252"/>
      <c r="BG63" s="252"/>
      <c r="BH63" s="14"/>
      <c r="BI63" s="14"/>
      <c r="BJ63" s="14"/>
      <c r="BK63" s="14"/>
      <c r="BL63" s="14"/>
      <c r="BM63" s="252"/>
      <c r="BN63" s="252"/>
      <c r="BO63" s="14"/>
    </row>
    <row r="64" spans="5:68">
      <c r="E64" s="134" t="s">
        <v>348</v>
      </c>
      <c r="F64" s="237"/>
      <c r="G64" s="237"/>
      <c r="H64" s="237"/>
      <c r="I64" s="237"/>
      <c r="J64" s="237"/>
      <c r="K64" s="237"/>
      <c r="L64" s="237"/>
      <c r="M64" s="237"/>
      <c r="N64" s="237"/>
      <c r="O64" s="254"/>
      <c r="P64" s="254"/>
      <c r="Q64" s="254"/>
      <c r="R64" s="254"/>
      <c r="S64" s="254"/>
      <c r="T64" s="254"/>
      <c r="U64" s="254"/>
      <c r="V64" s="254"/>
      <c r="W64" s="254"/>
      <c r="X64" s="254"/>
      <c r="Y64" s="254"/>
      <c r="Z64" s="254">
        <v>0.18440139999999999</v>
      </c>
      <c r="AA64" s="254"/>
      <c r="AB64" s="254"/>
      <c r="AC64" s="254"/>
      <c r="AD64" s="254"/>
      <c r="AE64" s="254"/>
      <c r="AF64" s="254"/>
      <c r="AG64" s="254"/>
      <c r="AH64" s="254"/>
      <c r="AI64" s="254"/>
      <c r="AJ64" s="254"/>
      <c r="AK64" s="254"/>
      <c r="AL64" s="254"/>
      <c r="AM64" s="254"/>
      <c r="AN64" s="254"/>
      <c r="AO64" s="254"/>
      <c r="AP64" s="251">
        <f t="shared" si="3"/>
        <v>0.18440139999999999</v>
      </c>
      <c r="AQ64" s="14"/>
      <c r="AR64" s="14"/>
      <c r="AS64" s="14"/>
      <c r="AT64" s="252"/>
      <c r="AU64" s="252"/>
      <c r="AV64" s="252"/>
      <c r="AW64" s="252"/>
      <c r="AX64" s="252"/>
      <c r="AY64" s="252"/>
      <c r="AZ64" s="252"/>
      <c r="BA64" s="252"/>
      <c r="BB64" s="252"/>
      <c r="BC64" s="252"/>
      <c r="BD64" s="252"/>
      <c r="BE64" s="252"/>
      <c r="BF64" s="252"/>
      <c r="BG64" s="252"/>
      <c r="BH64" s="14"/>
      <c r="BI64" s="14"/>
      <c r="BJ64" s="14"/>
      <c r="BK64" s="14"/>
      <c r="BL64" s="14"/>
      <c r="BM64" s="252"/>
      <c r="BN64" s="252"/>
      <c r="BO64" s="14"/>
    </row>
    <row r="65" spans="5:67">
      <c r="E65" s="134" t="s">
        <v>362</v>
      </c>
      <c r="F65" s="237"/>
      <c r="G65" s="237"/>
      <c r="H65" s="237"/>
      <c r="I65" s="237"/>
      <c r="J65" s="237"/>
      <c r="K65" s="237"/>
      <c r="L65" s="237"/>
      <c r="M65" s="237"/>
      <c r="N65" s="237"/>
      <c r="O65" s="254"/>
      <c r="P65" s="254"/>
      <c r="Q65" s="254"/>
      <c r="R65" s="254"/>
      <c r="S65" s="254"/>
      <c r="T65" s="254"/>
      <c r="U65" s="254"/>
      <c r="V65" s="254"/>
      <c r="W65" s="254"/>
      <c r="X65" s="254"/>
      <c r="Y65" s="254"/>
      <c r="Z65" s="254"/>
      <c r="AA65" s="254">
        <v>754.33705407660659</v>
      </c>
      <c r="AB65" s="254"/>
      <c r="AC65" s="254"/>
      <c r="AD65" s="254"/>
      <c r="AE65" s="254"/>
      <c r="AF65" s="254"/>
      <c r="AG65" s="254"/>
      <c r="AH65" s="254"/>
      <c r="AI65" s="254"/>
      <c r="AJ65" s="254"/>
      <c r="AK65" s="254"/>
      <c r="AL65" s="254"/>
      <c r="AM65" s="254"/>
      <c r="AN65" s="254"/>
      <c r="AO65" s="254"/>
      <c r="AP65" s="251">
        <f t="shared" si="3"/>
        <v>754.33705407660659</v>
      </c>
      <c r="AQ65" s="14"/>
      <c r="AR65" s="14"/>
      <c r="AS65" s="14"/>
      <c r="AT65" s="252"/>
      <c r="AU65" s="252"/>
      <c r="AV65" s="252"/>
      <c r="AW65" s="252"/>
      <c r="AX65" s="252"/>
      <c r="AY65" s="252"/>
      <c r="AZ65" s="252"/>
      <c r="BA65" s="252"/>
      <c r="BB65" s="252"/>
      <c r="BC65" s="252"/>
      <c r="BD65" s="252"/>
      <c r="BE65" s="252"/>
      <c r="BF65" s="252"/>
      <c r="BG65" s="252"/>
      <c r="BH65" s="14"/>
      <c r="BI65" s="14"/>
      <c r="BJ65" s="14"/>
      <c r="BK65" s="14"/>
      <c r="BL65" s="14"/>
      <c r="BM65" s="252"/>
      <c r="BN65" s="252"/>
      <c r="BO65" s="14"/>
    </row>
    <row r="66" spans="5:67">
      <c r="E66" s="134" t="s">
        <v>349</v>
      </c>
      <c r="F66" s="237"/>
      <c r="G66" s="237"/>
      <c r="H66" s="237"/>
      <c r="I66" s="237"/>
      <c r="J66" s="237"/>
      <c r="K66" s="237"/>
      <c r="L66" s="237"/>
      <c r="M66" s="237"/>
      <c r="N66" s="237"/>
      <c r="O66" s="254"/>
      <c r="P66" s="254"/>
      <c r="Q66" s="254"/>
      <c r="R66" s="254"/>
      <c r="S66" s="254"/>
      <c r="T66" s="254"/>
      <c r="U66" s="254"/>
      <c r="V66" s="254"/>
      <c r="W66" s="254"/>
      <c r="X66" s="254"/>
      <c r="Y66" s="254"/>
      <c r="Z66" s="254"/>
      <c r="AA66" s="254"/>
      <c r="AB66" s="254">
        <v>5.6077400000000006E-2</v>
      </c>
      <c r="AC66" s="254">
        <v>4.0304400000000004E-2</v>
      </c>
      <c r="AD66" s="254">
        <v>9.0038560000000004E-2</v>
      </c>
      <c r="AE66" s="254"/>
      <c r="AF66" s="254"/>
      <c r="AG66" s="254"/>
      <c r="AH66" s="254"/>
      <c r="AI66" s="254"/>
      <c r="AJ66" s="254"/>
      <c r="AK66" s="254"/>
      <c r="AL66" s="254"/>
      <c r="AM66" s="254"/>
      <c r="AN66" s="254"/>
      <c r="AO66" s="254"/>
      <c r="AP66" s="251">
        <f t="shared" si="3"/>
        <v>0.18642036000000001</v>
      </c>
      <c r="AQ66" s="14"/>
      <c r="AR66" s="14"/>
      <c r="AS66" s="14"/>
      <c r="AT66" s="252"/>
      <c r="AU66" s="252"/>
      <c r="AV66" s="252"/>
      <c r="AW66" s="252"/>
      <c r="AX66" s="252"/>
      <c r="AY66" s="252"/>
      <c r="AZ66" s="252"/>
      <c r="BA66" s="252"/>
      <c r="BB66" s="252"/>
      <c r="BC66" s="252"/>
      <c r="BD66" s="252"/>
      <c r="BE66" s="252"/>
      <c r="BF66" s="252"/>
      <c r="BG66" s="252"/>
      <c r="BH66" s="14"/>
      <c r="BI66" s="14"/>
      <c r="BJ66" s="14"/>
      <c r="BK66" s="14"/>
      <c r="BL66" s="14"/>
      <c r="BM66" s="252"/>
      <c r="BN66" s="252"/>
      <c r="BO66" s="14"/>
    </row>
    <row r="67" spans="5:67">
      <c r="E67" s="134" t="s">
        <v>344</v>
      </c>
      <c r="F67" s="237"/>
      <c r="G67" s="237"/>
      <c r="H67" s="237"/>
      <c r="I67" s="237"/>
      <c r="J67" s="237"/>
      <c r="K67" s="237"/>
      <c r="L67" s="237"/>
      <c r="M67" s="237"/>
      <c r="N67" s="237"/>
      <c r="O67" s="254"/>
      <c r="P67" s="254"/>
      <c r="Q67" s="254"/>
      <c r="R67" s="254"/>
      <c r="S67" s="254"/>
      <c r="T67" s="254"/>
      <c r="U67" s="254"/>
      <c r="V67" s="254"/>
      <c r="W67" s="254"/>
      <c r="X67" s="254"/>
      <c r="Y67" s="254"/>
      <c r="Z67" s="254"/>
      <c r="AA67" s="254"/>
      <c r="AB67" s="254"/>
      <c r="AC67" s="254"/>
      <c r="AD67" s="254"/>
      <c r="AE67" s="254">
        <f>MW_Coke</f>
        <v>217.63525920401193</v>
      </c>
      <c r="AF67" s="254">
        <f>Ore_to_PI!CN243</f>
        <v>0.12416072</v>
      </c>
      <c r="AG67" s="254">
        <f>Ore_to_PI!CN282</f>
        <v>1.445899</v>
      </c>
      <c r="AH67" s="254">
        <f>Ore_to_PI!CN229</f>
        <v>0.57429051399999997</v>
      </c>
      <c r="AI67" s="254">
        <v>9.0038560000000004E-2</v>
      </c>
      <c r="AJ67" s="254"/>
      <c r="AK67" s="254"/>
      <c r="AL67" s="254"/>
      <c r="AM67" s="254"/>
      <c r="AN67" s="254"/>
      <c r="AO67" s="254"/>
      <c r="AP67" s="251">
        <f t="shared" si="3"/>
        <v>219.86964799801194</v>
      </c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</row>
    <row r="68" spans="5:67">
      <c r="E68" s="134" t="s">
        <v>514</v>
      </c>
      <c r="F68" s="237"/>
      <c r="G68" s="237"/>
      <c r="H68" s="237"/>
      <c r="I68" s="237"/>
      <c r="J68" s="237"/>
      <c r="K68" s="237"/>
      <c r="L68" s="237"/>
      <c r="M68" s="237"/>
      <c r="N68" s="237"/>
      <c r="O68" s="254"/>
      <c r="P68" s="254"/>
      <c r="Q68" s="254"/>
      <c r="R68" s="254"/>
      <c r="S68" s="254"/>
      <c r="T68" s="254"/>
      <c r="U68" s="254"/>
      <c r="V68" s="254"/>
      <c r="W68" s="254"/>
      <c r="X68" s="254"/>
      <c r="Y68" s="254"/>
      <c r="Z68" s="254"/>
      <c r="AA68" s="254"/>
      <c r="AB68" s="254"/>
      <c r="AC68" s="254"/>
      <c r="AD68" s="254"/>
      <c r="AE68" s="254"/>
      <c r="AF68" s="254"/>
      <c r="AG68" s="254"/>
      <c r="AH68" s="254"/>
      <c r="AI68" s="254"/>
      <c r="AJ68" s="254">
        <v>8.4139320000000004E-2</v>
      </c>
      <c r="AK68" s="254"/>
      <c r="AL68" s="254"/>
      <c r="AM68" s="254"/>
      <c r="AN68" s="254"/>
      <c r="AO68" s="254"/>
      <c r="AP68" s="251">
        <f t="shared" si="3"/>
        <v>8.4139320000000004E-2</v>
      </c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</row>
    <row r="69" spans="5:67">
      <c r="E69" s="134" t="s">
        <v>516</v>
      </c>
      <c r="F69" s="237"/>
      <c r="G69" s="237"/>
      <c r="H69" s="237"/>
      <c r="I69" s="237"/>
      <c r="J69" s="237"/>
      <c r="K69" s="237"/>
      <c r="L69" s="237"/>
      <c r="M69" s="237"/>
      <c r="N69" s="237"/>
      <c r="O69" s="254"/>
      <c r="P69" s="254"/>
      <c r="Q69" s="254"/>
      <c r="R69" s="254"/>
      <c r="S69" s="254"/>
      <c r="T69" s="254"/>
      <c r="U69" s="254"/>
      <c r="V69" s="254"/>
      <c r="W69" s="254"/>
      <c r="X69" s="254"/>
      <c r="Y69" s="254"/>
      <c r="Z69" s="254"/>
      <c r="AA69" s="254"/>
      <c r="AB69" s="254"/>
      <c r="AC69" s="254"/>
      <c r="AD69" s="254"/>
      <c r="AE69" s="254"/>
      <c r="AF69" s="254"/>
      <c r="AG69" s="254"/>
      <c r="AH69" s="254"/>
      <c r="AI69" s="254"/>
      <c r="AJ69" s="254"/>
      <c r="AK69" s="254">
        <v>8.4139320000000004E-2</v>
      </c>
      <c r="AL69" s="254"/>
      <c r="AM69" s="254"/>
      <c r="AN69" s="254"/>
      <c r="AO69" s="254"/>
      <c r="AP69" s="251">
        <f t="shared" si="3"/>
        <v>8.4139320000000004E-2</v>
      </c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</row>
    <row r="70" spans="5:67">
      <c r="E70" s="134" t="s">
        <v>76</v>
      </c>
      <c r="F70" s="237"/>
      <c r="G70" s="237"/>
      <c r="H70" s="237"/>
      <c r="I70" s="237"/>
      <c r="J70" s="237"/>
      <c r="K70" s="237"/>
      <c r="L70" s="237"/>
      <c r="M70" s="237"/>
      <c r="N70" s="237"/>
      <c r="O70" s="254"/>
      <c r="P70" s="254"/>
      <c r="Q70" s="254"/>
      <c r="R70" s="254"/>
      <c r="S70" s="254"/>
      <c r="T70" s="254"/>
      <c r="U70" s="254"/>
      <c r="V70" s="254"/>
      <c r="W70" s="254"/>
      <c r="X70" s="254"/>
      <c r="Y70" s="254"/>
      <c r="Z70" s="254"/>
      <c r="AA70" s="254"/>
      <c r="AB70" s="254"/>
      <c r="AC70" s="254"/>
      <c r="AD70" s="254"/>
      <c r="AE70" s="254"/>
      <c r="AF70" s="254"/>
      <c r="AG70" s="254"/>
      <c r="AH70" s="254"/>
      <c r="AI70" s="258"/>
      <c r="AJ70" s="254"/>
      <c r="AK70" s="254"/>
      <c r="AL70" s="258">
        <v>217.91110910401193</v>
      </c>
      <c r="AM70" s="254"/>
      <c r="AN70" s="254"/>
      <c r="AO70" s="254"/>
      <c r="AP70" s="251">
        <f t="shared" si="3"/>
        <v>217.91110910401193</v>
      </c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</row>
    <row r="71" spans="5:67">
      <c r="E71" s="134" t="s">
        <v>337</v>
      </c>
      <c r="F71" s="237"/>
      <c r="G71" s="237"/>
      <c r="H71" s="237"/>
      <c r="I71" s="239"/>
      <c r="J71" s="237"/>
      <c r="K71" s="237"/>
      <c r="L71" s="237"/>
      <c r="M71" s="237"/>
      <c r="N71" s="237"/>
      <c r="O71" s="254"/>
      <c r="P71" s="254"/>
      <c r="Q71" s="254"/>
      <c r="R71" s="254"/>
      <c r="S71" s="254"/>
      <c r="T71" s="254"/>
      <c r="U71" s="254"/>
      <c r="V71" s="254"/>
      <c r="W71" s="254"/>
      <c r="X71" s="254"/>
      <c r="Y71" s="254"/>
      <c r="Z71" s="254"/>
      <c r="AA71" s="254"/>
      <c r="AB71" s="254"/>
      <c r="AC71" s="254"/>
      <c r="AD71" s="267"/>
      <c r="AE71" s="254"/>
      <c r="AF71" s="254"/>
      <c r="AG71" s="254"/>
      <c r="AH71" s="254"/>
      <c r="AI71" s="254"/>
      <c r="AJ71" s="254"/>
      <c r="AK71" s="254"/>
      <c r="AL71" s="254"/>
      <c r="AM71" s="254">
        <v>5.5844999999999999E-2</v>
      </c>
      <c r="AN71" s="254">
        <v>0.15410336000000002</v>
      </c>
      <c r="AO71" s="254">
        <v>0.11616169999999999</v>
      </c>
      <c r="AP71" s="251">
        <f t="shared" si="3"/>
        <v>0.32611006000000003</v>
      </c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</row>
    <row r="72" spans="5:67">
      <c r="E72" s="134"/>
      <c r="F72" s="392" t="s">
        <v>329</v>
      </c>
      <c r="G72" s="392"/>
      <c r="H72" s="392"/>
      <c r="I72" s="392"/>
      <c r="J72" s="392"/>
      <c r="K72" s="392"/>
      <c r="L72" s="392"/>
      <c r="M72" s="392"/>
      <c r="N72" s="392"/>
      <c r="O72" s="392"/>
      <c r="P72" s="392"/>
      <c r="Q72" s="392"/>
      <c r="R72" s="392"/>
      <c r="S72" s="392"/>
      <c r="T72" s="392"/>
      <c r="U72" s="392"/>
      <c r="V72" s="392"/>
      <c r="W72" s="392"/>
      <c r="X72" s="392"/>
      <c r="Y72" s="392"/>
      <c r="Z72" s="392"/>
      <c r="AA72" s="392"/>
      <c r="AB72" s="392"/>
      <c r="AC72" s="392"/>
      <c r="AD72" s="392"/>
      <c r="AE72" s="392"/>
      <c r="AF72" s="392"/>
      <c r="AG72" s="392"/>
      <c r="AH72" s="392"/>
      <c r="AI72" s="392"/>
      <c r="AJ72" s="392"/>
      <c r="AK72" s="392"/>
      <c r="AL72" s="392"/>
      <c r="AM72" s="392"/>
      <c r="AN72" s="392"/>
      <c r="AO72" s="392"/>
      <c r="AP72" s="252" t="s">
        <v>365</v>
      </c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</row>
    <row r="73" spans="5:67">
      <c r="E73" s="134"/>
      <c r="F73" s="251">
        <f>SUM(F57:F71)</f>
        <v>0</v>
      </c>
      <c r="G73" s="251">
        <f t="shared" ref="G73:AO73" si="4">SUM(G57:G71)</f>
        <v>0</v>
      </c>
      <c r="H73" s="251">
        <f t="shared" si="4"/>
        <v>0</v>
      </c>
      <c r="I73" s="251">
        <f t="shared" si="4"/>
        <v>0</v>
      </c>
      <c r="J73" s="251">
        <f t="shared" si="4"/>
        <v>0</v>
      </c>
      <c r="K73" s="251">
        <f t="shared" si="4"/>
        <v>0</v>
      </c>
      <c r="L73" s="251">
        <f t="shared" si="4"/>
        <v>0</v>
      </c>
      <c r="M73" s="251">
        <f t="shared" si="4"/>
        <v>0</v>
      </c>
      <c r="N73" s="251">
        <f t="shared" si="4"/>
        <v>0</v>
      </c>
      <c r="O73" s="251">
        <f t="shared" si="4"/>
        <v>0.47896953999999997</v>
      </c>
      <c r="P73" s="251">
        <f t="shared" si="4"/>
        <v>9.0038560000000004E-2</v>
      </c>
      <c r="Q73" s="251">
        <f t="shared" si="4"/>
        <v>0.18440139999999999</v>
      </c>
      <c r="R73" s="251">
        <f t="shared" si="4"/>
        <v>9.0038560000000004E-2</v>
      </c>
      <c r="S73" s="251">
        <f t="shared" si="4"/>
        <v>754.33705407660659</v>
      </c>
      <c r="T73" s="251">
        <f t="shared" si="4"/>
        <v>9.0038560000000004E-2</v>
      </c>
      <c r="U73" s="251">
        <f t="shared" si="4"/>
        <v>0.47896953999999997</v>
      </c>
      <c r="V73" s="251">
        <f t="shared" si="4"/>
        <v>0.18440139999999999</v>
      </c>
      <c r="W73" s="251">
        <f t="shared" si="4"/>
        <v>754.33705407660659</v>
      </c>
      <c r="X73" s="251">
        <f t="shared" si="4"/>
        <v>0.21977250000000001</v>
      </c>
      <c r="Y73" s="251">
        <f t="shared" si="4"/>
        <v>0.25919703999999999</v>
      </c>
      <c r="Z73" s="251">
        <f t="shared" si="4"/>
        <v>0.18440139999999999</v>
      </c>
      <c r="AA73" s="251">
        <f t="shared" si="4"/>
        <v>754.33705407660659</v>
      </c>
      <c r="AB73" s="251">
        <f t="shared" si="4"/>
        <v>5.6077400000000006E-2</v>
      </c>
      <c r="AC73" s="251">
        <f t="shared" si="4"/>
        <v>4.0304400000000004E-2</v>
      </c>
      <c r="AD73" s="251">
        <f t="shared" si="4"/>
        <v>9.0038560000000004E-2</v>
      </c>
      <c r="AE73" s="251">
        <f t="shared" si="4"/>
        <v>217.63525920401193</v>
      </c>
      <c r="AF73" s="251">
        <f t="shared" si="4"/>
        <v>0.12416072</v>
      </c>
      <c r="AG73" s="251">
        <f t="shared" si="4"/>
        <v>1.445899</v>
      </c>
      <c r="AH73" s="251">
        <f t="shared" si="4"/>
        <v>0.57429051399999997</v>
      </c>
      <c r="AI73" s="251">
        <f t="shared" si="4"/>
        <v>9.0038560000000004E-2</v>
      </c>
      <c r="AJ73" s="251">
        <f t="shared" si="4"/>
        <v>8.4139320000000004E-2</v>
      </c>
      <c r="AK73" s="251">
        <f t="shared" si="4"/>
        <v>8.4139320000000004E-2</v>
      </c>
      <c r="AL73" s="251">
        <f t="shared" si="4"/>
        <v>217.91110910401193</v>
      </c>
      <c r="AM73" s="251">
        <f t="shared" si="4"/>
        <v>5.5844999999999999E-2</v>
      </c>
      <c r="AN73" s="251">
        <f t="shared" si="4"/>
        <v>0.15410336000000002</v>
      </c>
      <c r="AO73" s="251">
        <f t="shared" si="4"/>
        <v>0.11616169999999999</v>
      </c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</row>
    <row r="74" spans="5:67">
      <c r="E74" s="134"/>
      <c r="F74" s="392" t="s">
        <v>366</v>
      </c>
      <c r="G74" s="392"/>
      <c r="H74" s="392"/>
      <c r="I74" s="392"/>
      <c r="J74" s="392"/>
      <c r="K74" s="392"/>
      <c r="L74" s="392"/>
      <c r="M74" s="392"/>
      <c r="N74" s="392"/>
      <c r="O74" s="392"/>
      <c r="P74" s="392"/>
      <c r="Q74" s="392"/>
      <c r="R74" s="392"/>
      <c r="S74" s="392"/>
      <c r="T74" s="392"/>
      <c r="U74" s="392"/>
      <c r="V74" s="392"/>
      <c r="W74" s="392"/>
      <c r="X74" s="392"/>
      <c r="Y74" s="392"/>
      <c r="Z74" s="392"/>
      <c r="AA74" s="392"/>
      <c r="AB74" s="392"/>
      <c r="AC74" s="392"/>
      <c r="AD74" s="392"/>
      <c r="AE74" s="392"/>
      <c r="AF74" s="392"/>
      <c r="AG74" s="392"/>
      <c r="AH74" s="392"/>
      <c r="AI74" s="392"/>
      <c r="AJ74" s="392"/>
      <c r="AK74" s="392"/>
      <c r="AL74" s="392"/>
      <c r="AM74" s="392"/>
      <c r="AN74" s="392"/>
      <c r="AO74" s="392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</row>
    <row r="75" spans="5:67">
      <c r="E75" s="13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</row>
    <row r="76" spans="5:67">
      <c r="E76" s="13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</row>
    <row r="77" spans="5:67">
      <c r="E77" s="13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</row>
    <row r="78" spans="5:67">
      <c r="E78" s="13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</row>
    <row r="79" spans="5:67">
      <c r="E79" s="13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</row>
    <row r="80" spans="5:67">
      <c r="E80" s="13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</row>
    <row r="81" spans="5:67">
      <c r="E81" s="13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</row>
    <row r="82" spans="5:67">
      <c r="E82" s="13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</row>
    <row r="83" spans="5:67" ht="235.95" customHeight="1">
      <c r="E83" s="134"/>
      <c r="F83" s="234" t="s">
        <v>333</v>
      </c>
      <c r="G83" s="234" t="s">
        <v>335</v>
      </c>
      <c r="H83" s="234" t="s">
        <v>336</v>
      </c>
      <c r="I83" s="234" t="s">
        <v>355</v>
      </c>
      <c r="J83" s="234" t="s">
        <v>377</v>
      </c>
      <c r="K83" s="234" t="s">
        <v>466</v>
      </c>
      <c r="L83" s="234" t="s">
        <v>467</v>
      </c>
      <c r="M83" s="234" t="s">
        <v>411</v>
      </c>
      <c r="N83" s="234" t="s">
        <v>459</v>
      </c>
      <c r="O83" s="235" t="s">
        <v>442</v>
      </c>
      <c r="P83" s="234" t="s">
        <v>409</v>
      </c>
      <c r="Q83" s="235" t="s">
        <v>412</v>
      </c>
      <c r="R83" s="234" t="s">
        <v>437</v>
      </c>
      <c r="S83" s="236" t="s">
        <v>430</v>
      </c>
      <c r="T83" s="234" t="s">
        <v>416</v>
      </c>
      <c r="U83" s="235" t="s">
        <v>441</v>
      </c>
      <c r="V83" s="235" t="s">
        <v>436</v>
      </c>
      <c r="W83" s="235" t="s">
        <v>433</v>
      </c>
      <c r="X83" s="235" t="s">
        <v>439</v>
      </c>
      <c r="Y83" s="236" t="s">
        <v>438</v>
      </c>
      <c r="Z83" s="236" t="s">
        <v>424</v>
      </c>
      <c r="AA83" s="236" t="s">
        <v>456</v>
      </c>
      <c r="AB83" s="236" t="s">
        <v>425</v>
      </c>
      <c r="AC83" s="236" t="s">
        <v>427</v>
      </c>
      <c r="AD83" s="236" t="s">
        <v>426</v>
      </c>
      <c r="AE83" s="236" t="s">
        <v>484</v>
      </c>
      <c r="AF83" s="238" t="s">
        <v>422</v>
      </c>
      <c r="AG83" s="238" t="s">
        <v>552</v>
      </c>
      <c r="AH83" s="236" t="s">
        <v>421</v>
      </c>
      <c r="AI83" s="234" t="s">
        <v>423</v>
      </c>
      <c r="AJ83" s="236" t="s">
        <v>515</v>
      </c>
      <c r="AK83" s="236" t="s">
        <v>517</v>
      </c>
      <c r="AL83" s="236" t="s">
        <v>445</v>
      </c>
      <c r="AM83" s="236" t="s">
        <v>446</v>
      </c>
      <c r="AN83" s="236" t="s">
        <v>447</v>
      </c>
      <c r="AO83" s="236" t="s">
        <v>457</v>
      </c>
      <c r="AP83" s="236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</row>
    <row r="84" spans="5:67">
      <c r="E84" s="134" t="s">
        <v>332</v>
      </c>
      <c r="F84" s="268">
        <f>Ore_to_PI!M52</f>
        <v>0.47896953999999997</v>
      </c>
      <c r="G84" s="268"/>
      <c r="H84" s="268"/>
      <c r="I84" s="268"/>
      <c r="J84" s="268"/>
      <c r="K84" s="268"/>
      <c r="L84" s="268"/>
      <c r="M84" s="268"/>
      <c r="N84" s="268"/>
      <c r="O84" s="268"/>
      <c r="P84" s="268"/>
      <c r="Q84" s="268"/>
      <c r="R84" s="268"/>
      <c r="S84" s="268"/>
      <c r="T84" s="268"/>
      <c r="U84" s="268"/>
      <c r="V84" s="268"/>
      <c r="W84" s="268"/>
      <c r="X84" s="268"/>
      <c r="Y84" s="268"/>
      <c r="Z84" s="268"/>
      <c r="AA84" s="268"/>
      <c r="AB84" s="268"/>
      <c r="AC84" s="268"/>
      <c r="AD84" s="268"/>
      <c r="AE84" s="268"/>
      <c r="AF84" s="268"/>
      <c r="AG84" s="268"/>
      <c r="AH84" s="268"/>
      <c r="AI84" s="268"/>
      <c r="AJ84" s="268"/>
      <c r="AK84" s="268"/>
      <c r="AL84" s="268"/>
      <c r="AM84" s="268"/>
      <c r="AN84" s="268"/>
      <c r="AO84" s="268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</row>
    <row r="85" spans="5:67" ht="16.05" customHeight="1">
      <c r="E85" s="232" t="s">
        <v>413</v>
      </c>
      <c r="F85" s="268"/>
      <c r="G85" s="268">
        <v>0.18440139999999999</v>
      </c>
      <c r="H85" s="268"/>
      <c r="I85" s="268"/>
      <c r="J85" s="268"/>
      <c r="K85" s="268"/>
      <c r="L85" s="268"/>
      <c r="M85" s="268"/>
      <c r="N85" s="268"/>
      <c r="O85" s="268"/>
      <c r="P85" s="268"/>
      <c r="Q85" s="268"/>
      <c r="R85" s="268"/>
      <c r="S85" s="268"/>
      <c r="T85" s="268"/>
      <c r="U85" s="268"/>
      <c r="V85" s="268"/>
      <c r="W85" s="268"/>
      <c r="X85" s="268"/>
      <c r="Y85" s="268"/>
      <c r="Z85" s="268"/>
      <c r="AA85" s="268"/>
      <c r="AB85" s="268"/>
      <c r="AC85" s="268"/>
      <c r="AD85" s="268"/>
      <c r="AE85" s="268"/>
      <c r="AF85" s="268"/>
      <c r="AG85" s="268"/>
      <c r="AH85" s="268"/>
      <c r="AI85" s="268"/>
      <c r="AJ85" s="268"/>
      <c r="AK85" s="268"/>
      <c r="AL85" s="268"/>
      <c r="AM85" s="268"/>
      <c r="AN85" s="268"/>
      <c r="AO85" s="268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</row>
    <row r="86" spans="5:67">
      <c r="E86" s="233" t="s">
        <v>356</v>
      </c>
      <c r="F86" s="268"/>
      <c r="G86" s="268"/>
      <c r="H86" s="268">
        <f>Ore_to_PI!M218</f>
        <v>754.33705407660659</v>
      </c>
      <c r="I86" s="268"/>
      <c r="J86" s="268"/>
      <c r="K86" s="268"/>
      <c r="L86" s="268"/>
      <c r="M86" s="268"/>
      <c r="N86" s="268"/>
      <c r="O86" s="268"/>
      <c r="P86" s="268"/>
      <c r="Q86" s="268"/>
      <c r="R86" s="268"/>
      <c r="S86" s="268"/>
      <c r="T86" s="268"/>
      <c r="U86" s="268"/>
      <c r="V86" s="268"/>
      <c r="W86" s="268"/>
      <c r="X86" s="268"/>
      <c r="Y86" s="268"/>
      <c r="Z86" s="268"/>
      <c r="AA86" s="268"/>
      <c r="AB86" s="268"/>
      <c r="AC86" s="268"/>
      <c r="AD86" s="268"/>
      <c r="AE86" s="268"/>
      <c r="AF86" s="268"/>
      <c r="AG86" s="268"/>
      <c r="AH86" s="268"/>
      <c r="AI86" s="268"/>
      <c r="AJ86" s="268"/>
      <c r="AK86" s="268"/>
      <c r="AL86" s="268"/>
      <c r="AM86" s="268"/>
      <c r="AN86" s="268"/>
      <c r="AO86" s="268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</row>
    <row r="87" spans="5:67">
      <c r="E87" s="134" t="s">
        <v>380</v>
      </c>
      <c r="F87" s="268"/>
      <c r="G87" s="268"/>
      <c r="H87" s="268"/>
      <c r="I87" s="269">
        <v>6.0012280000000001E-2</v>
      </c>
      <c r="J87" s="268"/>
      <c r="K87" s="268"/>
      <c r="L87" s="268"/>
      <c r="M87" s="268"/>
      <c r="N87" s="268"/>
      <c r="O87" s="268"/>
      <c r="P87" s="268"/>
      <c r="Q87" s="268"/>
      <c r="R87" s="268"/>
      <c r="S87" s="268"/>
      <c r="T87" s="268"/>
      <c r="U87" s="268"/>
      <c r="V87" s="268"/>
      <c r="W87" s="268"/>
      <c r="X87" s="268"/>
      <c r="Y87" s="268"/>
      <c r="Z87" s="268"/>
      <c r="AA87" s="268"/>
      <c r="AB87" s="268"/>
      <c r="AC87" s="268"/>
      <c r="AD87" s="268"/>
      <c r="AE87" s="268"/>
      <c r="AF87" s="268"/>
      <c r="AG87" s="268"/>
      <c r="AH87" s="268"/>
      <c r="AI87" s="268"/>
      <c r="AJ87" s="268"/>
      <c r="AK87" s="268"/>
      <c r="AL87" s="268"/>
      <c r="AM87" s="268"/>
      <c r="AN87" s="268"/>
      <c r="AO87" s="268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</row>
    <row r="88" spans="5:67" ht="16.05" customHeight="1">
      <c r="E88" s="134" t="s">
        <v>376</v>
      </c>
      <c r="F88" s="268"/>
      <c r="G88" s="268"/>
      <c r="H88" s="268"/>
      <c r="I88" s="268"/>
      <c r="J88" s="270">
        <v>1.604276E-2</v>
      </c>
      <c r="K88" s="268"/>
      <c r="L88" s="268"/>
      <c r="M88" s="268"/>
      <c r="N88" s="268"/>
      <c r="O88" s="268"/>
      <c r="P88" s="268"/>
      <c r="Q88" s="268"/>
      <c r="R88" s="268"/>
      <c r="S88" s="268"/>
      <c r="T88" s="268"/>
      <c r="U88" s="268"/>
      <c r="V88" s="268"/>
      <c r="W88" s="268"/>
      <c r="X88" s="268"/>
      <c r="Y88" s="268"/>
      <c r="Z88" s="268"/>
      <c r="AA88" s="268"/>
      <c r="AB88" s="268"/>
      <c r="AC88" s="268"/>
      <c r="AD88" s="268"/>
      <c r="AE88" s="268"/>
      <c r="AF88" s="268"/>
      <c r="AG88" s="268"/>
      <c r="AH88" s="268"/>
      <c r="AI88" s="268"/>
      <c r="AJ88" s="268"/>
      <c r="AK88" s="268"/>
      <c r="AL88" s="268"/>
      <c r="AM88" s="268"/>
      <c r="AN88" s="268"/>
      <c r="AO88" s="268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</row>
    <row r="89" spans="5:67">
      <c r="E89" s="134" t="s">
        <v>469</v>
      </c>
      <c r="F89" s="268"/>
      <c r="G89" s="268"/>
      <c r="H89" s="268"/>
      <c r="I89" s="268"/>
      <c r="J89" s="268"/>
      <c r="K89" s="268">
        <v>0.16731462</v>
      </c>
      <c r="L89" s="268"/>
      <c r="M89" s="268"/>
      <c r="N89" s="268"/>
      <c r="O89" s="268"/>
      <c r="P89" s="268"/>
      <c r="Q89" s="268"/>
      <c r="R89" s="268"/>
      <c r="S89" s="268"/>
      <c r="T89" s="268"/>
      <c r="U89" s="268"/>
      <c r="V89" s="268"/>
      <c r="W89" s="268"/>
      <c r="X89" s="268"/>
      <c r="Y89" s="268"/>
      <c r="Z89" s="268"/>
      <c r="AA89" s="268"/>
      <c r="AB89" s="268"/>
      <c r="AC89" s="268"/>
      <c r="AD89" s="268"/>
      <c r="AE89" s="268"/>
      <c r="AF89" s="268"/>
      <c r="AG89" s="268"/>
      <c r="AH89" s="268"/>
      <c r="AI89" s="268"/>
      <c r="AJ89" s="268"/>
      <c r="AK89" s="268"/>
      <c r="AL89" s="268"/>
      <c r="AM89" s="268"/>
      <c r="AN89" s="268"/>
      <c r="AO89" s="268"/>
      <c r="AP89" s="14"/>
      <c r="AQ89" s="14"/>
      <c r="AR89" s="14"/>
      <c r="AS89" s="14"/>
      <c r="AT89" s="238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</row>
    <row r="90" spans="5:67">
      <c r="E90" s="134" t="s">
        <v>468</v>
      </c>
      <c r="F90" s="268"/>
      <c r="G90" s="268"/>
      <c r="H90" s="268"/>
      <c r="I90" s="268"/>
      <c r="J90" s="268"/>
      <c r="K90" s="268"/>
      <c r="L90" s="268">
        <v>0.11423092</v>
      </c>
      <c r="M90" s="268"/>
      <c r="N90" s="268"/>
      <c r="O90" s="268"/>
      <c r="P90" s="268"/>
      <c r="Q90" s="268"/>
      <c r="R90" s="268"/>
      <c r="S90" s="268"/>
      <c r="T90" s="268"/>
      <c r="U90" s="268"/>
      <c r="V90" s="268"/>
      <c r="W90" s="268"/>
      <c r="X90" s="268"/>
      <c r="Y90" s="268"/>
      <c r="Z90" s="268"/>
      <c r="AA90" s="268"/>
      <c r="AB90" s="268"/>
      <c r="AC90" s="268"/>
      <c r="AD90" s="268"/>
      <c r="AE90" s="268"/>
      <c r="AF90" s="268"/>
      <c r="AG90" s="268"/>
      <c r="AH90" s="268"/>
      <c r="AI90" s="268"/>
      <c r="AJ90" s="268"/>
      <c r="AK90" s="268"/>
      <c r="AL90" s="268"/>
      <c r="AM90" s="268"/>
      <c r="AN90" s="268"/>
      <c r="AO90" s="268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</row>
    <row r="91" spans="5:67">
      <c r="E91" s="134" t="s">
        <v>410</v>
      </c>
      <c r="F91" s="268"/>
      <c r="G91" s="268"/>
      <c r="H91" s="268"/>
      <c r="I91" s="268"/>
      <c r="J91" s="268"/>
      <c r="K91" s="268"/>
      <c r="L91" s="268"/>
      <c r="M91" s="268">
        <v>0.1402688</v>
      </c>
      <c r="N91" s="268"/>
      <c r="O91" s="268"/>
      <c r="P91" s="268"/>
      <c r="Q91" s="268"/>
      <c r="R91" s="268"/>
      <c r="S91" s="268"/>
      <c r="T91" s="268"/>
      <c r="U91" s="268"/>
      <c r="V91" s="268"/>
      <c r="W91" s="268"/>
      <c r="X91" s="268"/>
      <c r="Y91" s="268"/>
      <c r="Z91" s="268"/>
      <c r="AA91" s="268"/>
      <c r="AB91" s="268"/>
      <c r="AC91" s="268"/>
      <c r="AD91" s="268"/>
      <c r="AE91" s="268"/>
      <c r="AF91" s="268"/>
      <c r="AG91" s="268"/>
      <c r="AH91" s="268"/>
      <c r="AI91" s="268"/>
      <c r="AJ91" s="268"/>
      <c r="AK91" s="268"/>
      <c r="AL91" s="268"/>
      <c r="AM91" s="268"/>
      <c r="AN91" s="268"/>
      <c r="AO91" s="268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</row>
    <row r="92" spans="5:67">
      <c r="E92" s="134" t="s">
        <v>458</v>
      </c>
      <c r="F92" s="268"/>
      <c r="G92" s="268"/>
      <c r="H92" s="268"/>
      <c r="I92" s="268"/>
      <c r="J92" s="268"/>
      <c r="K92" s="268"/>
      <c r="L92" s="268"/>
      <c r="M92" s="268"/>
      <c r="N92" s="268">
        <v>0</v>
      </c>
      <c r="O92" s="268"/>
      <c r="P92" s="268"/>
      <c r="Q92" s="268"/>
      <c r="R92" s="268"/>
      <c r="S92" s="268"/>
      <c r="T92" s="268"/>
      <c r="U92" s="268"/>
      <c r="V92" s="268"/>
      <c r="W92" s="268"/>
      <c r="X92" s="268"/>
      <c r="Y92" s="268"/>
      <c r="Z92" s="268"/>
      <c r="AA92" s="268"/>
      <c r="AB92" s="268"/>
      <c r="AC92" s="268"/>
      <c r="AD92" s="268"/>
      <c r="AE92" s="268"/>
      <c r="AF92" s="268"/>
      <c r="AG92" s="268"/>
      <c r="AH92" s="268"/>
      <c r="AI92" s="268"/>
      <c r="AJ92" s="268"/>
      <c r="AK92" s="268"/>
      <c r="AL92" s="268"/>
      <c r="AM92" s="268"/>
      <c r="AN92" s="268"/>
      <c r="AO92" s="268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</row>
    <row r="93" spans="5:67">
      <c r="E93" s="14"/>
      <c r="F93" s="392" t="s">
        <v>56</v>
      </c>
      <c r="G93" s="392"/>
      <c r="H93" s="392"/>
      <c r="I93" s="392"/>
      <c r="J93" s="392"/>
      <c r="K93" s="392"/>
      <c r="L93" s="392"/>
      <c r="M93" s="392"/>
      <c r="N93" s="392"/>
      <c r="O93" s="392"/>
      <c r="P93" s="392"/>
      <c r="Q93" s="392"/>
      <c r="R93" s="392"/>
      <c r="S93" s="392"/>
      <c r="T93" s="392"/>
      <c r="U93" s="392"/>
      <c r="V93" s="392"/>
      <c r="W93" s="392"/>
      <c r="X93" s="392"/>
      <c r="Y93" s="392"/>
      <c r="Z93" s="392"/>
      <c r="AA93" s="392"/>
      <c r="AB93" s="392"/>
      <c r="AC93" s="392"/>
      <c r="AD93" s="392"/>
      <c r="AE93" s="392"/>
      <c r="AF93" s="392"/>
      <c r="AG93" s="392"/>
      <c r="AH93" s="392"/>
      <c r="AI93" s="392"/>
      <c r="AJ93" s="392"/>
      <c r="AK93" s="392"/>
      <c r="AL93" s="392"/>
      <c r="AM93" s="392"/>
      <c r="AN93" s="392"/>
      <c r="AO93" s="392"/>
      <c r="AP93" s="252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</row>
    <row r="94" spans="5:67">
      <c r="E94" s="14"/>
      <c r="F94" s="251">
        <f>SUM(F84:F92)</f>
        <v>0.47896953999999997</v>
      </c>
      <c r="G94" s="251">
        <f t="shared" ref="G94:N94" si="5">SUM(G84:G92)</f>
        <v>0.18440139999999999</v>
      </c>
      <c r="H94" s="251">
        <f t="shared" si="5"/>
        <v>754.33705407660659</v>
      </c>
      <c r="I94" s="251">
        <f t="shared" si="5"/>
        <v>6.0012280000000001E-2</v>
      </c>
      <c r="J94" s="251">
        <f t="shared" si="5"/>
        <v>1.604276E-2</v>
      </c>
      <c r="K94" s="251">
        <f t="shared" si="5"/>
        <v>0.16731462</v>
      </c>
      <c r="L94" s="251">
        <f t="shared" si="5"/>
        <v>0.11423092</v>
      </c>
      <c r="M94" s="251">
        <f t="shared" si="5"/>
        <v>0.1402688</v>
      </c>
      <c r="N94" s="251">
        <f t="shared" si="5"/>
        <v>0</v>
      </c>
      <c r="O94" s="251">
        <v>0</v>
      </c>
      <c r="P94" s="251">
        <v>0</v>
      </c>
      <c r="Q94" s="251">
        <v>0</v>
      </c>
      <c r="R94" s="251">
        <v>0</v>
      </c>
      <c r="S94" s="251">
        <v>0</v>
      </c>
      <c r="T94" s="251">
        <v>0</v>
      </c>
      <c r="U94" s="251">
        <v>0</v>
      </c>
      <c r="V94" s="251">
        <v>0</v>
      </c>
      <c r="W94" s="251">
        <v>0</v>
      </c>
      <c r="X94" s="251">
        <v>0</v>
      </c>
      <c r="Y94" s="251">
        <v>0</v>
      </c>
      <c r="Z94" s="251">
        <v>0</v>
      </c>
      <c r="AA94" s="251">
        <v>0</v>
      </c>
      <c r="AB94" s="251">
        <v>0</v>
      </c>
      <c r="AC94" s="251">
        <v>0</v>
      </c>
      <c r="AD94" s="251">
        <v>0</v>
      </c>
      <c r="AE94" s="251">
        <v>0</v>
      </c>
      <c r="AF94" s="251">
        <v>0</v>
      </c>
      <c r="AG94" s="251">
        <v>0</v>
      </c>
      <c r="AH94" s="251">
        <v>0</v>
      </c>
      <c r="AI94" s="251">
        <v>0</v>
      </c>
      <c r="AJ94" s="251">
        <v>0</v>
      </c>
      <c r="AK94" s="251">
        <v>0</v>
      </c>
      <c r="AL94" s="251">
        <v>0</v>
      </c>
      <c r="AM94" s="251">
        <v>0</v>
      </c>
      <c r="AN94" s="251">
        <v>0</v>
      </c>
      <c r="AO94" s="251">
        <v>0</v>
      </c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</row>
    <row r="95" spans="5:67">
      <c r="F95" s="390" t="s">
        <v>367</v>
      </c>
      <c r="G95" s="390"/>
      <c r="H95" s="390"/>
      <c r="I95" s="390"/>
      <c r="J95" s="390"/>
      <c r="K95" s="390"/>
      <c r="L95" s="390"/>
      <c r="M95" s="390"/>
      <c r="N95" s="390"/>
      <c r="O95" s="390"/>
      <c r="P95" s="390"/>
      <c r="Q95" s="390"/>
      <c r="R95" s="390"/>
      <c r="S95" s="390"/>
      <c r="T95" s="390"/>
      <c r="U95" s="390"/>
      <c r="V95" s="390"/>
      <c r="W95" s="390"/>
      <c r="X95" s="390"/>
      <c r="Y95" s="390"/>
      <c r="Z95" s="390"/>
      <c r="AA95" s="390"/>
      <c r="AB95" s="390"/>
      <c r="AC95" s="390"/>
      <c r="AD95" s="390"/>
      <c r="AE95" s="390"/>
      <c r="AF95" s="390"/>
      <c r="AG95" s="390"/>
      <c r="AH95" s="390"/>
      <c r="AI95" s="390"/>
      <c r="AJ95" s="390"/>
      <c r="AK95" s="390"/>
      <c r="AL95" s="390"/>
      <c r="AM95" s="390"/>
      <c r="AN95" s="390"/>
      <c r="AO95" s="390"/>
    </row>
    <row r="102" spans="5:14">
      <c r="E102" s="134" t="s">
        <v>333</v>
      </c>
      <c r="F102" s="246">
        <f t="array" ref="F102:F137">TRANSPOSE(F94:AO94)</f>
        <v>0.47896953999999997</v>
      </c>
      <c r="G102" s="14"/>
      <c r="H102" s="246">
        <f t="array" ref="H102:H137">TRANSPOSE(F73:AO73)</f>
        <v>0</v>
      </c>
      <c r="I102" s="14"/>
      <c r="J102" s="246">
        <f>BI18</f>
        <v>0.47896953999999997</v>
      </c>
      <c r="K102" s="14"/>
      <c r="L102" s="246">
        <f t="array" ref="L102:L137">BP18:BP53</f>
        <v>0</v>
      </c>
      <c r="M102" s="14"/>
      <c r="N102" s="250">
        <f>F102+H102-J102-L102</f>
        <v>0</v>
      </c>
    </row>
    <row r="103" spans="5:14">
      <c r="E103" s="134" t="s">
        <v>335</v>
      </c>
      <c r="F103" s="246">
        <v>0.18440139999999999</v>
      </c>
      <c r="G103" s="14"/>
      <c r="H103" s="246">
        <v>0</v>
      </c>
      <c r="I103" s="14"/>
      <c r="J103" s="246">
        <f t="shared" ref="J103:J137" si="6">BI19</f>
        <v>0.18440139999999999</v>
      </c>
      <c r="K103" s="14"/>
      <c r="L103" s="246">
        <v>0</v>
      </c>
      <c r="M103" s="14"/>
      <c r="N103" s="250">
        <f t="shared" ref="N103:N137" si="7">F103+H103-J103-L103</f>
        <v>0</v>
      </c>
    </row>
    <row r="104" spans="5:14">
      <c r="E104" s="134" t="s">
        <v>336</v>
      </c>
      <c r="F104" s="246">
        <v>754.33705407660659</v>
      </c>
      <c r="G104" s="14"/>
      <c r="H104" s="246">
        <v>0</v>
      </c>
      <c r="I104" s="14"/>
      <c r="J104" s="246">
        <f t="shared" si="6"/>
        <v>754.33705407660659</v>
      </c>
      <c r="K104" s="14"/>
      <c r="L104" s="246">
        <v>0</v>
      </c>
      <c r="M104" s="14"/>
      <c r="N104" s="250">
        <f>F104+H104-J104-L104</f>
        <v>0</v>
      </c>
    </row>
    <row r="105" spans="5:14">
      <c r="E105" s="134" t="s">
        <v>355</v>
      </c>
      <c r="F105" s="246">
        <v>6.0012280000000001E-2</v>
      </c>
      <c r="G105" s="14"/>
      <c r="H105" s="246">
        <v>0</v>
      </c>
      <c r="I105" s="14"/>
      <c r="J105" s="246">
        <f t="shared" si="6"/>
        <v>0.36007368000000006</v>
      </c>
      <c r="K105" s="14"/>
      <c r="L105" s="246">
        <v>0</v>
      </c>
      <c r="M105" s="14"/>
      <c r="N105" s="250" t="s">
        <v>619</v>
      </c>
    </row>
    <row r="106" spans="5:14">
      <c r="E106" s="134" t="s">
        <v>377</v>
      </c>
      <c r="F106" s="246">
        <v>1.604276E-2</v>
      </c>
      <c r="G106" s="14"/>
      <c r="H106" s="246">
        <v>0</v>
      </c>
      <c r="I106" s="14"/>
      <c r="J106" s="246">
        <f t="shared" si="6"/>
        <v>4.8128279999999996E-2</v>
      </c>
      <c r="K106" s="14"/>
      <c r="L106" s="246">
        <v>0</v>
      </c>
      <c r="M106" s="14"/>
      <c r="N106" s="250" t="s">
        <v>619</v>
      </c>
    </row>
    <row r="107" spans="5:14">
      <c r="E107" s="134" t="s">
        <v>407</v>
      </c>
      <c r="F107" s="246">
        <v>0.16731462</v>
      </c>
      <c r="G107" s="14"/>
      <c r="H107" s="246">
        <v>0</v>
      </c>
      <c r="I107" s="14"/>
      <c r="J107" s="246">
        <f t="shared" si="6"/>
        <v>0.50194386000000002</v>
      </c>
      <c r="K107" s="14"/>
      <c r="L107" s="246">
        <v>0</v>
      </c>
      <c r="M107" s="14"/>
      <c r="N107" s="250" t="s">
        <v>619</v>
      </c>
    </row>
    <row r="108" spans="5:14">
      <c r="E108" s="134" t="s">
        <v>408</v>
      </c>
      <c r="F108" s="246">
        <v>0.11423092</v>
      </c>
      <c r="G108" s="14"/>
      <c r="H108" s="246">
        <v>0</v>
      </c>
      <c r="I108" s="14"/>
      <c r="J108" s="246">
        <f t="shared" si="6"/>
        <v>0.11423092</v>
      </c>
      <c r="K108" s="14"/>
      <c r="L108" s="246">
        <v>0</v>
      </c>
      <c r="M108" s="14"/>
      <c r="N108" s="250">
        <f t="shared" si="7"/>
        <v>0</v>
      </c>
    </row>
    <row r="109" spans="5:14">
      <c r="E109" s="134" t="s">
        <v>411</v>
      </c>
      <c r="F109" s="246">
        <v>0.1402688</v>
      </c>
      <c r="G109" s="14"/>
      <c r="H109" s="246">
        <v>0</v>
      </c>
      <c r="I109" s="14"/>
      <c r="J109" s="246">
        <f t="shared" si="6"/>
        <v>0.1402688</v>
      </c>
      <c r="K109" s="14"/>
      <c r="L109" s="246">
        <v>0</v>
      </c>
      <c r="M109" s="14"/>
      <c r="N109" s="250">
        <f t="shared" si="7"/>
        <v>0</v>
      </c>
    </row>
    <row r="110" spans="5:14">
      <c r="E110" s="134" t="s">
        <v>459</v>
      </c>
      <c r="F110" s="246">
        <v>0</v>
      </c>
      <c r="G110" s="14"/>
      <c r="H110" s="246">
        <v>0</v>
      </c>
      <c r="I110" s="14"/>
      <c r="J110" s="246">
        <f t="shared" si="6"/>
        <v>0</v>
      </c>
      <c r="K110" s="14"/>
      <c r="L110" s="246">
        <v>0</v>
      </c>
      <c r="M110" s="14"/>
      <c r="N110" s="250">
        <f t="shared" si="7"/>
        <v>0</v>
      </c>
    </row>
    <row r="111" spans="5:14" ht="16.05" customHeight="1">
      <c r="E111" s="232" t="s">
        <v>442</v>
      </c>
      <c r="F111" s="246">
        <v>0</v>
      </c>
      <c r="G111" s="14"/>
      <c r="H111" s="246">
        <v>0.47896953999999997</v>
      </c>
      <c r="I111" s="14"/>
      <c r="J111" s="246">
        <f t="shared" si="6"/>
        <v>0.47896953999999997</v>
      </c>
      <c r="K111" s="14"/>
      <c r="L111" s="246">
        <v>0</v>
      </c>
      <c r="M111" s="14"/>
      <c r="N111" s="250">
        <f t="shared" si="7"/>
        <v>0</v>
      </c>
    </row>
    <row r="112" spans="5:14">
      <c r="E112" s="134" t="s">
        <v>409</v>
      </c>
      <c r="F112" s="246">
        <v>0</v>
      </c>
      <c r="G112" s="14"/>
      <c r="H112" s="246">
        <v>9.0038560000000004E-2</v>
      </c>
      <c r="I112" s="14"/>
      <c r="J112" s="246">
        <f t="shared" si="6"/>
        <v>0</v>
      </c>
      <c r="K112" s="14"/>
      <c r="L112" s="246">
        <v>9.0038560000000004E-2</v>
      </c>
      <c r="M112" s="14"/>
      <c r="N112" s="250">
        <f t="shared" si="7"/>
        <v>0</v>
      </c>
    </row>
    <row r="113" spans="5:14" ht="16.05" customHeight="1">
      <c r="E113" s="232" t="s">
        <v>412</v>
      </c>
      <c r="F113" s="246">
        <v>0</v>
      </c>
      <c r="G113" s="14"/>
      <c r="H113" s="246">
        <v>0.18440139999999999</v>
      </c>
      <c r="I113" s="14"/>
      <c r="J113" s="246">
        <f t="shared" si="6"/>
        <v>0.18440139999999999</v>
      </c>
      <c r="K113" s="14"/>
      <c r="L113" s="246">
        <v>0</v>
      </c>
      <c r="M113" s="14"/>
      <c r="N113" s="250">
        <f t="shared" si="7"/>
        <v>0</v>
      </c>
    </row>
    <row r="114" spans="5:14">
      <c r="E114" s="134" t="s">
        <v>437</v>
      </c>
      <c r="F114" s="246">
        <v>0</v>
      </c>
      <c r="G114" s="14"/>
      <c r="H114" s="246">
        <v>9.0038560000000004E-2</v>
      </c>
      <c r="I114" s="14"/>
      <c r="J114" s="246">
        <f t="shared" si="6"/>
        <v>0</v>
      </c>
      <c r="K114" s="14"/>
      <c r="L114" s="246">
        <v>9.0038560000000004E-2</v>
      </c>
      <c r="M114" s="14"/>
      <c r="N114" s="250">
        <f t="shared" si="7"/>
        <v>0</v>
      </c>
    </row>
    <row r="115" spans="5:14">
      <c r="E115" s="233" t="s">
        <v>430</v>
      </c>
      <c r="F115" s="246">
        <v>0</v>
      </c>
      <c r="G115" s="52" t="s">
        <v>371</v>
      </c>
      <c r="H115" s="246">
        <v>754.33705407660659</v>
      </c>
      <c r="I115" s="52" t="s">
        <v>373</v>
      </c>
      <c r="J115" s="246">
        <f t="shared" si="6"/>
        <v>754.33705407660659</v>
      </c>
      <c r="K115" s="52" t="s">
        <v>373</v>
      </c>
      <c r="L115" s="246">
        <v>0</v>
      </c>
      <c r="M115" s="52" t="s">
        <v>374</v>
      </c>
      <c r="N115" s="250">
        <f t="shared" si="7"/>
        <v>0</v>
      </c>
    </row>
    <row r="116" spans="5:14">
      <c r="E116" s="134" t="s">
        <v>416</v>
      </c>
      <c r="F116" s="246">
        <v>0</v>
      </c>
      <c r="G116" s="14"/>
      <c r="H116" s="246">
        <v>9.0038560000000004E-2</v>
      </c>
      <c r="I116" s="14"/>
      <c r="J116" s="246">
        <f t="shared" si="6"/>
        <v>0</v>
      </c>
      <c r="K116" s="14"/>
      <c r="L116" s="246">
        <v>9.0038560000000004E-2</v>
      </c>
      <c r="M116" s="14"/>
      <c r="N116" s="250">
        <f t="shared" si="7"/>
        <v>0</v>
      </c>
    </row>
    <row r="117" spans="5:14" ht="16.05" customHeight="1">
      <c r="E117" s="232" t="s">
        <v>441</v>
      </c>
      <c r="F117" s="246">
        <v>0</v>
      </c>
      <c r="G117" s="14"/>
      <c r="H117" s="246">
        <v>0.47896953999999997</v>
      </c>
      <c r="I117" s="14"/>
      <c r="J117" s="246">
        <f t="shared" si="6"/>
        <v>0.47896953999999997</v>
      </c>
      <c r="K117" s="14"/>
      <c r="L117" s="246">
        <v>0</v>
      </c>
      <c r="M117" s="14"/>
      <c r="N117" s="250">
        <f t="shared" si="7"/>
        <v>0</v>
      </c>
    </row>
    <row r="118" spans="5:14" ht="16.05" customHeight="1">
      <c r="E118" s="232" t="s">
        <v>436</v>
      </c>
      <c r="F118" s="246">
        <v>0</v>
      </c>
      <c r="G118" s="14"/>
      <c r="H118" s="246">
        <v>0.18440139999999999</v>
      </c>
      <c r="I118" s="14"/>
      <c r="J118" s="246">
        <f t="shared" si="6"/>
        <v>0.18440139999999999</v>
      </c>
      <c r="K118" s="14"/>
      <c r="L118" s="246">
        <v>0</v>
      </c>
      <c r="M118" s="14"/>
      <c r="N118" s="250">
        <f t="shared" si="7"/>
        <v>0</v>
      </c>
    </row>
    <row r="119" spans="5:14" ht="16.05" customHeight="1">
      <c r="E119" s="232" t="s">
        <v>433</v>
      </c>
      <c r="F119" s="246">
        <v>0</v>
      </c>
      <c r="G119" s="14"/>
      <c r="H119" s="246">
        <v>754.33705407660659</v>
      </c>
      <c r="I119" s="14"/>
      <c r="J119" s="246">
        <f t="shared" si="6"/>
        <v>754.33705407660659</v>
      </c>
      <c r="K119" s="14"/>
      <c r="L119" s="246">
        <v>0</v>
      </c>
      <c r="M119" s="14"/>
      <c r="N119" s="250">
        <f t="shared" si="7"/>
        <v>0</v>
      </c>
    </row>
    <row r="120" spans="5:14" ht="16.05" customHeight="1">
      <c r="E120" s="232" t="s">
        <v>439</v>
      </c>
      <c r="F120" s="246">
        <v>0</v>
      </c>
      <c r="G120" s="14"/>
      <c r="H120" s="246">
        <v>0.21977250000000001</v>
      </c>
      <c r="I120" s="14"/>
      <c r="J120" s="246">
        <f t="shared" si="6"/>
        <v>0.21977250000000001</v>
      </c>
      <c r="K120" s="14"/>
      <c r="L120" s="246">
        <v>0</v>
      </c>
      <c r="M120" s="14"/>
      <c r="N120" s="250">
        <f t="shared" si="7"/>
        <v>0</v>
      </c>
    </row>
    <row r="121" spans="5:14">
      <c r="E121" s="233" t="s">
        <v>438</v>
      </c>
      <c r="F121" s="246">
        <v>0</v>
      </c>
      <c r="G121" s="14"/>
      <c r="H121" s="246">
        <v>0.25919703999999999</v>
      </c>
      <c r="I121" s="14"/>
      <c r="J121" s="246">
        <f t="shared" si="6"/>
        <v>0</v>
      </c>
      <c r="K121" s="14"/>
      <c r="L121" s="246">
        <v>0.25919703999999999</v>
      </c>
      <c r="M121" s="14"/>
      <c r="N121" s="250">
        <f t="shared" si="7"/>
        <v>0</v>
      </c>
    </row>
    <row r="122" spans="5:14">
      <c r="E122" s="233" t="s">
        <v>424</v>
      </c>
      <c r="F122" s="246">
        <v>0</v>
      </c>
      <c r="G122" s="14"/>
      <c r="H122" s="246">
        <v>0.18440139999999999</v>
      </c>
      <c r="I122" s="14"/>
      <c r="J122" s="246">
        <f t="shared" si="6"/>
        <v>0.18440139999999999</v>
      </c>
      <c r="K122" s="14"/>
      <c r="L122" s="246">
        <v>0</v>
      </c>
      <c r="M122" s="14"/>
      <c r="N122" s="250">
        <f t="shared" si="7"/>
        <v>0</v>
      </c>
    </row>
    <row r="123" spans="5:14">
      <c r="E123" s="233" t="s">
        <v>456</v>
      </c>
      <c r="F123" s="246">
        <v>0</v>
      </c>
      <c r="G123" s="14"/>
      <c r="H123" s="246">
        <v>754.33705407660659</v>
      </c>
      <c r="I123" s="14"/>
      <c r="J123" s="246">
        <f t="shared" si="6"/>
        <v>754.33705407660659</v>
      </c>
      <c r="K123" s="14"/>
      <c r="L123" s="246">
        <v>0</v>
      </c>
      <c r="M123" s="14"/>
      <c r="N123" s="250">
        <f t="shared" si="7"/>
        <v>0</v>
      </c>
    </row>
    <row r="124" spans="5:14">
      <c r="E124" s="233" t="s">
        <v>425</v>
      </c>
      <c r="F124" s="246">
        <v>0</v>
      </c>
      <c r="G124" s="14"/>
      <c r="H124" s="246">
        <v>5.6077400000000006E-2</v>
      </c>
      <c r="I124" s="14"/>
      <c r="J124" s="246">
        <f t="shared" si="6"/>
        <v>5.6077400000000006E-2</v>
      </c>
      <c r="K124" s="14"/>
      <c r="L124" s="246">
        <v>0</v>
      </c>
      <c r="M124" s="14"/>
      <c r="N124" s="250">
        <f t="shared" si="7"/>
        <v>0</v>
      </c>
    </row>
    <row r="125" spans="5:14">
      <c r="E125" s="233" t="s">
        <v>427</v>
      </c>
      <c r="F125" s="246">
        <v>0</v>
      </c>
      <c r="G125" s="14"/>
      <c r="H125" s="246">
        <v>4.0304400000000004E-2</v>
      </c>
      <c r="I125" s="14"/>
      <c r="J125" s="246">
        <f t="shared" si="6"/>
        <v>0</v>
      </c>
      <c r="K125" s="14"/>
      <c r="L125" s="246">
        <v>4.0304400000000004E-2</v>
      </c>
      <c r="M125" s="14"/>
      <c r="N125" s="250">
        <f t="shared" si="7"/>
        <v>0</v>
      </c>
    </row>
    <row r="126" spans="5:14">
      <c r="E126" s="233" t="s">
        <v>426</v>
      </c>
      <c r="F126" s="246">
        <v>0</v>
      </c>
      <c r="G126" s="14"/>
      <c r="H126" s="246">
        <v>9.0038560000000004E-2</v>
      </c>
      <c r="I126" s="14"/>
      <c r="J126" s="246">
        <f t="shared" si="6"/>
        <v>0</v>
      </c>
      <c r="K126" s="14"/>
      <c r="L126" s="246">
        <v>9.0038560000000004E-2</v>
      </c>
      <c r="M126" s="14"/>
      <c r="N126" s="250">
        <f t="shared" si="7"/>
        <v>0</v>
      </c>
    </row>
    <row r="127" spans="5:14">
      <c r="E127" s="233" t="s">
        <v>484</v>
      </c>
      <c r="F127" s="246">
        <v>0</v>
      </c>
      <c r="G127" s="14"/>
      <c r="H127" s="246">
        <v>217.63525920401193</v>
      </c>
      <c r="I127" s="14"/>
      <c r="J127" s="246">
        <f t="shared" si="6"/>
        <v>217.63525920401193</v>
      </c>
      <c r="K127" s="14"/>
      <c r="L127" s="246">
        <v>0</v>
      </c>
      <c r="M127" s="14"/>
      <c r="N127" s="250">
        <f t="shared" si="7"/>
        <v>0</v>
      </c>
    </row>
    <row r="128" spans="5:14" ht="16.05" customHeight="1">
      <c r="E128" s="247" t="s">
        <v>422</v>
      </c>
      <c r="F128" s="246">
        <v>0</v>
      </c>
      <c r="G128" s="14"/>
      <c r="H128" s="246">
        <v>0.12416072</v>
      </c>
      <c r="I128" s="14"/>
      <c r="J128" s="246">
        <f t="shared" si="6"/>
        <v>0.12416072</v>
      </c>
      <c r="K128" s="14"/>
      <c r="L128" s="246">
        <v>0</v>
      </c>
      <c r="M128" s="14"/>
      <c r="N128" s="250">
        <f t="shared" si="7"/>
        <v>0</v>
      </c>
    </row>
    <row r="129" spans="5:14" ht="16.05" customHeight="1">
      <c r="E129" s="247" t="s">
        <v>552</v>
      </c>
      <c r="F129" s="246">
        <v>0</v>
      </c>
      <c r="G129" s="14"/>
      <c r="H129" s="246">
        <v>1.445899</v>
      </c>
      <c r="I129" s="14"/>
      <c r="J129" s="246">
        <f t="shared" si="6"/>
        <v>0</v>
      </c>
      <c r="K129" s="14"/>
      <c r="L129" s="246">
        <v>1.445899</v>
      </c>
      <c r="M129" s="14"/>
      <c r="N129" s="250">
        <f t="shared" si="7"/>
        <v>0</v>
      </c>
    </row>
    <row r="130" spans="5:14">
      <c r="E130" s="233" t="s">
        <v>421</v>
      </c>
      <c r="F130" s="246">
        <v>0</v>
      </c>
      <c r="G130" s="14"/>
      <c r="H130" s="246">
        <v>0.57429051399999997</v>
      </c>
      <c r="I130" s="14"/>
      <c r="J130" s="246">
        <f t="shared" si="6"/>
        <v>0</v>
      </c>
      <c r="K130" s="14"/>
      <c r="L130" s="246">
        <v>0.57429051399999997</v>
      </c>
      <c r="M130" s="14"/>
      <c r="N130" s="250">
        <f t="shared" si="7"/>
        <v>0</v>
      </c>
    </row>
    <row r="131" spans="5:14">
      <c r="E131" s="134" t="s">
        <v>423</v>
      </c>
      <c r="F131" s="246">
        <v>0</v>
      </c>
      <c r="G131" s="14"/>
      <c r="H131" s="246">
        <v>9.0038560000000004E-2</v>
      </c>
      <c r="I131" s="14"/>
      <c r="J131" s="246">
        <f t="shared" si="6"/>
        <v>0</v>
      </c>
      <c r="K131" s="14"/>
      <c r="L131" s="246">
        <v>9.0038560000000004E-2</v>
      </c>
      <c r="M131" s="14"/>
      <c r="N131" s="250">
        <f t="shared" si="7"/>
        <v>0</v>
      </c>
    </row>
    <row r="132" spans="5:14">
      <c r="E132" s="233" t="s">
        <v>515</v>
      </c>
      <c r="F132" s="246">
        <v>0</v>
      </c>
      <c r="G132" s="14"/>
      <c r="H132" s="246">
        <v>8.4139320000000004E-2</v>
      </c>
      <c r="I132" s="14"/>
      <c r="J132" s="246">
        <f t="shared" si="6"/>
        <v>8.4139320000000004E-2</v>
      </c>
      <c r="K132" s="14"/>
      <c r="L132" s="246">
        <v>0</v>
      </c>
      <c r="M132" s="14"/>
      <c r="N132" s="250">
        <f t="shared" si="7"/>
        <v>0</v>
      </c>
    </row>
    <row r="133" spans="5:14">
      <c r="E133" s="233" t="s">
        <v>517</v>
      </c>
      <c r="F133" s="246">
        <v>0</v>
      </c>
      <c r="G133" s="14"/>
      <c r="H133" s="246">
        <v>8.4139320000000004E-2</v>
      </c>
      <c r="I133" s="14"/>
      <c r="J133" s="246">
        <f t="shared" si="6"/>
        <v>8.4139320000000004E-2</v>
      </c>
      <c r="K133" s="14"/>
      <c r="L133" s="246">
        <v>8.4139320000000004E-2</v>
      </c>
      <c r="M133" s="14"/>
      <c r="N133" s="250" t="s">
        <v>619</v>
      </c>
    </row>
    <row r="134" spans="5:14">
      <c r="E134" s="233" t="s">
        <v>445</v>
      </c>
      <c r="F134" s="246">
        <v>0</v>
      </c>
      <c r="G134" s="14"/>
      <c r="H134" s="246">
        <v>217.91110910401193</v>
      </c>
      <c r="I134" s="14"/>
      <c r="J134" s="246">
        <f t="shared" si="6"/>
        <v>217.91110910401193</v>
      </c>
      <c r="K134" s="14"/>
      <c r="L134" s="246">
        <v>0</v>
      </c>
      <c r="M134" s="14"/>
      <c r="N134" s="250">
        <f t="shared" si="7"/>
        <v>0</v>
      </c>
    </row>
    <row r="135" spans="5:14">
      <c r="E135" s="233" t="s">
        <v>446</v>
      </c>
      <c r="F135" s="246">
        <v>0</v>
      </c>
      <c r="G135" s="14"/>
      <c r="H135" s="246">
        <v>5.5844999999999999E-2</v>
      </c>
      <c r="I135" s="14"/>
      <c r="J135" s="246">
        <f t="shared" si="6"/>
        <v>0</v>
      </c>
      <c r="K135" s="14"/>
      <c r="L135" s="246">
        <v>5.5844999999999999E-2</v>
      </c>
      <c r="M135" s="14"/>
      <c r="N135" s="250">
        <f t="shared" si="7"/>
        <v>0</v>
      </c>
    </row>
    <row r="136" spans="5:14">
      <c r="E136" s="233" t="s">
        <v>447</v>
      </c>
      <c r="F136" s="246">
        <v>0</v>
      </c>
      <c r="G136" s="14"/>
      <c r="H136" s="246">
        <v>0.15410336000000002</v>
      </c>
      <c r="I136" s="14"/>
      <c r="J136" s="246">
        <f t="shared" si="6"/>
        <v>0</v>
      </c>
      <c r="K136" s="14"/>
      <c r="L136" s="246">
        <v>0.15410336000000002</v>
      </c>
      <c r="M136" s="14"/>
      <c r="N136" s="250">
        <f t="shared" si="7"/>
        <v>0</v>
      </c>
    </row>
    <row r="137" spans="5:14">
      <c r="E137" s="233" t="s">
        <v>457</v>
      </c>
      <c r="F137" s="246">
        <v>0</v>
      </c>
      <c r="G137" s="14"/>
      <c r="H137" s="246">
        <v>0.11616169999999999</v>
      </c>
      <c r="I137" s="14"/>
      <c r="J137" s="246">
        <f t="shared" si="6"/>
        <v>0</v>
      </c>
      <c r="K137" s="14"/>
      <c r="L137" s="246">
        <v>0.11616169999999999</v>
      </c>
      <c r="M137" s="14"/>
      <c r="N137" s="250">
        <f t="shared" si="7"/>
        <v>0</v>
      </c>
    </row>
    <row r="138" spans="5:14" ht="16.95" customHeight="1">
      <c r="E138" s="233"/>
      <c r="F138" s="14" t="s">
        <v>370</v>
      </c>
      <c r="G138" s="14"/>
      <c r="H138" s="14" t="s">
        <v>372</v>
      </c>
      <c r="I138" s="14"/>
      <c r="J138" s="52" t="s">
        <v>369</v>
      </c>
      <c r="K138" s="14"/>
      <c r="L138" s="52" t="s">
        <v>38</v>
      </c>
      <c r="M138" s="14"/>
      <c r="N138" s="52">
        <f>SUM(N102:N137)</f>
        <v>0</v>
      </c>
    </row>
  </sheetData>
  <mergeCells count="7">
    <mergeCell ref="F95:AO95"/>
    <mergeCell ref="F93:AO93"/>
    <mergeCell ref="F54:G54"/>
    <mergeCell ref="AT54:BH54"/>
    <mergeCell ref="BN54:BO54"/>
    <mergeCell ref="F72:AO72"/>
    <mergeCell ref="F74:AO74"/>
  </mergeCells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E17:BP160"/>
  <sheetViews>
    <sheetView topLeftCell="A124" zoomScale="69" workbookViewId="0">
      <selection activeCell="E99" sqref="E99:N161"/>
    </sheetView>
  </sheetViews>
  <sheetFormatPr defaultColWidth="11.5546875" defaultRowHeight="14.4"/>
  <cols>
    <col min="14" max="14" width="12.6640625" customWidth="1"/>
  </cols>
  <sheetData>
    <row r="17" spans="5:68" ht="112.05" customHeight="1">
      <c r="AT17" s="234" t="s">
        <v>325</v>
      </c>
      <c r="AU17" s="234" t="s">
        <v>326</v>
      </c>
      <c r="AV17" s="234" t="s">
        <v>327</v>
      </c>
      <c r="AW17" s="234" t="s">
        <v>455</v>
      </c>
      <c r="AX17" s="234" t="s">
        <v>435</v>
      </c>
      <c r="AY17" s="234" t="s">
        <v>434</v>
      </c>
      <c r="AZ17" s="234" t="s">
        <v>351</v>
      </c>
      <c r="BA17" s="234" t="s">
        <v>348</v>
      </c>
      <c r="BB17" s="234" t="s">
        <v>362</v>
      </c>
      <c r="BC17" s="234" t="s">
        <v>349</v>
      </c>
      <c r="BD17" s="234" t="s">
        <v>344</v>
      </c>
      <c r="BE17" s="234" t="s">
        <v>514</v>
      </c>
      <c r="BF17" s="234" t="s">
        <v>516</v>
      </c>
      <c r="BG17" s="234" t="s">
        <v>76</v>
      </c>
      <c r="BH17" s="234" t="s">
        <v>337</v>
      </c>
    </row>
    <row r="18" spans="5:68"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34"/>
      <c r="AK18" s="14"/>
      <c r="AL18" s="14"/>
      <c r="AM18" s="14"/>
      <c r="AN18" s="14"/>
      <c r="AO18" s="14"/>
      <c r="AP18" s="14"/>
      <c r="AQ18" s="14"/>
      <c r="AR18" s="14"/>
      <c r="AS18" s="134" t="s">
        <v>333</v>
      </c>
      <c r="AT18" s="254">
        <f>MCC_M_RUVY_matrices_mat_level!AR83*MCC_h_RUVY_matrices_mat_level!AR83 /MCC_MW_RUVY_matrices_mat_level!AT18</f>
        <v>-1777985.4355511186</v>
      </c>
      <c r="AU18" s="254">
        <v>0</v>
      </c>
      <c r="AV18" s="254">
        <v>0</v>
      </c>
      <c r="AW18" s="254">
        <v>0</v>
      </c>
      <c r="AX18" s="254">
        <v>0</v>
      </c>
      <c r="AY18" s="254">
        <v>0</v>
      </c>
      <c r="AZ18" s="254">
        <v>0</v>
      </c>
      <c r="BA18" s="254">
        <v>0</v>
      </c>
      <c r="BB18" s="254">
        <v>0</v>
      </c>
      <c r="BC18" s="254">
        <v>0</v>
      </c>
      <c r="BD18" s="254">
        <v>0</v>
      </c>
      <c r="BE18" s="254">
        <v>0</v>
      </c>
      <c r="BF18" s="254">
        <v>0</v>
      </c>
      <c r="BG18" s="254">
        <v>0</v>
      </c>
      <c r="BH18" s="254">
        <v>0</v>
      </c>
      <c r="BI18" s="253">
        <f>SUM(AT18:BH18)</f>
        <v>-1777985.4355511186</v>
      </c>
      <c r="BJ18" s="14"/>
      <c r="BK18" s="14"/>
      <c r="BL18" s="134"/>
      <c r="BM18" s="134" t="s">
        <v>333</v>
      </c>
      <c r="BN18" s="256">
        <v>0</v>
      </c>
      <c r="BO18" s="256">
        <v>0</v>
      </c>
      <c r="BP18" s="253">
        <f>SUM(BN18:BO18)</f>
        <v>0</v>
      </c>
    </row>
    <row r="19" spans="5:68"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34"/>
      <c r="AK19" s="14"/>
      <c r="AL19" s="14"/>
      <c r="AM19" s="14"/>
      <c r="AN19" s="14"/>
      <c r="AO19" s="14"/>
      <c r="AP19" s="14"/>
      <c r="AQ19" s="14"/>
      <c r="AR19" s="14"/>
      <c r="AS19" s="134" t="s">
        <v>335</v>
      </c>
      <c r="AT19" s="254">
        <v>0</v>
      </c>
      <c r="AU19" s="254">
        <f>MCC_M_RUVY_matrices_mat_level!AS84*MCC_h_RUVY_matrices_mat_level!AS84 /MCC_MW_RUVY_matrices_mat_level!AU19</f>
        <v>-1359457.7959575919</v>
      </c>
      <c r="AV19" s="254">
        <v>0</v>
      </c>
      <c r="AW19" s="254">
        <v>0</v>
      </c>
      <c r="AX19" s="254">
        <v>0</v>
      </c>
      <c r="AY19" s="254">
        <v>0</v>
      </c>
      <c r="AZ19" s="254">
        <v>0</v>
      </c>
      <c r="BA19" s="254">
        <v>0</v>
      </c>
      <c r="BB19" s="254">
        <v>0</v>
      </c>
      <c r="BC19" s="254">
        <v>0</v>
      </c>
      <c r="BD19" s="254">
        <v>0</v>
      </c>
      <c r="BE19" s="254">
        <v>0</v>
      </c>
      <c r="BF19" s="254">
        <v>0</v>
      </c>
      <c r="BG19" s="254">
        <v>0</v>
      </c>
      <c r="BH19" s="254">
        <v>0</v>
      </c>
      <c r="BI19" s="253">
        <f t="shared" ref="BI19:BI53" si="0">SUM(AT19:BH19)</f>
        <v>-1359457.7959575919</v>
      </c>
      <c r="BJ19" s="14"/>
      <c r="BK19" s="14"/>
      <c r="BL19" s="134"/>
      <c r="BM19" s="134" t="s">
        <v>335</v>
      </c>
      <c r="BN19" s="256">
        <v>0</v>
      </c>
      <c r="BO19" s="256">
        <v>0</v>
      </c>
      <c r="BP19" s="253">
        <f t="shared" ref="BP19:BP53" si="1">SUM(BN19:BO19)</f>
        <v>0</v>
      </c>
    </row>
    <row r="20" spans="5:68"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34"/>
      <c r="AK20" s="14"/>
      <c r="AL20" s="14"/>
      <c r="AM20" s="14"/>
      <c r="AN20" s="14"/>
      <c r="AO20" s="14"/>
      <c r="AP20" s="14"/>
      <c r="AQ20" s="14"/>
      <c r="AR20" s="14"/>
      <c r="AS20" s="134" t="s">
        <v>336</v>
      </c>
      <c r="AT20" s="254">
        <v>0</v>
      </c>
      <c r="AU20" s="254">
        <v>0</v>
      </c>
      <c r="AV20" s="254">
        <f>MCC_M_RUVY_matrices_mat_level!AT85*MCC_h_RUVY_matrices_mat_level!AT85 /MCC_MW_RUVY_matrices_mat_level!AV20</f>
        <v>9126570.1860198174</v>
      </c>
      <c r="AW20" s="254">
        <v>0</v>
      </c>
      <c r="AX20" s="254">
        <v>0</v>
      </c>
      <c r="AY20" s="254">
        <v>0</v>
      </c>
      <c r="AZ20" s="254">
        <v>0</v>
      </c>
      <c r="BA20" s="254">
        <v>0</v>
      </c>
      <c r="BB20" s="254">
        <v>0</v>
      </c>
      <c r="BC20" s="254">
        <v>0</v>
      </c>
      <c r="BD20" s="254">
        <v>0</v>
      </c>
      <c r="BE20" s="254">
        <v>0</v>
      </c>
      <c r="BF20" s="254">
        <v>0</v>
      </c>
      <c r="BG20" s="254">
        <v>0</v>
      </c>
      <c r="BH20" s="254">
        <v>0</v>
      </c>
      <c r="BI20" s="253">
        <f t="shared" si="0"/>
        <v>9126570.1860198174</v>
      </c>
      <c r="BJ20" s="14"/>
      <c r="BK20" s="14"/>
      <c r="BL20" s="134"/>
      <c r="BM20" s="134" t="s">
        <v>336</v>
      </c>
      <c r="BN20" s="256">
        <v>0</v>
      </c>
      <c r="BO20" s="256">
        <v>0</v>
      </c>
      <c r="BP20" s="253">
        <f t="shared" si="1"/>
        <v>0</v>
      </c>
    </row>
    <row r="21" spans="5:68"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34"/>
      <c r="AK21" s="14"/>
      <c r="AL21" s="14"/>
      <c r="AM21" s="14"/>
      <c r="AN21" s="14"/>
      <c r="AO21" s="14"/>
      <c r="AP21" s="14"/>
      <c r="AQ21" s="14"/>
      <c r="AR21" s="14"/>
      <c r="AS21" s="134" t="s">
        <v>355</v>
      </c>
      <c r="AT21" s="254">
        <f>MCC_M_RUVY_matrices_mat_level!AR86*MCC_h_RUVY_matrices_mat_level!AR86 /MCC_MW_RUVY_matrices_mat_level!AT21</f>
        <v>0</v>
      </c>
      <c r="AU21" s="254">
        <f>MCC_M_RUVY_matrices_mat_level!AS86*MCC_h_RUVY_matrices_mat_level!AS86 /MCC_MW_RUVY_matrices_mat_level!AU21</f>
        <v>0</v>
      </c>
      <c r="AV21" s="254">
        <f>MCC_M_RUVY_matrices_mat_level!AT86*MCC_h_RUVY_matrices_mat_level!AT86 /MCC_MW_RUVY_matrices_mat_level!AV21</f>
        <v>0</v>
      </c>
      <c r="AW21" s="254">
        <v>0</v>
      </c>
      <c r="AX21" s="254">
        <v>0</v>
      </c>
      <c r="AY21" s="254">
        <v>0</v>
      </c>
      <c r="AZ21" s="254">
        <v>0</v>
      </c>
      <c r="BA21" s="254">
        <v>0</v>
      </c>
      <c r="BB21" s="254">
        <v>0</v>
      </c>
      <c r="BC21" s="254">
        <f>MCC_M_RUVY_matrices_mat_level!BA86*MCC_h_RUVY_matrices_mat_level!BA86 /MCC_MW_RUVY_matrices_mat_level!BC21</f>
        <v>0</v>
      </c>
      <c r="BD21" s="254">
        <f>MCC_M_RUVY_matrices_mat_level!BB86*MCC_h_RUVY_matrices_mat_level!BB86 /MCC_MW_RUVY_matrices_mat_level!BD21</f>
        <v>0</v>
      </c>
      <c r="BE21" s="254">
        <v>0</v>
      </c>
      <c r="BF21" s="254">
        <v>0</v>
      </c>
      <c r="BG21" s="254">
        <v>0</v>
      </c>
      <c r="BH21" s="254">
        <f>MCC_M_RUVY_matrices_mat_level!BF86*MCC_h_RUVY_matrices_mat_level!BF86 /MCC_MW_RUVY_matrices_mat_level!BH21</f>
        <v>0</v>
      </c>
      <c r="BI21" s="253">
        <f t="shared" si="0"/>
        <v>0</v>
      </c>
      <c r="BJ21" s="14"/>
      <c r="BK21" s="14"/>
      <c r="BL21" s="134"/>
      <c r="BM21" s="134" t="s">
        <v>355</v>
      </c>
      <c r="BN21" s="256">
        <v>0</v>
      </c>
      <c r="BO21" s="256">
        <v>0</v>
      </c>
      <c r="BP21" s="253">
        <f t="shared" si="1"/>
        <v>0</v>
      </c>
    </row>
    <row r="22" spans="5:68"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34"/>
      <c r="AK22" s="14"/>
      <c r="AL22" s="14"/>
      <c r="AM22" s="14"/>
      <c r="AN22" s="14"/>
      <c r="AO22" s="14"/>
      <c r="AP22" s="14"/>
      <c r="AQ22" s="14"/>
      <c r="AR22" s="14"/>
      <c r="AS22" s="134" t="s">
        <v>377</v>
      </c>
      <c r="AT22" s="254">
        <v>0</v>
      </c>
      <c r="AU22" s="254">
        <v>0</v>
      </c>
      <c r="AV22" s="254">
        <v>0</v>
      </c>
      <c r="AW22" s="254">
        <v>0</v>
      </c>
      <c r="AX22" s="254">
        <v>0</v>
      </c>
      <c r="AY22" s="254">
        <v>0</v>
      </c>
      <c r="AZ22" s="254">
        <v>0</v>
      </c>
      <c r="BA22" s="254">
        <v>0</v>
      </c>
      <c r="BB22" s="254">
        <v>0</v>
      </c>
      <c r="BC22" s="254">
        <f>MCC_M_RUVY_matrices_mat_level!BA87*MCC_h_RUVY_matrices_mat_level!BA87 /MCC_MW_RUVY_matrices_mat_level!BC22</f>
        <v>-174982.33358796954</v>
      </c>
      <c r="BD22" s="254">
        <f>MCC_M_RUVY_matrices_mat_level!BB87*MCC_h_RUVY_matrices_mat_level!BB87 /MCC_MW_RUVY_matrices_mat_level!BD22</f>
        <v>-949206.42548067577</v>
      </c>
      <c r="BE22" s="254">
        <v>0</v>
      </c>
      <c r="BF22" s="254">
        <v>0</v>
      </c>
      <c r="BG22" s="254">
        <v>0</v>
      </c>
      <c r="BH22" s="254">
        <f>MCC_M_RUVY_matrices_mat_level!BF87*MCC_h_RUVY_matrices_mat_level!BF87 /MCC_MW_RUVY_matrices_mat_level!BH22</f>
        <v>-208916.35016621815</v>
      </c>
      <c r="BI22" s="253">
        <f t="shared" si="0"/>
        <v>-1333105.1092348634</v>
      </c>
      <c r="BJ22" s="14"/>
      <c r="BK22" s="14"/>
      <c r="BL22" s="134"/>
      <c r="BM22" s="134" t="s">
        <v>377</v>
      </c>
      <c r="BN22" s="256">
        <v>0</v>
      </c>
      <c r="BO22" s="256">
        <v>0</v>
      </c>
      <c r="BP22" s="253">
        <f t="shared" si="1"/>
        <v>0</v>
      </c>
    </row>
    <row r="23" spans="5:68"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34"/>
      <c r="AK23" s="14"/>
      <c r="AL23" s="14"/>
      <c r="AM23" s="14"/>
      <c r="AN23" s="14"/>
      <c r="AO23" s="14"/>
      <c r="AP23" s="14"/>
      <c r="AQ23" s="14"/>
      <c r="AR23" s="14"/>
      <c r="AS23" s="134" t="s">
        <v>466</v>
      </c>
      <c r="AT23" s="254">
        <f>MCC_M_RUVY_matrices_mat_level!AR88*MCC_h_RUVY_matrices_mat_level!AR88 /MCC_MW_RUVY_matrices_mat_level!AT23</f>
        <v>88160.656904773379</v>
      </c>
      <c r="AU23" s="254">
        <f>MCC_M_RUVY_matrices_mat_level!AS88*MCC_h_RUVY_matrices_mat_level!AS88 /MCC_MW_RUVY_matrices_mat_level!AU23</f>
        <v>241.59146310558404</v>
      </c>
      <c r="AV23" s="254">
        <f>MCC_M_RUVY_matrices_mat_level!AT88*MCC_h_RUVY_matrices_mat_level!AT88 /MCC_MW_RUVY_matrices_mat_level!AV23</f>
        <v>21827.121921766418</v>
      </c>
      <c r="AW23" s="254">
        <v>0</v>
      </c>
      <c r="AX23" s="254">
        <v>0</v>
      </c>
      <c r="AY23" s="254">
        <v>0</v>
      </c>
      <c r="AZ23" s="254">
        <v>0</v>
      </c>
      <c r="BA23" s="254">
        <v>0</v>
      </c>
      <c r="BB23" s="254">
        <v>0</v>
      </c>
      <c r="BC23" s="254">
        <v>0</v>
      </c>
      <c r="BD23" s="254">
        <v>0</v>
      </c>
      <c r="BE23" s="254">
        <v>0</v>
      </c>
      <c r="BF23" s="254">
        <v>0</v>
      </c>
      <c r="BG23" s="254">
        <v>0</v>
      </c>
      <c r="BH23" s="254">
        <v>0</v>
      </c>
      <c r="BI23" s="253">
        <f t="shared" si="0"/>
        <v>110229.37028964538</v>
      </c>
      <c r="BJ23" s="14"/>
      <c r="BK23" s="14"/>
      <c r="BL23" s="134"/>
      <c r="BM23" s="134" t="s">
        <v>466</v>
      </c>
      <c r="BN23" s="256">
        <v>0</v>
      </c>
      <c r="BO23" s="256">
        <v>0</v>
      </c>
      <c r="BP23" s="253">
        <f t="shared" si="1"/>
        <v>0</v>
      </c>
    </row>
    <row r="24" spans="5:68"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34"/>
      <c r="AK24" s="14"/>
      <c r="AL24" s="14"/>
      <c r="AM24" s="14"/>
      <c r="AN24" s="14"/>
      <c r="AO24" s="14"/>
      <c r="AP24" s="14"/>
      <c r="AQ24" s="14"/>
      <c r="AR24" s="14"/>
      <c r="AS24" s="134" t="s">
        <v>467</v>
      </c>
      <c r="AT24" s="254">
        <v>0</v>
      </c>
      <c r="AU24" s="254">
        <f>MCC_M_RUVY_matrices_mat_level!AS89*MCC_h_RUVY_matrices_mat_level!AS89 /MCC_MW_RUVY_matrices_mat_level!AU24</f>
        <v>-1.1322425723331082</v>
      </c>
      <c r="AV24" s="254">
        <v>0</v>
      </c>
      <c r="AW24" s="254">
        <v>0</v>
      </c>
      <c r="AX24" s="254">
        <v>0</v>
      </c>
      <c r="AY24" s="254">
        <v>0</v>
      </c>
      <c r="AZ24" s="254">
        <v>0</v>
      </c>
      <c r="BA24" s="254">
        <v>0</v>
      </c>
      <c r="BB24" s="254">
        <v>0</v>
      </c>
      <c r="BC24" s="254">
        <v>0</v>
      </c>
      <c r="BD24" s="254">
        <v>0</v>
      </c>
      <c r="BE24" s="254">
        <v>0</v>
      </c>
      <c r="BF24" s="254">
        <v>0</v>
      </c>
      <c r="BG24" s="254">
        <v>0</v>
      </c>
      <c r="BH24" s="254">
        <v>0</v>
      </c>
      <c r="BI24" s="253">
        <f t="shared" si="0"/>
        <v>-1.1322425723331082</v>
      </c>
      <c r="BJ24" s="14"/>
      <c r="BK24" s="14"/>
      <c r="BL24" s="134"/>
      <c r="BM24" s="134" t="s">
        <v>467</v>
      </c>
      <c r="BN24" s="256">
        <v>0</v>
      </c>
      <c r="BO24" s="256">
        <v>0</v>
      </c>
      <c r="BP24" s="253">
        <f t="shared" si="1"/>
        <v>0</v>
      </c>
    </row>
    <row r="25" spans="5:68"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34"/>
      <c r="AK25" s="14"/>
      <c r="AL25" s="14"/>
      <c r="AM25" s="14"/>
      <c r="AN25" s="14"/>
      <c r="AO25" s="14"/>
      <c r="AP25" s="14"/>
      <c r="AQ25" s="14"/>
      <c r="AR25" s="14"/>
      <c r="AS25" s="134" t="s">
        <v>411</v>
      </c>
      <c r="AT25" s="254">
        <v>0</v>
      </c>
      <c r="AU25" s="254">
        <v>0</v>
      </c>
      <c r="AV25" s="254">
        <v>0</v>
      </c>
      <c r="AW25" s="254">
        <v>0</v>
      </c>
      <c r="AX25" s="254">
        <v>0</v>
      </c>
      <c r="AY25" s="254">
        <v>0</v>
      </c>
      <c r="AZ25" s="254">
        <v>0</v>
      </c>
      <c r="BA25" s="254">
        <v>0</v>
      </c>
      <c r="BB25" s="254">
        <v>0</v>
      </c>
      <c r="BC25" s="254">
        <v>0</v>
      </c>
      <c r="BD25" s="254">
        <v>0</v>
      </c>
      <c r="BE25" s="254">
        <v>0</v>
      </c>
      <c r="BF25" s="254">
        <v>0</v>
      </c>
      <c r="BG25" s="254">
        <v>0</v>
      </c>
      <c r="BH25" s="254">
        <f>MCC_M_RUVY_matrices_mat_level!BF90*MCC_h_RUVY_matrices_mat_level!BF90 /MCC_MW_RUVY_matrices_mat_level!BH25</f>
        <v>194131.36779323625</v>
      </c>
      <c r="BI25" s="253">
        <f t="shared" si="0"/>
        <v>194131.36779323625</v>
      </c>
      <c r="BJ25" s="14"/>
      <c r="BK25" s="14"/>
      <c r="BL25" s="134"/>
      <c r="BM25" s="134" t="s">
        <v>411</v>
      </c>
      <c r="BN25" s="256">
        <v>0</v>
      </c>
      <c r="BO25" s="256">
        <v>0</v>
      </c>
      <c r="BP25" s="253">
        <f t="shared" si="1"/>
        <v>0</v>
      </c>
    </row>
    <row r="26" spans="5:68"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34"/>
      <c r="AK26" s="14"/>
      <c r="AL26" s="14"/>
      <c r="AM26" s="14"/>
      <c r="AN26" s="14"/>
      <c r="AO26" s="14"/>
      <c r="AP26" s="14"/>
      <c r="AQ26" s="14"/>
      <c r="AR26" s="14"/>
      <c r="AS26" s="134" t="s">
        <v>459</v>
      </c>
      <c r="AT26" s="254">
        <v>0</v>
      </c>
      <c r="AU26" s="254">
        <v>0</v>
      </c>
      <c r="AV26" s="254">
        <v>0</v>
      </c>
      <c r="AW26" s="254">
        <v>0</v>
      </c>
      <c r="AX26" s="254">
        <v>0</v>
      </c>
      <c r="AY26" s="254">
        <v>0</v>
      </c>
      <c r="AZ26" s="254">
        <v>0</v>
      </c>
      <c r="BA26" s="254">
        <v>0</v>
      </c>
      <c r="BB26" s="254">
        <v>0</v>
      </c>
      <c r="BC26" s="254">
        <v>0</v>
      </c>
      <c r="BD26" s="254">
        <v>0</v>
      </c>
      <c r="BE26" s="254">
        <v>0</v>
      </c>
      <c r="BF26" s="254">
        <v>0</v>
      </c>
      <c r="BG26" s="254">
        <v>0</v>
      </c>
      <c r="BH26" s="254">
        <v>0</v>
      </c>
      <c r="BI26" s="253">
        <f t="shared" si="0"/>
        <v>0</v>
      </c>
      <c r="BJ26" s="14"/>
      <c r="BK26" s="14"/>
      <c r="BL26" s="134"/>
      <c r="BM26" s="134" t="s">
        <v>459</v>
      </c>
      <c r="BN26" s="256">
        <v>0</v>
      </c>
      <c r="BO26" s="256">
        <v>0</v>
      </c>
      <c r="BP26" s="253">
        <f t="shared" si="1"/>
        <v>0</v>
      </c>
    </row>
    <row r="27" spans="5:68" ht="16.05" customHeight="1"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242"/>
      <c r="AK27" s="14"/>
      <c r="AL27" s="14"/>
      <c r="AM27" s="14"/>
      <c r="AN27" s="14"/>
      <c r="AO27" s="14"/>
      <c r="AP27" s="14"/>
      <c r="AQ27" s="14"/>
      <c r="AR27" s="14"/>
      <c r="AS27" s="232" t="s">
        <v>442</v>
      </c>
      <c r="AT27" s="254">
        <v>0</v>
      </c>
      <c r="AU27" s="254">
        <v>0</v>
      </c>
      <c r="AV27" s="254">
        <v>0</v>
      </c>
      <c r="AW27" s="254">
        <f>MCC_M_RUVY_matrices_mat_level!AU92*MCC_h_RUVY_matrices_mat_level!AU92 /MCC_MW_RUVY_matrices_mat_level!AW27</f>
        <v>-1777985.4355511186</v>
      </c>
      <c r="AX27" s="254">
        <v>0</v>
      </c>
      <c r="AY27" s="254">
        <v>0</v>
      </c>
      <c r="AZ27" s="254">
        <v>0</v>
      </c>
      <c r="BA27" s="254">
        <v>0</v>
      </c>
      <c r="BB27" s="254">
        <v>0</v>
      </c>
      <c r="BC27" s="254">
        <v>0</v>
      </c>
      <c r="BD27" s="254">
        <v>0</v>
      </c>
      <c r="BE27" s="254">
        <v>0</v>
      </c>
      <c r="BF27" s="254">
        <v>0</v>
      </c>
      <c r="BG27" s="254">
        <v>0</v>
      </c>
      <c r="BH27" s="254">
        <v>0</v>
      </c>
      <c r="BI27" s="253">
        <f t="shared" si="0"/>
        <v>-1777985.4355511186</v>
      </c>
      <c r="BJ27" s="14"/>
      <c r="BK27" s="14"/>
      <c r="BL27" s="232"/>
      <c r="BM27" s="134" t="s">
        <v>442</v>
      </c>
      <c r="BN27" s="256">
        <v>0</v>
      </c>
      <c r="BO27" s="256">
        <v>0</v>
      </c>
      <c r="BP27" s="253">
        <f t="shared" si="1"/>
        <v>0</v>
      </c>
    </row>
    <row r="28" spans="5:68" ht="16.05" customHeight="1"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232"/>
      <c r="AK28" s="14"/>
      <c r="AL28" s="14"/>
      <c r="AM28" s="14"/>
      <c r="AN28" s="14"/>
      <c r="AO28" s="14"/>
      <c r="AP28" s="14"/>
      <c r="AQ28" s="14"/>
      <c r="AR28" s="14"/>
      <c r="AS28" s="134" t="s">
        <v>409</v>
      </c>
      <c r="AT28" s="254">
        <v>0</v>
      </c>
      <c r="AU28" s="254">
        <v>0</v>
      </c>
      <c r="AV28" s="254">
        <v>0</v>
      </c>
      <c r="AW28" s="254">
        <v>0</v>
      </c>
      <c r="AX28" s="254">
        <v>0</v>
      </c>
      <c r="AY28" s="254">
        <v>0</v>
      </c>
      <c r="AZ28" s="254">
        <v>0</v>
      </c>
      <c r="BA28" s="254">
        <v>0</v>
      </c>
      <c r="BB28" s="254">
        <v>0</v>
      </c>
      <c r="BC28" s="254">
        <v>0</v>
      </c>
      <c r="BD28" s="254">
        <v>0</v>
      </c>
      <c r="BE28" s="254">
        <v>0</v>
      </c>
      <c r="BF28" s="254">
        <v>0</v>
      </c>
      <c r="BG28" s="254">
        <v>0</v>
      </c>
      <c r="BH28" s="254">
        <v>0</v>
      </c>
      <c r="BI28" s="253">
        <f t="shared" si="0"/>
        <v>0</v>
      </c>
      <c r="BJ28" s="14"/>
      <c r="BK28" s="14"/>
      <c r="BL28" s="134"/>
      <c r="BM28" s="134" t="s">
        <v>409</v>
      </c>
      <c r="BN28" s="256">
        <v>0</v>
      </c>
      <c r="BO28" s="256">
        <f>MCC_M_RUVY_matrices_mat_level!BM93*MCC_h_RUVY_matrices_mat_level!BM93 / MCC_MW_RUVY_matrices_mat_level!BO28</f>
        <v>-35429.897676176748</v>
      </c>
      <c r="BP28" s="253">
        <f t="shared" si="1"/>
        <v>-35429.897676176748</v>
      </c>
    </row>
    <row r="29" spans="5:68" ht="16.05" customHeight="1"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233"/>
      <c r="AK29" s="14"/>
      <c r="AL29" s="14"/>
      <c r="AM29" s="14"/>
      <c r="AN29" s="14"/>
      <c r="AO29" s="14"/>
      <c r="AP29" s="14"/>
      <c r="AQ29" s="14"/>
      <c r="AR29" s="14"/>
      <c r="AS29" s="232" t="s">
        <v>412</v>
      </c>
      <c r="AT29" s="254">
        <v>0</v>
      </c>
      <c r="AU29" s="254">
        <v>0</v>
      </c>
      <c r="AV29" s="254">
        <v>0</v>
      </c>
      <c r="AW29" s="254">
        <v>0</v>
      </c>
      <c r="AX29" s="254">
        <f>MCC_M_RUVY_matrices_mat_level!AV94*MCC_h_RUVY_matrices_mat_level!AV94 /MCC_MW_RUVY_matrices_mat_level!AX29</f>
        <v>-1359457.7959575919</v>
      </c>
      <c r="AY29" s="254">
        <v>0</v>
      </c>
      <c r="AZ29" s="254">
        <v>0</v>
      </c>
      <c r="BA29" s="254">
        <v>0</v>
      </c>
      <c r="BB29" s="254">
        <v>0</v>
      </c>
      <c r="BC29" s="254">
        <v>0</v>
      </c>
      <c r="BD29" s="254">
        <v>0</v>
      </c>
      <c r="BE29" s="254">
        <v>0</v>
      </c>
      <c r="BF29" s="254">
        <v>0</v>
      </c>
      <c r="BG29" s="254">
        <v>0</v>
      </c>
      <c r="BH29" s="254">
        <v>0</v>
      </c>
      <c r="BI29" s="253">
        <f t="shared" si="0"/>
        <v>-1359457.7959575919</v>
      </c>
      <c r="BJ29" s="14"/>
      <c r="BK29" s="14"/>
      <c r="BL29" s="232"/>
      <c r="BM29" s="134" t="s">
        <v>412</v>
      </c>
      <c r="BN29" s="256">
        <v>0</v>
      </c>
      <c r="BO29" s="256">
        <v>0</v>
      </c>
      <c r="BP29" s="253">
        <f t="shared" si="1"/>
        <v>0</v>
      </c>
    </row>
    <row r="30" spans="5:68"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233"/>
      <c r="AK30" s="14"/>
      <c r="AL30" s="14"/>
      <c r="AM30" s="14"/>
      <c r="AN30" s="14"/>
      <c r="AO30" s="14"/>
      <c r="AP30" s="14"/>
      <c r="AQ30" s="14"/>
      <c r="AR30" s="14"/>
      <c r="AS30" s="134" t="s">
        <v>437</v>
      </c>
      <c r="AT30" s="254">
        <v>0</v>
      </c>
      <c r="AU30" s="254">
        <v>0</v>
      </c>
      <c r="AV30" s="254">
        <v>0</v>
      </c>
      <c r="AW30" s="254">
        <v>0</v>
      </c>
      <c r="AX30" s="254">
        <v>0</v>
      </c>
      <c r="AY30" s="254">
        <v>0</v>
      </c>
      <c r="AZ30" s="254">
        <v>0</v>
      </c>
      <c r="BA30" s="254">
        <v>0</v>
      </c>
      <c r="BB30" s="254">
        <v>0</v>
      </c>
      <c r="BC30" s="254">
        <v>0</v>
      </c>
      <c r="BD30" s="254">
        <v>0</v>
      </c>
      <c r="BE30" s="254">
        <v>0</v>
      </c>
      <c r="BF30" s="254">
        <v>0</v>
      </c>
      <c r="BG30" s="254">
        <v>0</v>
      </c>
      <c r="BH30" s="254">
        <v>0</v>
      </c>
      <c r="BI30" s="253">
        <f t="shared" si="0"/>
        <v>0</v>
      </c>
      <c r="BJ30" s="14"/>
      <c r="BK30" s="14"/>
      <c r="BL30" s="134"/>
      <c r="BM30" s="134" t="s">
        <v>437</v>
      </c>
      <c r="BN30" s="256">
        <v>0</v>
      </c>
      <c r="BO30" s="256">
        <f>MCC_M_RUVY_matrices_mat_level!BM95*MCC_h_RUVY_matrices_mat_level!BM95 / MCC_MW_RUVY_matrices_mat_level!BO30</f>
        <v>-106.02767886152715</v>
      </c>
      <c r="BP30" s="253">
        <f t="shared" si="1"/>
        <v>-106.02767886152715</v>
      </c>
    </row>
    <row r="31" spans="5:68"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233"/>
      <c r="AK31" s="14"/>
      <c r="AL31" s="14"/>
      <c r="AM31" s="14"/>
      <c r="AN31" s="14"/>
      <c r="AO31" s="14"/>
      <c r="AP31" s="14"/>
      <c r="AQ31" s="14"/>
      <c r="AR31" s="14"/>
      <c r="AS31" s="233" t="s">
        <v>430</v>
      </c>
      <c r="AT31" s="254">
        <v>0</v>
      </c>
      <c r="AU31" s="254">
        <v>0</v>
      </c>
      <c r="AV31" s="254">
        <v>0</v>
      </c>
      <c r="AW31" s="254">
        <v>0</v>
      </c>
      <c r="AX31" s="254">
        <v>0</v>
      </c>
      <c r="AY31" s="254">
        <f>MCC_M_RUVY_matrices_mat_level!AW96*MCC_h_RUVY_matrices_mat_level!AW96 /MCC_MW_RUVY_matrices_mat_level!AY31</f>
        <v>9126570.1860198174</v>
      </c>
      <c r="AZ31" s="254">
        <v>0</v>
      </c>
      <c r="BA31" s="254">
        <v>0</v>
      </c>
      <c r="BB31" s="254">
        <v>0</v>
      </c>
      <c r="BC31" s="254">
        <v>0</v>
      </c>
      <c r="BD31" s="254">
        <v>0</v>
      </c>
      <c r="BE31" s="254">
        <v>0</v>
      </c>
      <c r="BF31" s="254">
        <v>0</v>
      </c>
      <c r="BG31" s="254">
        <v>0</v>
      </c>
      <c r="BH31" s="254">
        <v>0</v>
      </c>
      <c r="BI31" s="253">
        <f t="shared" si="0"/>
        <v>9126570.1860198174</v>
      </c>
      <c r="BJ31" s="14"/>
      <c r="BK31" s="14"/>
      <c r="BL31" s="233"/>
      <c r="BM31" s="134" t="s">
        <v>430</v>
      </c>
      <c r="BN31" s="256">
        <v>0</v>
      </c>
      <c r="BO31" s="256">
        <v>0</v>
      </c>
      <c r="BP31" s="253">
        <f t="shared" si="1"/>
        <v>0</v>
      </c>
    </row>
    <row r="32" spans="5:68"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233"/>
      <c r="AK32" s="14"/>
      <c r="AL32" s="14"/>
      <c r="AM32" s="14"/>
      <c r="AN32" s="14"/>
      <c r="AO32" s="14"/>
      <c r="AP32" s="14"/>
      <c r="AQ32" s="14"/>
      <c r="AR32" s="14"/>
      <c r="AS32" s="134" t="s">
        <v>416</v>
      </c>
      <c r="AT32" s="254">
        <v>0</v>
      </c>
      <c r="AU32" s="254">
        <v>0</v>
      </c>
      <c r="AV32" s="254">
        <v>0</v>
      </c>
      <c r="AW32" s="254">
        <v>0</v>
      </c>
      <c r="AX32" s="254">
        <v>0</v>
      </c>
      <c r="AY32" s="254">
        <v>0</v>
      </c>
      <c r="AZ32" s="254">
        <v>0</v>
      </c>
      <c r="BA32" s="254">
        <v>0</v>
      </c>
      <c r="BB32" s="254">
        <v>0</v>
      </c>
      <c r="BC32" s="254">
        <v>0</v>
      </c>
      <c r="BD32" s="254">
        <v>0</v>
      </c>
      <c r="BE32" s="254">
        <v>0</v>
      </c>
      <c r="BF32" s="254">
        <v>0</v>
      </c>
      <c r="BG32" s="254">
        <v>0</v>
      </c>
      <c r="BH32" s="254">
        <v>0</v>
      </c>
      <c r="BI32" s="253">
        <f t="shared" si="0"/>
        <v>0</v>
      </c>
      <c r="BJ32" s="14"/>
      <c r="BK32" s="14"/>
      <c r="BL32" s="134"/>
      <c r="BM32" s="134" t="s">
        <v>416</v>
      </c>
      <c r="BN32" s="256">
        <v>0</v>
      </c>
      <c r="BO32" s="256">
        <f>MCC_M_RUVY_matrices_mat_level!BM97*MCC_h_RUVY_matrices_mat_level!BM97 / MCC_MW_RUVY_matrices_mat_level!BO32</f>
        <v>-8771.8572366008211</v>
      </c>
      <c r="BP32" s="253">
        <f t="shared" si="1"/>
        <v>-8771.8572366008211</v>
      </c>
    </row>
    <row r="33" spans="5:68" ht="16.05" customHeight="1"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233"/>
      <c r="AK33" s="14"/>
      <c r="AL33" s="14"/>
      <c r="AM33" s="14"/>
      <c r="AN33" s="14"/>
      <c r="AO33" s="14"/>
      <c r="AP33" s="14"/>
      <c r="AQ33" s="14"/>
      <c r="AR33" s="14"/>
      <c r="AS33" s="232" t="s">
        <v>441</v>
      </c>
      <c r="AT33" s="254">
        <v>0</v>
      </c>
      <c r="AU33" s="254">
        <v>0</v>
      </c>
      <c r="AV33" s="254">
        <v>0</v>
      </c>
      <c r="AW33" s="254">
        <v>0</v>
      </c>
      <c r="AX33" s="254">
        <v>0</v>
      </c>
      <c r="AY33" s="254">
        <v>0</v>
      </c>
      <c r="AZ33" s="254">
        <f>MCC_M_RUVY_matrices_mat_level!AX98*MCC_h_RUVY_matrices_mat_level!AX98 /MCC_MW_RUVY_matrices_mat_level!AZ33</f>
        <v>-1777985.4355511186</v>
      </c>
      <c r="BA33" s="254">
        <v>0</v>
      </c>
      <c r="BB33" s="254">
        <v>0</v>
      </c>
      <c r="BC33" s="254">
        <v>0</v>
      </c>
      <c r="BD33" s="254">
        <v>0</v>
      </c>
      <c r="BE33" s="254">
        <v>0</v>
      </c>
      <c r="BF33" s="254">
        <v>0</v>
      </c>
      <c r="BG33" s="254">
        <v>0</v>
      </c>
      <c r="BH33" s="254">
        <v>0</v>
      </c>
      <c r="BI33" s="253">
        <f t="shared" si="0"/>
        <v>-1777985.4355511186</v>
      </c>
      <c r="BJ33" s="14"/>
      <c r="BK33" s="14"/>
      <c r="BL33" s="232"/>
      <c r="BM33" s="134" t="s">
        <v>441</v>
      </c>
      <c r="BN33" s="256">
        <v>0</v>
      </c>
      <c r="BO33" s="256">
        <v>0</v>
      </c>
      <c r="BP33" s="253">
        <f t="shared" si="1"/>
        <v>0</v>
      </c>
    </row>
    <row r="34" spans="5:68" ht="16.05" customHeight="1"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233"/>
      <c r="AK34" s="14"/>
      <c r="AL34" s="14"/>
      <c r="AM34" s="14"/>
      <c r="AN34" s="14"/>
      <c r="AO34" s="14"/>
      <c r="AP34" s="14"/>
      <c r="AQ34" s="14"/>
      <c r="AR34" s="14"/>
      <c r="AS34" s="232" t="s">
        <v>436</v>
      </c>
      <c r="AT34" s="254">
        <v>0</v>
      </c>
      <c r="AU34" s="254">
        <v>0</v>
      </c>
      <c r="AV34" s="254">
        <v>0</v>
      </c>
      <c r="AW34" s="254">
        <v>0</v>
      </c>
      <c r="AX34" s="254">
        <v>0</v>
      </c>
      <c r="AY34" s="254">
        <v>0</v>
      </c>
      <c r="AZ34" s="254">
        <v>0</v>
      </c>
      <c r="BA34" s="254">
        <f>MCC_M_RUVY_matrices_mat_level!AY99*MCC_h_RUVY_matrices_mat_level!AY99 /MCC_MW_RUVY_matrices_mat_level!BA34</f>
        <v>-1359457.7959575919</v>
      </c>
      <c r="BB34" s="254">
        <v>0</v>
      </c>
      <c r="BC34" s="254">
        <v>0</v>
      </c>
      <c r="BD34" s="254">
        <v>0</v>
      </c>
      <c r="BE34" s="254">
        <v>0</v>
      </c>
      <c r="BF34" s="254">
        <v>0</v>
      </c>
      <c r="BG34" s="254">
        <v>0</v>
      </c>
      <c r="BH34" s="254">
        <v>0</v>
      </c>
      <c r="BI34" s="253">
        <f t="shared" si="0"/>
        <v>-1359457.7959575919</v>
      </c>
      <c r="BJ34" s="14"/>
      <c r="BK34" s="14"/>
      <c r="BL34" s="232"/>
      <c r="BM34" s="134" t="s">
        <v>436</v>
      </c>
      <c r="BN34" s="256">
        <v>0</v>
      </c>
      <c r="BO34" s="256">
        <v>0</v>
      </c>
      <c r="BP34" s="253">
        <f t="shared" si="1"/>
        <v>0</v>
      </c>
    </row>
    <row r="35" spans="5:68" ht="16.05" customHeight="1"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233"/>
      <c r="AK35" s="14"/>
      <c r="AL35" s="14"/>
      <c r="AM35" s="14"/>
      <c r="AN35" s="14"/>
      <c r="AO35" s="14"/>
      <c r="AP35" s="14"/>
      <c r="AQ35" s="14"/>
      <c r="AR35" s="14"/>
      <c r="AS35" s="232" t="s">
        <v>433</v>
      </c>
      <c r="AT35" s="254">
        <v>0</v>
      </c>
      <c r="AU35" s="254">
        <v>0</v>
      </c>
      <c r="AV35" s="254">
        <v>0</v>
      </c>
      <c r="AW35" s="254">
        <v>0</v>
      </c>
      <c r="AX35" s="254">
        <v>0</v>
      </c>
      <c r="AY35" s="254">
        <v>0</v>
      </c>
      <c r="AZ35" s="254">
        <v>0</v>
      </c>
      <c r="BA35" s="254">
        <v>0</v>
      </c>
      <c r="BB35" s="254">
        <f>MCC_M_RUVY_matrices_mat_level!AZ100*MCC_h_RUVY_matrices_mat_level!AZ100 /MCC_MW_RUVY_matrices_mat_level!BB35</f>
        <v>9126570.1860198174</v>
      </c>
      <c r="BC35" s="254">
        <v>0</v>
      </c>
      <c r="BD35" s="254">
        <v>0</v>
      </c>
      <c r="BE35" s="254">
        <v>0</v>
      </c>
      <c r="BF35" s="254">
        <v>0</v>
      </c>
      <c r="BG35" s="254">
        <v>0</v>
      </c>
      <c r="BH35" s="254">
        <v>0</v>
      </c>
      <c r="BI35" s="253">
        <f t="shared" si="0"/>
        <v>9126570.1860198174</v>
      </c>
      <c r="BJ35" s="14"/>
      <c r="BK35" s="14"/>
      <c r="BL35" s="232"/>
      <c r="BM35" s="134" t="s">
        <v>433</v>
      </c>
      <c r="BN35" s="256">
        <v>0</v>
      </c>
      <c r="BO35" s="256">
        <v>0</v>
      </c>
      <c r="BP35" s="253">
        <f t="shared" si="1"/>
        <v>0</v>
      </c>
    </row>
    <row r="36" spans="5:68" ht="16.05" customHeight="1"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247"/>
      <c r="AK36" s="14"/>
      <c r="AL36" s="14"/>
      <c r="AM36" s="14"/>
      <c r="AN36" s="14"/>
      <c r="AO36" s="14"/>
      <c r="AP36" s="14"/>
      <c r="AQ36" s="14"/>
      <c r="AR36" s="14"/>
      <c r="AS36" s="232" t="s">
        <v>439</v>
      </c>
      <c r="AT36" s="254">
        <v>0</v>
      </c>
      <c r="AU36" s="254">
        <v>0</v>
      </c>
      <c r="AV36" s="254">
        <v>0</v>
      </c>
      <c r="AW36" s="254">
        <v>0</v>
      </c>
      <c r="AX36" s="254">
        <v>0</v>
      </c>
      <c r="AY36" s="254">
        <v>0</v>
      </c>
      <c r="AZ36" s="254">
        <v>0</v>
      </c>
      <c r="BA36" s="254">
        <v>0</v>
      </c>
      <c r="BB36" s="254">
        <v>0</v>
      </c>
      <c r="BC36" s="254">
        <v>0</v>
      </c>
      <c r="BD36" s="254">
        <v>0</v>
      </c>
      <c r="BE36" s="254">
        <v>0</v>
      </c>
      <c r="BF36" s="254">
        <v>0</v>
      </c>
      <c r="BG36" s="254">
        <f>MCC_M_RUVY_matrices_mat_level!BE101*MCC_h_RUVY_matrices_mat_level!BE101 /MCC_MW_RUVY_matrices_mat_level!BG36</f>
        <v>-3797055.1820632704</v>
      </c>
      <c r="BH36" s="254">
        <v>0</v>
      </c>
      <c r="BI36" s="253">
        <f t="shared" si="0"/>
        <v>-3797055.1820632704</v>
      </c>
      <c r="BJ36" s="14"/>
      <c r="BK36" s="14"/>
      <c r="BL36" s="232"/>
      <c r="BM36" s="134" t="s">
        <v>439</v>
      </c>
      <c r="BN36" s="256">
        <v>0</v>
      </c>
      <c r="BO36" s="256">
        <v>0</v>
      </c>
      <c r="BP36" s="253">
        <f t="shared" si="1"/>
        <v>0</v>
      </c>
    </row>
    <row r="37" spans="5:68"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233"/>
      <c r="AK37" s="14"/>
      <c r="AL37" s="14"/>
      <c r="AM37" s="14"/>
      <c r="AN37" s="14"/>
      <c r="AO37" s="14"/>
      <c r="AP37" s="14"/>
      <c r="AQ37" s="14"/>
      <c r="AR37" s="14"/>
      <c r="AS37" s="233" t="s">
        <v>438</v>
      </c>
      <c r="AT37" s="254">
        <v>0</v>
      </c>
      <c r="AU37" s="254">
        <v>0</v>
      </c>
      <c r="AV37" s="254">
        <v>0</v>
      </c>
      <c r="AW37" s="254">
        <v>0</v>
      </c>
      <c r="AX37" s="254">
        <v>0</v>
      </c>
      <c r="AY37" s="254">
        <v>0</v>
      </c>
      <c r="AZ37" s="254">
        <v>0</v>
      </c>
      <c r="BA37" s="254">
        <v>0</v>
      </c>
      <c r="BB37" s="254">
        <v>0</v>
      </c>
      <c r="BC37" s="254">
        <v>0</v>
      </c>
      <c r="BD37" s="254">
        <v>0</v>
      </c>
      <c r="BE37" s="254">
        <v>0</v>
      </c>
      <c r="BF37" s="254">
        <v>0</v>
      </c>
      <c r="BG37" s="254">
        <v>0</v>
      </c>
      <c r="BH37" s="254">
        <v>0</v>
      </c>
      <c r="BI37" s="253">
        <f t="shared" si="0"/>
        <v>0</v>
      </c>
      <c r="BJ37" s="252"/>
      <c r="BK37" s="14"/>
      <c r="BL37" s="233"/>
      <c r="BM37" s="134" t="s">
        <v>438</v>
      </c>
      <c r="BN37" s="256">
        <v>0</v>
      </c>
      <c r="BO37" s="256">
        <f>MCC_M_RUVY_matrices_mat_level!BM102*MCC_h_RUVY_matrices_mat_level!BM102 / MCC_MW_RUVY_matrices_mat_level!BO37</f>
        <v>-66021.418271669754</v>
      </c>
      <c r="BP37" s="253">
        <f t="shared" si="1"/>
        <v>-66021.418271669754</v>
      </c>
    </row>
    <row r="38" spans="5:68"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233"/>
      <c r="AK38" s="14"/>
      <c r="AL38" s="14"/>
      <c r="AM38" s="14"/>
      <c r="AN38" s="14"/>
      <c r="AO38" s="14"/>
      <c r="AP38" s="14"/>
      <c r="AQ38" s="14"/>
      <c r="AR38" s="14"/>
      <c r="AS38" s="233" t="s">
        <v>424</v>
      </c>
      <c r="AT38" s="254">
        <v>0</v>
      </c>
      <c r="AU38" s="254">
        <v>0</v>
      </c>
      <c r="AV38" s="254">
        <v>0</v>
      </c>
      <c r="AW38" s="254">
        <v>0</v>
      </c>
      <c r="AX38" s="254">
        <v>0</v>
      </c>
      <c r="AY38" s="254">
        <v>0</v>
      </c>
      <c r="AZ38" s="254">
        <v>0</v>
      </c>
      <c r="BA38" s="254">
        <v>0</v>
      </c>
      <c r="BB38" s="254">
        <v>0</v>
      </c>
      <c r="BC38" s="254">
        <f>MCC_M_RUVY_matrices_mat_level!BA103*MCC_h_RUVY_matrices_mat_level!BA103 /MCC_MW_RUVY_matrices_mat_level!BC38</f>
        <v>-1359457.7959575919</v>
      </c>
      <c r="BD38" s="254">
        <v>0</v>
      </c>
      <c r="BE38" s="254">
        <v>0</v>
      </c>
      <c r="BF38" s="254">
        <v>0</v>
      </c>
      <c r="BG38" s="254">
        <v>0</v>
      </c>
      <c r="BH38" s="254">
        <v>0</v>
      </c>
      <c r="BI38" s="253">
        <f t="shared" si="0"/>
        <v>-1359457.7959575919</v>
      </c>
      <c r="BJ38" s="14"/>
      <c r="BK38" s="14"/>
      <c r="BL38" s="233"/>
      <c r="BM38" s="134" t="s">
        <v>424</v>
      </c>
      <c r="BN38" s="256">
        <v>0</v>
      </c>
      <c r="BO38" s="256">
        <v>0</v>
      </c>
      <c r="BP38" s="253">
        <f t="shared" si="1"/>
        <v>0</v>
      </c>
    </row>
    <row r="39" spans="5:68"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233"/>
      <c r="AK39" s="14"/>
      <c r="AL39" s="14"/>
      <c r="AM39" s="14"/>
      <c r="AN39" s="14"/>
      <c r="AO39" s="14"/>
      <c r="AP39" s="14"/>
      <c r="AQ39" s="14"/>
      <c r="AR39" s="14"/>
      <c r="AS39" s="233" t="s">
        <v>456</v>
      </c>
      <c r="AT39" s="254">
        <v>0</v>
      </c>
      <c r="AU39" s="254">
        <v>0</v>
      </c>
      <c r="AV39" s="254">
        <v>0</v>
      </c>
      <c r="AW39" s="254">
        <v>0</v>
      </c>
      <c r="AX39" s="254">
        <v>0</v>
      </c>
      <c r="AY39" s="254">
        <v>0</v>
      </c>
      <c r="AZ39" s="254">
        <v>0</v>
      </c>
      <c r="BA39" s="254">
        <v>0</v>
      </c>
      <c r="BB39" s="254">
        <v>0</v>
      </c>
      <c r="BC39" s="254">
        <v>0</v>
      </c>
      <c r="BD39" s="254">
        <f>MCC_M_RUVY_matrices_mat_level!BB104*MCC_h_RUVY_matrices_mat_level!BB104 /MCC_MW_RUVY_matrices_mat_level!BD39</f>
        <v>9126570.1860198174</v>
      </c>
      <c r="BE39" s="254">
        <v>0</v>
      </c>
      <c r="BF39" s="254">
        <v>0</v>
      </c>
      <c r="BG39" s="254">
        <v>0</v>
      </c>
      <c r="BH39" s="254">
        <v>0</v>
      </c>
      <c r="BI39" s="253">
        <f t="shared" si="0"/>
        <v>9126570.1860198174</v>
      </c>
      <c r="BJ39" s="14"/>
      <c r="BK39" s="14"/>
      <c r="BL39" s="233"/>
      <c r="BM39" s="134" t="s">
        <v>456</v>
      </c>
      <c r="BN39" s="256">
        <v>0</v>
      </c>
      <c r="BO39" s="256">
        <v>0</v>
      </c>
      <c r="BP39" s="253">
        <f t="shared" si="1"/>
        <v>0</v>
      </c>
    </row>
    <row r="40" spans="5:68"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233"/>
      <c r="AK40" s="14"/>
      <c r="AL40" s="14"/>
      <c r="AM40" s="14"/>
      <c r="AN40" s="14"/>
      <c r="AO40" s="14"/>
      <c r="AP40" s="14"/>
      <c r="AQ40" s="14"/>
      <c r="AR40" s="14"/>
      <c r="AS40" s="233" t="s">
        <v>425</v>
      </c>
      <c r="AT40" s="254">
        <v>0</v>
      </c>
      <c r="AU40" s="254">
        <v>0</v>
      </c>
      <c r="AV40" s="254">
        <v>0</v>
      </c>
      <c r="AW40" s="254">
        <v>0</v>
      </c>
      <c r="AX40" s="254">
        <v>0</v>
      </c>
      <c r="AY40" s="254">
        <v>0</v>
      </c>
      <c r="AZ40" s="254">
        <v>0</v>
      </c>
      <c r="BA40" s="254">
        <v>0</v>
      </c>
      <c r="BB40" s="254">
        <v>0</v>
      </c>
      <c r="BC40" s="254">
        <v>0</v>
      </c>
      <c r="BD40" s="254">
        <v>0</v>
      </c>
      <c r="BE40" s="254">
        <v>0</v>
      </c>
      <c r="BF40" s="254">
        <v>0</v>
      </c>
      <c r="BG40" s="254">
        <f>MCC_M_RUVY_matrices_mat_level!BE105*MCC_h_RUVY_matrices_mat_level!BE105 /MCC_MW_RUVY_matrices_mat_level!BG40</f>
        <v>-1256817.6045988721</v>
      </c>
      <c r="BH40" s="254">
        <v>0</v>
      </c>
      <c r="BI40" s="253">
        <f t="shared" si="0"/>
        <v>-1256817.6045988721</v>
      </c>
      <c r="BJ40" s="14"/>
      <c r="BK40" s="14"/>
      <c r="BL40" s="233"/>
      <c r="BM40" s="134" t="s">
        <v>425</v>
      </c>
      <c r="BN40" s="256">
        <v>0</v>
      </c>
      <c r="BO40" s="256">
        <v>0</v>
      </c>
      <c r="BP40" s="253">
        <f t="shared" si="1"/>
        <v>0</v>
      </c>
    </row>
    <row r="41" spans="5:68"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233"/>
      <c r="AK41" s="14"/>
      <c r="AL41" s="14"/>
      <c r="AM41" s="14"/>
      <c r="AN41" s="14"/>
      <c r="AO41" s="14"/>
      <c r="AP41" s="14"/>
      <c r="AQ41" s="14"/>
      <c r="AR41" s="14"/>
      <c r="AS41" s="233" t="s">
        <v>427</v>
      </c>
      <c r="AT41" s="254">
        <v>0</v>
      </c>
      <c r="AU41" s="254">
        <v>0</v>
      </c>
      <c r="AV41" s="254">
        <v>0</v>
      </c>
      <c r="AW41" s="254">
        <v>0</v>
      </c>
      <c r="AX41" s="254">
        <v>0</v>
      </c>
      <c r="AY41" s="254">
        <v>0</v>
      </c>
      <c r="AZ41" s="254">
        <v>0</v>
      </c>
      <c r="BA41" s="254">
        <v>0</v>
      </c>
      <c r="BB41" s="254">
        <v>0</v>
      </c>
      <c r="BC41" s="254">
        <v>0</v>
      </c>
      <c r="BD41" s="254">
        <v>0</v>
      </c>
      <c r="BE41" s="254">
        <v>0</v>
      </c>
      <c r="BF41" s="254">
        <v>0</v>
      </c>
      <c r="BG41" s="254">
        <v>0</v>
      </c>
      <c r="BH41" s="254">
        <v>0</v>
      </c>
      <c r="BI41" s="253">
        <f t="shared" si="0"/>
        <v>0</v>
      </c>
      <c r="BJ41" s="14"/>
      <c r="BK41" s="14"/>
      <c r="BL41" s="233"/>
      <c r="BM41" s="134" t="s">
        <v>427</v>
      </c>
      <c r="BN41" s="256">
        <v>0</v>
      </c>
      <c r="BO41" s="256">
        <f>MCC_M_RUVY_matrices_mat_level!BM106*MCC_h_RUVY_matrices_mat_level!BM106 / MCC_MW_RUVY_matrices_mat_level!BO41</f>
        <v>-74404.460335125405</v>
      </c>
      <c r="BP41" s="253">
        <f t="shared" si="1"/>
        <v>-74404.460335125405</v>
      </c>
    </row>
    <row r="42" spans="5:68"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233"/>
      <c r="AK42" s="14"/>
      <c r="AL42" s="14"/>
      <c r="AM42" s="14"/>
      <c r="AN42" s="14"/>
      <c r="AO42" s="14"/>
      <c r="AP42" s="14"/>
      <c r="AQ42" s="14"/>
      <c r="AR42" s="14"/>
      <c r="AS42" s="233" t="s">
        <v>426</v>
      </c>
      <c r="AT42" s="254">
        <v>0</v>
      </c>
      <c r="AU42" s="254">
        <v>0</v>
      </c>
      <c r="AV42" s="254">
        <v>0</v>
      </c>
      <c r="AW42" s="254">
        <v>0</v>
      </c>
      <c r="AX42" s="254">
        <v>0</v>
      </c>
      <c r="AY42" s="254">
        <v>0</v>
      </c>
      <c r="AZ42" s="254">
        <v>0</v>
      </c>
      <c r="BA42" s="254">
        <v>0</v>
      </c>
      <c r="BB42" s="254">
        <v>0</v>
      </c>
      <c r="BC42" s="254">
        <v>0</v>
      </c>
      <c r="BD42" s="254">
        <v>0</v>
      </c>
      <c r="BE42" s="254">
        <v>0</v>
      </c>
      <c r="BF42" s="254">
        <v>0</v>
      </c>
      <c r="BG42" s="254">
        <v>0</v>
      </c>
      <c r="BH42" s="254">
        <v>0</v>
      </c>
      <c r="BI42" s="253">
        <f t="shared" si="0"/>
        <v>0</v>
      </c>
      <c r="BJ42" s="14"/>
      <c r="BK42" s="14"/>
      <c r="BL42" s="233"/>
      <c r="BM42" s="134" t="s">
        <v>426</v>
      </c>
      <c r="BN42" s="256">
        <v>0</v>
      </c>
      <c r="BO42" s="256">
        <f>MCC_M_RUVY_matrices_mat_level!BM107*MCC_h_RUVY_matrices_mat_level!BM107 / MCC_MW_RUVY_matrices_mat_level!BO42</f>
        <v>-1082643.9792420177</v>
      </c>
      <c r="BP42" s="253">
        <f t="shared" si="1"/>
        <v>-1082643.9792420177</v>
      </c>
    </row>
    <row r="43" spans="5:68"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233"/>
      <c r="AK43" s="14"/>
      <c r="AL43" s="14"/>
      <c r="AM43" s="14"/>
      <c r="AN43" s="14"/>
      <c r="AO43" s="14"/>
      <c r="AP43" s="14"/>
      <c r="AQ43" s="14"/>
      <c r="AR43" s="14"/>
      <c r="AS43" s="233" t="s">
        <v>484</v>
      </c>
      <c r="AT43" s="254">
        <v>0</v>
      </c>
      <c r="AU43" s="254">
        <v>0</v>
      </c>
      <c r="AV43" s="254">
        <v>0</v>
      </c>
      <c r="AW43" s="254">
        <v>0</v>
      </c>
      <c r="AX43" s="254">
        <v>0</v>
      </c>
      <c r="AY43" s="254">
        <v>0</v>
      </c>
      <c r="AZ43" s="254">
        <v>0</v>
      </c>
      <c r="BA43" s="254">
        <v>0</v>
      </c>
      <c r="BB43" s="254">
        <v>0</v>
      </c>
      <c r="BC43" s="254">
        <v>0</v>
      </c>
      <c r="BD43" s="254">
        <v>0</v>
      </c>
      <c r="BE43" s="254">
        <v>0</v>
      </c>
      <c r="BF43" s="254">
        <v>0</v>
      </c>
      <c r="BG43" s="254">
        <f>MCC_M_RUVY_matrices_mat_level!BE108*MCC_h_RUVY_matrices_mat_level!BE108 /MCC_MW_RUVY_matrices_mat_level!BG43</f>
        <v>6114656.4031687425</v>
      </c>
      <c r="BH43" s="254">
        <v>0</v>
      </c>
      <c r="BI43" s="253">
        <f t="shared" si="0"/>
        <v>6114656.4031687425</v>
      </c>
      <c r="BJ43" s="14"/>
      <c r="BK43" s="14"/>
      <c r="BL43" s="233"/>
      <c r="BM43" s="134" t="s">
        <v>484</v>
      </c>
      <c r="BN43" s="256">
        <v>0</v>
      </c>
      <c r="BO43" s="256">
        <v>0</v>
      </c>
      <c r="BP43" s="253">
        <f t="shared" si="1"/>
        <v>0</v>
      </c>
    </row>
    <row r="44" spans="5:68" ht="16.05" customHeight="1"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233"/>
      <c r="AK44" s="14"/>
      <c r="AL44" s="14"/>
      <c r="AM44" s="14"/>
      <c r="AN44" s="14"/>
      <c r="AO44" s="14"/>
      <c r="AP44" s="14"/>
      <c r="AQ44" s="14"/>
      <c r="AR44" s="14"/>
      <c r="AS44" s="247" t="s">
        <v>422</v>
      </c>
      <c r="AT44" s="254">
        <v>0</v>
      </c>
      <c r="AU44" s="254">
        <v>0</v>
      </c>
      <c r="AV44" s="254">
        <v>0</v>
      </c>
      <c r="AW44" s="254">
        <v>0</v>
      </c>
      <c r="AX44" s="254">
        <v>0</v>
      </c>
      <c r="AY44" s="254">
        <v>0</v>
      </c>
      <c r="AZ44" s="254">
        <v>0</v>
      </c>
      <c r="BA44" s="254">
        <v>0</v>
      </c>
      <c r="BB44" s="254">
        <v>0</v>
      </c>
      <c r="BC44" s="254">
        <v>0</v>
      </c>
      <c r="BD44" s="254">
        <v>0</v>
      </c>
      <c r="BE44" s="254">
        <f>MCC_M_RUVY_matrices_mat_level!BC109*MCC_h_RUVY_matrices_mat_level!BC109 /MCC_MW_RUVY_matrices_mat_level!BE44</f>
        <v>-13740.19434752778</v>
      </c>
      <c r="BF44" s="254">
        <v>0</v>
      </c>
      <c r="BG44" s="254">
        <v>0</v>
      </c>
      <c r="BH44" s="254">
        <v>0</v>
      </c>
      <c r="BI44" s="253">
        <f t="shared" si="0"/>
        <v>-13740.19434752778</v>
      </c>
      <c r="BJ44" s="14"/>
      <c r="BK44" s="14"/>
      <c r="BL44" s="247"/>
      <c r="BM44" s="134" t="s">
        <v>422</v>
      </c>
      <c r="BN44" s="256">
        <v>0</v>
      </c>
      <c r="BO44" s="256">
        <v>0</v>
      </c>
      <c r="BP44" s="253">
        <f t="shared" si="1"/>
        <v>0</v>
      </c>
    </row>
    <row r="45" spans="5:68"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233"/>
      <c r="AK45" s="14"/>
      <c r="AL45" s="14"/>
      <c r="AM45" s="14"/>
      <c r="AN45" s="14"/>
      <c r="AO45" s="14"/>
      <c r="AP45" s="14"/>
      <c r="AQ45" s="14"/>
      <c r="AR45" s="14"/>
      <c r="AS45" s="233" t="s">
        <v>552</v>
      </c>
      <c r="AT45" s="254">
        <v>0</v>
      </c>
      <c r="AU45" s="254">
        <v>0</v>
      </c>
      <c r="AV45" s="254">
        <v>0</v>
      </c>
      <c r="AW45" s="254">
        <v>0</v>
      </c>
      <c r="AX45" s="254">
        <v>0</v>
      </c>
      <c r="AY45" s="254">
        <v>0</v>
      </c>
      <c r="AZ45" s="254">
        <v>0</v>
      </c>
      <c r="BA45" s="254">
        <v>0</v>
      </c>
      <c r="BB45" s="254">
        <v>0</v>
      </c>
      <c r="BC45" s="254">
        <v>0</v>
      </c>
      <c r="BD45" s="254">
        <v>0</v>
      </c>
      <c r="BE45" s="254">
        <v>0</v>
      </c>
      <c r="BF45" s="254">
        <v>0</v>
      </c>
      <c r="BG45" s="254">
        <v>0</v>
      </c>
      <c r="BH45" s="254">
        <v>0</v>
      </c>
      <c r="BI45" s="253">
        <f t="shared" si="0"/>
        <v>0</v>
      </c>
      <c r="BJ45" s="14"/>
      <c r="BK45" s="14"/>
      <c r="BL45" s="233"/>
      <c r="BM45" s="134" t="s">
        <v>552</v>
      </c>
      <c r="BN45" s="256">
        <v>0</v>
      </c>
      <c r="BO45" s="256">
        <f>MCC_M_RUVY_matrices_mat_level!BM110*MCC_h_RUVY_matrices_mat_level!BM110 / MCC_MW_RUVY_matrices_mat_level!BO45</f>
        <v>-3677.1587424372706</v>
      </c>
      <c r="BP45" s="253">
        <f t="shared" si="1"/>
        <v>-3677.1587424372706</v>
      </c>
    </row>
    <row r="46" spans="5:68"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233"/>
      <c r="AK46" s="14"/>
      <c r="AL46" s="14"/>
      <c r="AM46" s="14"/>
      <c r="AN46" s="14"/>
      <c r="AO46" s="14"/>
      <c r="AP46" s="14"/>
      <c r="AQ46" s="14"/>
      <c r="AR46" s="14"/>
      <c r="AS46" s="134" t="s">
        <v>421</v>
      </c>
      <c r="AT46" s="254">
        <v>0</v>
      </c>
      <c r="AU46" s="254">
        <v>0</v>
      </c>
      <c r="AV46" s="254">
        <v>0</v>
      </c>
      <c r="AW46" s="254">
        <v>0</v>
      </c>
      <c r="AX46" s="254">
        <v>0</v>
      </c>
      <c r="AY46" s="254">
        <v>0</v>
      </c>
      <c r="AZ46" s="254">
        <v>0</v>
      </c>
      <c r="BA46" s="254">
        <v>0</v>
      </c>
      <c r="BB46" s="254">
        <v>0</v>
      </c>
      <c r="BC46" s="254">
        <v>0</v>
      </c>
      <c r="BD46" s="254">
        <v>0</v>
      </c>
      <c r="BE46" s="254">
        <v>0</v>
      </c>
      <c r="BF46" s="254">
        <v>0</v>
      </c>
      <c r="BG46" s="254">
        <v>0</v>
      </c>
      <c r="BH46" s="254">
        <v>0</v>
      </c>
      <c r="BI46" s="253">
        <f t="shared" si="0"/>
        <v>0</v>
      </c>
      <c r="BJ46" s="14"/>
      <c r="BK46" s="14"/>
      <c r="BL46" s="134"/>
      <c r="BM46" s="134" t="s">
        <v>421</v>
      </c>
      <c r="BN46" s="256">
        <v>0</v>
      </c>
      <c r="BO46" s="256">
        <f>MCC_M_RUVY_matrices_mat_level!BM111*MCC_h_RUVY_matrices_mat_level!BM111 / MCC_MW_RUVY_matrices_mat_level!BO46</f>
        <v>-47920.401977769274</v>
      </c>
      <c r="BP46" s="253">
        <f t="shared" si="1"/>
        <v>-47920.401977769274</v>
      </c>
    </row>
    <row r="47" spans="5:68"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233"/>
      <c r="AK47" s="14"/>
      <c r="AL47" s="14"/>
      <c r="AM47" s="14"/>
      <c r="AN47" s="14"/>
      <c r="AO47" s="14"/>
      <c r="AP47" s="14"/>
      <c r="AQ47" s="14"/>
      <c r="AR47" s="14"/>
      <c r="AS47" s="233" t="s">
        <v>423</v>
      </c>
      <c r="AT47" s="254">
        <v>0</v>
      </c>
      <c r="AU47" s="254">
        <v>0</v>
      </c>
      <c r="AV47" s="254">
        <v>0</v>
      </c>
      <c r="AW47" s="254">
        <v>0</v>
      </c>
      <c r="AX47" s="254">
        <v>0</v>
      </c>
      <c r="AY47" s="254">
        <v>0</v>
      </c>
      <c r="AZ47" s="254">
        <v>0</v>
      </c>
      <c r="BA47" s="254">
        <v>0</v>
      </c>
      <c r="BB47" s="254">
        <v>0</v>
      </c>
      <c r="BC47" s="254">
        <v>0</v>
      </c>
      <c r="BD47" s="254">
        <v>0</v>
      </c>
      <c r="BE47" s="254">
        <v>0</v>
      </c>
      <c r="BF47" s="254">
        <v>0</v>
      </c>
      <c r="BG47" s="254">
        <v>0</v>
      </c>
      <c r="BH47" s="254">
        <v>0</v>
      </c>
      <c r="BI47" s="253">
        <f t="shared" si="0"/>
        <v>0</v>
      </c>
      <c r="BJ47" s="14"/>
      <c r="BK47" s="14"/>
      <c r="BL47" s="233"/>
      <c r="BM47" s="134" t="s">
        <v>423</v>
      </c>
      <c r="BN47" s="256">
        <v>0</v>
      </c>
      <c r="BO47" s="256">
        <f>MCC_M_RUVY_matrices_mat_level!BM112*MCC_h_RUVY_matrices_mat_level!BM112 / MCC_MW_RUVY_matrices_mat_level!BO47</f>
        <v>-3678478.5848042481</v>
      </c>
      <c r="BP47" s="253">
        <f t="shared" si="1"/>
        <v>-3678478.5848042481</v>
      </c>
    </row>
    <row r="48" spans="5:68"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233"/>
      <c r="AK48" s="14"/>
      <c r="AL48" s="14"/>
      <c r="AM48" s="14"/>
      <c r="AN48" s="14"/>
      <c r="AO48" s="14"/>
      <c r="AP48" s="14"/>
      <c r="AQ48" s="14"/>
      <c r="AR48" s="14"/>
      <c r="AS48" s="233" t="s">
        <v>515</v>
      </c>
      <c r="AT48" s="254">
        <v>0</v>
      </c>
      <c r="AU48" s="254">
        <v>0</v>
      </c>
      <c r="AV48" s="254">
        <v>0</v>
      </c>
      <c r="AW48" s="254">
        <v>0</v>
      </c>
      <c r="AX48" s="254">
        <v>0</v>
      </c>
      <c r="AY48" s="254">
        <v>0</v>
      </c>
      <c r="AZ48" s="254">
        <v>0</v>
      </c>
      <c r="BA48" s="254">
        <v>0</v>
      </c>
      <c r="BB48" s="254">
        <v>0</v>
      </c>
      <c r="BC48" s="254">
        <v>0</v>
      </c>
      <c r="BD48" s="254">
        <v>0</v>
      </c>
      <c r="BE48" s="254">
        <v>0</v>
      </c>
      <c r="BF48" s="254">
        <f>MCC_M_RUVY_matrices_mat_level!BD113*MCC_h_RUVY_matrices_mat_level!BD113 /MCC_MW_RUVY_matrices_mat_level!BF48</f>
        <v>-13104.628581498642</v>
      </c>
      <c r="BG48" s="254">
        <v>0</v>
      </c>
      <c r="BH48" s="254">
        <v>0</v>
      </c>
      <c r="BI48" s="253">
        <f t="shared" si="0"/>
        <v>-13104.628581498642</v>
      </c>
      <c r="BJ48" s="14"/>
      <c r="BK48" s="14"/>
      <c r="BL48" s="233"/>
      <c r="BM48" s="134" t="s">
        <v>515</v>
      </c>
      <c r="BN48" s="256">
        <v>0</v>
      </c>
      <c r="BO48" s="256">
        <v>0</v>
      </c>
      <c r="BP48" s="253">
        <f t="shared" si="1"/>
        <v>0</v>
      </c>
    </row>
    <row r="49" spans="5:68"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233"/>
      <c r="AK49" s="14"/>
      <c r="AL49" s="14"/>
      <c r="AM49" s="14"/>
      <c r="AN49" s="14"/>
      <c r="AO49" s="14"/>
      <c r="AP49" s="14"/>
      <c r="AQ49" s="14"/>
      <c r="AR49" s="14"/>
      <c r="AS49" s="233" t="s">
        <v>517</v>
      </c>
      <c r="AT49" s="254">
        <v>0</v>
      </c>
      <c r="AU49" s="254">
        <v>0</v>
      </c>
      <c r="AV49" s="254">
        <v>0</v>
      </c>
      <c r="AW49" s="254">
        <v>0</v>
      </c>
      <c r="AX49" s="254">
        <v>0</v>
      </c>
      <c r="AY49" s="254">
        <v>0</v>
      </c>
      <c r="AZ49" s="254">
        <v>0</v>
      </c>
      <c r="BA49" s="254">
        <v>0</v>
      </c>
      <c r="BB49" s="254">
        <v>0</v>
      </c>
      <c r="BC49" s="254">
        <v>0</v>
      </c>
      <c r="BD49" s="254">
        <v>0</v>
      </c>
      <c r="BE49" s="254">
        <v>0</v>
      </c>
      <c r="BF49" s="254">
        <v>0</v>
      </c>
      <c r="BG49" s="254">
        <v>0</v>
      </c>
      <c r="BH49" s="254">
        <f>MCC_M_RUVY_matrices_mat_level!BF114*MCC_h_RUVY_matrices_mat_level!BF114 /MCC_MW_RUVY_matrices_mat_level!BH49</f>
        <v>-9173.2400070490494</v>
      </c>
      <c r="BI49" s="253">
        <f t="shared" si="0"/>
        <v>-9173.2400070490494</v>
      </c>
      <c r="BJ49" s="14"/>
      <c r="BK49" s="14"/>
      <c r="BL49" s="233"/>
      <c r="BM49" s="134" t="s">
        <v>517</v>
      </c>
      <c r="BN49" s="256">
        <f>MCC_M_RUVY_matrices_mat_level!BL114*MCC_h_RUVY_matrices_mat_level!BL114 / MCC_MW_RUVY_matrices_mat_level!BN49</f>
        <v>-3931.3885744495929</v>
      </c>
      <c r="BO49" s="256">
        <v>0</v>
      </c>
      <c r="BP49" s="253">
        <f t="shared" si="1"/>
        <v>-3931.3885744495929</v>
      </c>
    </row>
    <row r="50" spans="5:68"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233"/>
      <c r="AK50" s="14"/>
      <c r="AL50" s="14"/>
      <c r="AM50" s="14"/>
      <c r="AN50" s="14"/>
      <c r="AO50" s="14"/>
      <c r="AP50" s="14"/>
      <c r="AQ50" s="14"/>
      <c r="AR50" s="14"/>
      <c r="AS50" s="233" t="s">
        <v>445</v>
      </c>
      <c r="AT50" s="254">
        <v>0</v>
      </c>
      <c r="AU50" s="254">
        <v>0</v>
      </c>
      <c r="AV50" s="254">
        <v>0</v>
      </c>
      <c r="AW50" s="254">
        <v>0</v>
      </c>
      <c r="AX50" s="254">
        <v>0</v>
      </c>
      <c r="AY50" s="254">
        <v>0</v>
      </c>
      <c r="AZ50" s="254">
        <v>0</v>
      </c>
      <c r="BA50" s="254">
        <v>0</v>
      </c>
      <c r="BB50" s="254">
        <v>0</v>
      </c>
      <c r="BC50" s="254">
        <v>0</v>
      </c>
      <c r="BD50" s="254">
        <v>0</v>
      </c>
      <c r="BE50" s="254">
        <v>0</v>
      </c>
      <c r="BF50" s="254">
        <v>0</v>
      </c>
      <c r="BG50" s="254">
        <v>0</v>
      </c>
      <c r="BH50" s="254">
        <f>MCC_M_RUVY_matrices_mat_level!BF115*MCC_h_RUVY_matrices_mat_level!BF115 /MCC_MW_RUVY_matrices_mat_level!BH50</f>
        <v>6102763.045636192</v>
      </c>
      <c r="BI50" s="253">
        <f t="shared" si="0"/>
        <v>6102763.045636192</v>
      </c>
      <c r="BJ50" s="14"/>
      <c r="BK50" s="14"/>
      <c r="BL50" s="233"/>
      <c r="BM50" s="134" t="s">
        <v>445</v>
      </c>
      <c r="BN50" s="256">
        <v>0</v>
      </c>
      <c r="BO50" s="256">
        <v>0</v>
      </c>
      <c r="BP50" s="253">
        <f t="shared" si="1"/>
        <v>0</v>
      </c>
    </row>
    <row r="51" spans="5:68"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233"/>
      <c r="AK51" s="14"/>
      <c r="AL51" s="14"/>
      <c r="AM51" s="14"/>
      <c r="AN51" s="14"/>
      <c r="AO51" s="14"/>
      <c r="AP51" s="14"/>
      <c r="AQ51" s="14"/>
      <c r="AR51" s="14"/>
      <c r="AS51" s="233" t="s">
        <v>446</v>
      </c>
      <c r="AT51" s="254">
        <v>0</v>
      </c>
      <c r="AU51" s="254">
        <v>0</v>
      </c>
      <c r="AV51" s="254">
        <v>0</v>
      </c>
      <c r="AW51" s="254">
        <v>0</v>
      </c>
      <c r="AX51" s="254">
        <v>0</v>
      </c>
      <c r="AY51" s="254">
        <v>0</v>
      </c>
      <c r="AZ51" s="254">
        <v>0</v>
      </c>
      <c r="BA51" s="254">
        <v>0</v>
      </c>
      <c r="BB51" s="254">
        <v>0</v>
      </c>
      <c r="BC51" s="254">
        <v>0</v>
      </c>
      <c r="BD51" s="254">
        <v>0</v>
      </c>
      <c r="BE51" s="254">
        <v>0</v>
      </c>
      <c r="BF51" s="254">
        <v>0</v>
      </c>
      <c r="BG51" s="254">
        <v>0</v>
      </c>
      <c r="BH51" s="254">
        <v>0</v>
      </c>
      <c r="BI51" s="253">
        <f t="shared" si="0"/>
        <v>0</v>
      </c>
      <c r="BJ51" s="14"/>
      <c r="BK51" s="14"/>
      <c r="BL51" s="233"/>
      <c r="BM51" s="134" t="s">
        <v>446</v>
      </c>
      <c r="BN51" s="256">
        <f>MCC_M_RUVY_matrices_mat_level!BL116*MCC_h_RUVY_matrices_mat_level!BL116 / MCC_MW_RUVY_matrices_mat_level!BN51</f>
        <v>0</v>
      </c>
      <c r="BO51" s="256">
        <v>0</v>
      </c>
      <c r="BP51" s="253">
        <f t="shared" si="1"/>
        <v>0</v>
      </c>
    </row>
    <row r="52" spans="5:68"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233"/>
      <c r="AK52" s="14"/>
      <c r="AL52" s="14"/>
      <c r="AM52" s="14"/>
      <c r="AN52" s="14"/>
      <c r="AO52" s="14"/>
      <c r="AP52" s="14"/>
      <c r="AQ52" s="14"/>
      <c r="AR52" s="14"/>
      <c r="AS52" s="233" t="s">
        <v>447</v>
      </c>
      <c r="AT52" s="254">
        <v>0</v>
      </c>
      <c r="AU52" s="254">
        <v>0</v>
      </c>
      <c r="AV52" s="254">
        <v>0</v>
      </c>
      <c r="AW52" s="254">
        <v>0</v>
      </c>
      <c r="AX52" s="254">
        <v>0</v>
      </c>
      <c r="AY52" s="254">
        <v>0</v>
      </c>
      <c r="AZ52" s="254">
        <v>0</v>
      </c>
      <c r="BA52" s="254">
        <v>0</v>
      </c>
      <c r="BB52" s="254">
        <v>0</v>
      </c>
      <c r="BC52" s="254">
        <v>0</v>
      </c>
      <c r="BD52" s="254">
        <v>0</v>
      </c>
      <c r="BE52" s="254">
        <v>0</v>
      </c>
      <c r="BF52" s="254">
        <v>0</v>
      </c>
      <c r="BG52" s="254">
        <v>0</v>
      </c>
      <c r="BH52" s="254">
        <v>0</v>
      </c>
      <c r="BI52" s="253">
        <f t="shared" si="0"/>
        <v>0</v>
      </c>
      <c r="BJ52" s="14"/>
      <c r="BK52" s="14"/>
      <c r="BL52" s="14"/>
      <c r="BM52" s="262" t="s">
        <v>447</v>
      </c>
      <c r="BN52" s="256">
        <v>0</v>
      </c>
      <c r="BO52" s="256">
        <f>MCC_M_RUVY_matrices_mat_level!BM117*MCC_h_RUVY_matrices_mat_level!BM117 / MCC_MW_RUVY_matrices_mat_level!BO52</f>
        <v>-2788514.0257371739</v>
      </c>
      <c r="BP52" s="253">
        <f t="shared" si="1"/>
        <v>-2788514.0257371739</v>
      </c>
    </row>
    <row r="53" spans="5:68"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233"/>
      <c r="AK53" s="14"/>
      <c r="AL53" s="14"/>
      <c r="AM53" s="14"/>
      <c r="AN53" s="14"/>
      <c r="AO53" s="14"/>
      <c r="AP53" s="14"/>
      <c r="AQ53" s="14"/>
      <c r="AR53" s="14"/>
      <c r="AS53" s="233" t="s">
        <v>457</v>
      </c>
      <c r="AT53" s="254">
        <v>0</v>
      </c>
      <c r="AU53" s="254">
        <v>0</v>
      </c>
      <c r="AV53" s="254">
        <v>0</v>
      </c>
      <c r="AW53" s="254">
        <v>0</v>
      </c>
      <c r="AX53" s="254">
        <v>0</v>
      </c>
      <c r="AY53" s="254">
        <v>0</v>
      </c>
      <c r="AZ53" s="254">
        <v>0</v>
      </c>
      <c r="BA53" s="254">
        <v>0</v>
      </c>
      <c r="BB53" s="254">
        <v>0</v>
      </c>
      <c r="BC53" s="254">
        <v>0</v>
      </c>
      <c r="BD53" s="254">
        <v>0</v>
      </c>
      <c r="BE53" s="254">
        <v>0</v>
      </c>
      <c r="BF53" s="254">
        <v>0</v>
      </c>
      <c r="BG53" s="254">
        <v>0</v>
      </c>
      <c r="BH53" s="254">
        <v>0</v>
      </c>
      <c r="BI53" s="253">
        <f t="shared" si="0"/>
        <v>0</v>
      </c>
      <c r="BJ53" s="14"/>
      <c r="BK53" s="14"/>
      <c r="BL53" s="14"/>
      <c r="BM53" s="262" t="s">
        <v>457</v>
      </c>
      <c r="BN53" s="256">
        <v>0</v>
      </c>
      <c r="BO53" s="256">
        <f>MCC_M_RUVY_matrices_mat_level!BM118*MCC_h_RUVY_matrices_mat_level!BM118 / MCC_MW_RUVY_matrices_mat_level!BO53</f>
        <v>-177387.6603372262</v>
      </c>
      <c r="BP53" s="253">
        <f t="shared" si="1"/>
        <v>-177387.6603372262</v>
      </c>
    </row>
    <row r="54" spans="5:68">
      <c r="E54" s="14"/>
      <c r="F54" s="393"/>
      <c r="G54" s="393"/>
      <c r="H54" s="265"/>
      <c r="I54" s="265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  <c r="AA54" s="265"/>
      <c r="AB54" s="265"/>
      <c r="AC54" s="265"/>
      <c r="AD54" s="265"/>
      <c r="AE54" s="265"/>
      <c r="AF54" s="265"/>
      <c r="AG54" s="265"/>
      <c r="AH54" s="265"/>
      <c r="AI54" s="265"/>
      <c r="AJ54" s="233"/>
      <c r="AK54" s="265"/>
      <c r="AL54" s="265"/>
      <c r="AM54" s="265"/>
      <c r="AN54" s="265"/>
      <c r="AO54" s="265"/>
      <c r="AP54" s="265"/>
      <c r="AQ54" s="265"/>
      <c r="AR54" s="14"/>
      <c r="AS54" s="14"/>
      <c r="AT54" s="390" t="s">
        <v>328</v>
      </c>
      <c r="AU54" s="313"/>
      <c r="AV54" s="313"/>
      <c r="AW54" s="313"/>
      <c r="AX54" s="313"/>
      <c r="AY54" s="313"/>
      <c r="AZ54" s="313"/>
      <c r="BA54" s="313"/>
      <c r="BB54" s="313"/>
      <c r="BC54" s="313"/>
      <c r="BD54" s="313"/>
      <c r="BE54" s="313"/>
      <c r="BF54" s="313"/>
      <c r="BG54" s="313"/>
      <c r="BH54" s="313"/>
      <c r="BI54" s="52" t="s">
        <v>369</v>
      </c>
      <c r="BJ54" s="14"/>
      <c r="BK54" s="14"/>
      <c r="BL54" s="14"/>
      <c r="BM54" s="252"/>
      <c r="BN54" s="392" t="s">
        <v>330</v>
      </c>
      <c r="BO54" s="392">
        <v>-89.61</v>
      </c>
      <c r="BP54" s="52" t="s">
        <v>381</v>
      </c>
    </row>
    <row r="55" spans="5:68">
      <c r="AQ55" s="14"/>
      <c r="AR55" s="14"/>
      <c r="AS55" s="14"/>
      <c r="AT55" s="266">
        <f>SUM(AT18:AT53)</f>
        <v>-1689824.7786463453</v>
      </c>
      <c r="AU55" s="266">
        <f t="shared" ref="AU55:BH55" si="2">SUM(AU18:AU53)</f>
        <v>-1359217.3367370586</v>
      </c>
      <c r="AV55" s="266">
        <f t="shared" si="2"/>
        <v>9148397.3079415839</v>
      </c>
      <c r="AW55" s="266">
        <f t="shared" si="2"/>
        <v>-1777985.4355511186</v>
      </c>
      <c r="AX55" s="266">
        <f t="shared" si="2"/>
        <v>-1359457.7959575919</v>
      </c>
      <c r="AY55" s="266">
        <f t="shared" si="2"/>
        <v>9126570.1860198174</v>
      </c>
      <c r="AZ55" s="266">
        <f t="shared" si="2"/>
        <v>-1777985.4355511186</v>
      </c>
      <c r="BA55" s="266">
        <f t="shared" si="2"/>
        <v>-1359457.7959575919</v>
      </c>
      <c r="BB55" s="266">
        <f t="shared" si="2"/>
        <v>9126570.1860198174</v>
      </c>
      <c r="BC55" s="266">
        <f t="shared" si="2"/>
        <v>-1534440.1295455615</v>
      </c>
      <c r="BD55" s="266">
        <f>SUM(BD18:BD53)</f>
        <v>8177363.7605391415</v>
      </c>
      <c r="BE55" s="266">
        <f t="shared" si="2"/>
        <v>-13740.19434752778</v>
      </c>
      <c r="BF55" s="266">
        <f t="shared" si="2"/>
        <v>-13104.628581498642</v>
      </c>
      <c r="BG55" s="266">
        <f t="shared" si="2"/>
        <v>1060783.6165065998</v>
      </c>
      <c r="BH55" s="266">
        <f t="shared" si="2"/>
        <v>6078804.8232561611</v>
      </c>
      <c r="BJ55" s="14"/>
      <c r="BK55" s="14"/>
      <c r="BL55" s="14"/>
      <c r="BM55" s="14"/>
      <c r="BN55" s="252"/>
      <c r="BO55" s="14"/>
    </row>
    <row r="56" spans="5:68">
      <c r="AQ56" s="14"/>
      <c r="AR56" s="14"/>
      <c r="AS56" s="14"/>
      <c r="AT56" s="390" t="s">
        <v>368</v>
      </c>
      <c r="AU56" s="390"/>
      <c r="AV56" s="390"/>
      <c r="AW56" s="390"/>
      <c r="AX56" s="390"/>
      <c r="AY56" s="390"/>
      <c r="AZ56" s="390"/>
      <c r="BA56" s="390"/>
      <c r="BB56" s="390"/>
      <c r="BC56" s="390"/>
      <c r="BD56" s="390"/>
      <c r="BE56" s="390"/>
      <c r="BF56" s="390"/>
      <c r="BG56" s="390"/>
      <c r="BH56" s="390"/>
      <c r="BJ56" s="14"/>
      <c r="BK56" s="14"/>
      <c r="BL56" s="14"/>
      <c r="BM56" s="14"/>
      <c r="BN56" s="252"/>
      <c r="BO56" s="14"/>
    </row>
    <row r="57" spans="5:68" ht="235.95" customHeight="1">
      <c r="E57" s="60"/>
      <c r="F57" s="234" t="s">
        <v>333</v>
      </c>
      <c r="G57" s="234" t="s">
        <v>335</v>
      </c>
      <c r="H57" s="234" t="s">
        <v>336</v>
      </c>
      <c r="I57" s="234" t="s">
        <v>355</v>
      </c>
      <c r="J57" s="234" t="s">
        <v>377</v>
      </c>
      <c r="K57" s="234" t="s">
        <v>466</v>
      </c>
      <c r="L57" s="234" t="s">
        <v>467</v>
      </c>
      <c r="M57" s="234" t="s">
        <v>411</v>
      </c>
      <c r="N57" s="234" t="s">
        <v>459</v>
      </c>
      <c r="O57" s="235" t="s">
        <v>442</v>
      </c>
      <c r="P57" s="234" t="s">
        <v>409</v>
      </c>
      <c r="Q57" s="235" t="s">
        <v>412</v>
      </c>
      <c r="R57" s="234" t="s">
        <v>437</v>
      </c>
      <c r="S57" s="236" t="s">
        <v>430</v>
      </c>
      <c r="T57" s="234" t="s">
        <v>416</v>
      </c>
      <c r="U57" s="235" t="s">
        <v>441</v>
      </c>
      <c r="V57" s="235" t="s">
        <v>436</v>
      </c>
      <c r="W57" s="235" t="s">
        <v>433</v>
      </c>
      <c r="X57" s="235" t="s">
        <v>439</v>
      </c>
      <c r="Y57" s="236" t="s">
        <v>438</v>
      </c>
      <c r="Z57" s="236" t="s">
        <v>424</v>
      </c>
      <c r="AA57" s="236" t="s">
        <v>456</v>
      </c>
      <c r="AB57" s="236" t="s">
        <v>425</v>
      </c>
      <c r="AC57" s="236" t="s">
        <v>427</v>
      </c>
      <c r="AD57" s="236" t="s">
        <v>426</v>
      </c>
      <c r="AE57" s="236" t="s">
        <v>484</v>
      </c>
      <c r="AF57" s="238" t="s">
        <v>422</v>
      </c>
      <c r="AG57" s="238" t="s">
        <v>552</v>
      </c>
      <c r="AH57" s="236" t="s">
        <v>421</v>
      </c>
      <c r="AI57" s="234" t="s">
        <v>423</v>
      </c>
      <c r="AJ57" s="236" t="s">
        <v>515</v>
      </c>
      <c r="AK57" s="236" t="s">
        <v>517</v>
      </c>
      <c r="AL57" s="236" t="s">
        <v>445</v>
      </c>
      <c r="AM57" s="236" t="s">
        <v>446</v>
      </c>
      <c r="AN57" s="236" t="s">
        <v>447</v>
      </c>
      <c r="AO57" s="236" t="s">
        <v>457</v>
      </c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</row>
    <row r="58" spans="5:68">
      <c r="E58" s="134" t="s">
        <v>325</v>
      </c>
      <c r="F58" s="237">
        <v>0</v>
      </c>
      <c r="G58" s="237">
        <v>0</v>
      </c>
      <c r="H58" s="237">
        <v>0</v>
      </c>
      <c r="I58" s="237">
        <v>0</v>
      </c>
      <c r="J58" s="237">
        <v>0</v>
      </c>
      <c r="K58" s="237">
        <v>0</v>
      </c>
      <c r="L58" s="237">
        <v>0</v>
      </c>
      <c r="M58" s="237">
        <v>0</v>
      </c>
      <c r="N58" s="237">
        <v>0</v>
      </c>
      <c r="O58" s="237">
        <f>MCC_M_RUVY_matrices_mat_level!L124*MCC_h_RUVY_matrices_mat_level!L123 /MCC_MW_RUVY_matrices_mat_level!O57</f>
        <v>-1777985.4355511186</v>
      </c>
      <c r="P58" s="237">
        <f>MCC_M_RUVY_matrices_mat_level!M124*MCC_h_RUVY_matrices_mat_level!M123 /MCC_MW_RUVY_matrices_mat_level!P57</f>
        <v>-35429.897676176748</v>
      </c>
      <c r="Q58" s="237">
        <v>0</v>
      </c>
      <c r="R58" s="237">
        <v>0</v>
      </c>
      <c r="S58" s="237">
        <v>0</v>
      </c>
      <c r="T58" s="237">
        <v>0</v>
      </c>
      <c r="U58" s="237">
        <v>0</v>
      </c>
      <c r="V58" s="237">
        <v>0</v>
      </c>
      <c r="W58" s="237">
        <v>0</v>
      </c>
      <c r="X58" s="237">
        <v>0</v>
      </c>
      <c r="Y58" s="237">
        <v>0</v>
      </c>
      <c r="Z58" s="237">
        <v>0</v>
      </c>
      <c r="AA58" s="237">
        <v>0</v>
      </c>
      <c r="AB58" s="237">
        <v>0</v>
      </c>
      <c r="AC58" s="237">
        <v>0</v>
      </c>
      <c r="AD58" s="237">
        <v>0</v>
      </c>
      <c r="AE58" s="237">
        <v>0</v>
      </c>
      <c r="AF58" s="237">
        <v>0</v>
      </c>
      <c r="AG58" s="237">
        <v>0</v>
      </c>
      <c r="AH58" s="237">
        <v>0</v>
      </c>
      <c r="AI58" s="237">
        <v>0</v>
      </c>
      <c r="AJ58" s="237">
        <v>0</v>
      </c>
      <c r="AK58" s="237">
        <v>0</v>
      </c>
      <c r="AL58" s="237">
        <v>0</v>
      </c>
      <c r="AM58" s="237">
        <v>0</v>
      </c>
      <c r="AN58" s="237">
        <v>0</v>
      </c>
      <c r="AO58" s="237">
        <v>0</v>
      </c>
      <c r="AP58" s="251">
        <f>SUM(F58:AO58)</f>
        <v>-1813415.3332272954</v>
      </c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</row>
    <row r="59" spans="5:68">
      <c r="E59" s="134" t="s">
        <v>326</v>
      </c>
      <c r="F59" s="237">
        <v>0</v>
      </c>
      <c r="G59" s="237">
        <v>0</v>
      </c>
      <c r="H59" s="237">
        <v>0</v>
      </c>
      <c r="I59" s="237">
        <v>0</v>
      </c>
      <c r="J59" s="237">
        <v>0</v>
      </c>
      <c r="K59" s="237">
        <v>0</v>
      </c>
      <c r="L59" s="237">
        <v>0</v>
      </c>
      <c r="M59" s="237">
        <v>0</v>
      </c>
      <c r="N59" s="237">
        <v>0</v>
      </c>
      <c r="O59" s="237">
        <v>0</v>
      </c>
      <c r="P59" s="237">
        <v>0</v>
      </c>
      <c r="Q59" s="237">
        <f>MCC_M_RUVY_matrices_mat_level!N125*MCC_h_RUVY_matrices_mat_level!N124 /MCC_MW_RUVY_matrices_mat_level!Q58</f>
        <v>-1359457.7959575919</v>
      </c>
      <c r="R59" s="237">
        <f>MCC_M_RUVY_matrices_mat_level!O125*MCC_h_RUVY_matrices_mat_level!O124 /MCC_MW_RUVY_matrices_mat_level!R58</f>
        <v>-106.02767886152715</v>
      </c>
      <c r="S59" s="237">
        <v>0</v>
      </c>
      <c r="T59" s="237">
        <v>0</v>
      </c>
      <c r="U59" s="237">
        <v>0</v>
      </c>
      <c r="V59" s="237">
        <v>0</v>
      </c>
      <c r="W59" s="237">
        <v>0</v>
      </c>
      <c r="X59" s="237">
        <v>0</v>
      </c>
      <c r="Y59" s="237">
        <v>0</v>
      </c>
      <c r="Z59" s="237">
        <v>0</v>
      </c>
      <c r="AA59" s="237">
        <v>0</v>
      </c>
      <c r="AB59" s="237">
        <v>0</v>
      </c>
      <c r="AC59" s="237">
        <v>0</v>
      </c>
      <c r="AD59" s="237">
        <v>0</v>
      </c>
      <c r="AE59" s="237">
        <v>0</v>
      </c>
      <c r="AF59" s="237">
        <v>0</v>
      </c>
      <c r="AG59" s="237">
        <v>0</v>
      </c>
      <c r="AH59" s="237">
        <v>0</v>
      </c>
      <c r="AI59" s="237">
        <v>0</v>
      </c>
      <c r="AJ59" s="237">
        <v>0</v>
      </c>
      <c r="AK59" s="237">
        <v>0</v>
      </c>
      <c r="AL59" s="237">
        <v>0</v>
      </c>
      <c r="AM59" s="237">
        <v>0</v>
      </c>
      <c r="AN59" s="237">
        <v>0</v>
      </c>
      <c r="AO59" s="237">
        <v>0</v>
      </c>
      <c r="AP59" s="251">
        <f t="shared" ref="AP59:AP72" si="3">SUM(F59:AO59)</f>
        <v>-1359563.8236364534</v>
      </c>
      <c r="AQ59" s="14"/>
      <c r="AR59" s="14"/>
      <c r="AS59" s="14"/>
      <c r="AT59" s="252"/>
      <c r="AU59" s="252"/>
      <c r="AV59" s="252"/>
      <c r="AW59" s="252"/>
      <c r="AX59" s="252"/>
      <c r="AY59" s="252"/>
      <c r="AZ59" s="252"/>
      <c r="BA59" s="252"/>
      <c r="BB59" s="252"/>
      <c r="BC59" s="252"/>
      <c r="BD59" s="252"/>
      <c r="BE59" s="252"/>
      <c r="BF59" s="252"/>
      <c r="BG59" s="252"/>
      <c r="BH59" s="14"/>
      <c r="BI59" s="14"/>
      <c r="BJ59" s="14"/>
      <c r="BK59" s="14"/>
      <c r="BL59" s="14"/>
      <c r="BM59" s="252"/>
      <c r="BN59" s="252"/>
      <c r="BO59" s="14"/>
    </row>
    <row r="60" spans="5:68">
      <c r="E60" s="134" t="s">
        <v>327</v>
      </c>
      <c r="F60" s="237">
        <v>0</v>
      </c>
      <c r="G60" s="237">
        <v>0</v>
      </c>
      <c r="H60" s="237">
        <v>0</v>
      </c>
      <c r="I60" s="237">
        <v>0</v>
      </c>
      <c r="J60" s="237">
        <v>0</v>
      </c>
      <c r="K60" s="237">
        <v>0</v>
      </c>
      <c r="L60" s="237">
        <v>0</v>
      </c>
      <c r="M60" s="237">
        <v>0</v>
      </c>
      <c r="N60" s="237">
        <v>0</v>
      </c>
      <c r="O60" s="237">
        <v>0</v>
      </c>
      <c r="P60" s="237">
        <v>0</v>
      </c>
      <c r="Q60" s="237">
        <v>0</v>
      </c>
      <c r="R60" s="237">
        <v>0</v>
      </c>
      <c r="S60" s="237">
        <f>MCC_M_RUVY_matrices_mat_level!P126*MCC_h_RUVY_matrices_mat_level!P125 /MCC_MW_RUVY_matrices_mat_level!S59</f>
        <v>9126570.1860198174</v>
      </c>
      <c r="T60" s="237">
        <f>MCC_M_RUVY_matrices_mat_level!Q126*MCC_h_RUVY_matrices_mat_level!Q125 /MCC_MW_RUVY_matrices_mat_level!T59</f>
        <v>-8771.8572366008211</v>
      </c>
      <c r="U60" s="237">
        <v>0</v>
      </c>
      <c r="V60" s="237">
        <v>0</v>
      </c>
      <c r="W60" s="237">
        <v>0</v>
      </c>
      <c r="X60" s="237">
        <v>0</v>
      </c>
      <c r="Y60" s="237">
        <v>0</v>
      </c>
      <c r="Z60" s="237">
        <v>0</v>
      </c>
      <c r="AA60" s="237">
        <v>0</v>
      </c>
      <c r="AB60" s="237">
        <v>0</v>
      </c>
      <c r="AC60" s="237">
        <v>0</v>
      </c>
      <c r="AD60" s="237">
        <v>0</v>
      </c>
      <c r="AE60" s="237">
        <v>0</v>
      </c>
      <c r="AF60" s="237">
        <v>0</v>
      </c>
      <c r="AG60" s="237">
        <v>0</v>
      </c>
      <c r="AH60" s="237">
        <v>0</v>
      </c>
      <c r="AI60" s="237">
        <v>0</v>
      </c>
      <c r="AJ60" s="237">
        <v>0</v>
      </c>
      <c r="AK60" s="237">
        <v>0</v>
      </c>
      <c r="AL60" s="237">
        <v>0</v>
      </c>
      <c r="AM60" s="237">
        <v>0</v>
      </c>
      <c r="AN60" s="237">
        <v>0</v>
      </c>
      <c r="AO60" s="237">
        <v>0</v>
      </c>
      <c r="AP60" s="251">
        <f t="shared" si="3"/>
        <v>9117798.328783216</v>
      </c>
      <c r="AQ60" s="14"/>
      <c r="AR60" s="14"/>
      <c r="AS60" s="14"/>
      <c r="AT60" s="252"/>
      <c r="AU60" s="252"/>
      <c r="AV60" s="252"/>
      <c r="AW60" s="252"/>
      <c r="AX60" s="252"/>
      <c r="AY60" s="252"/>
      <c r="AZ60" s="252"/>
      <c r="BA60" s="252"/>
      <c r="BB60" s="252"/>
      <c r="BC60" s="252"/>
      <c r="BD60" s="252"/>
      <c r="BE60" s="252"/>
      <c r="BF60" s="252"/>
      <c r="BG60" s="252"/>
      <c r="BH60" s="14"/>
      <c r="BI60" s="14"/>
      <c r="BJ60" s="14"/>
      <c r="BK60" s="14"/>
      <c r="BL60" s="14"/>
      <c r="BM60" s="252"/>
      <c r="BN60" s="252"/>
      <c r="BO60" s="14"/>
    </row>
    <row r="61" spans="5:68">
      <c r="E61" s="134" t="s">
        <v>455</v>
      </c>
      <c r="F61" s="237">
        <v>0</v>
      </c>
      <c r="G61" s="237">
        <v>0</v>
      </c>
      <c r="H61" s="237">
        <v>0</v>
      </c>
      <c r="I61" s="237">
        <v>0</v>
      </c>
      <c r="J61" s="237">
        <v>0</v>
      </c>
      <c r="K61" s="237">
        <v>0</v>
      </c>
      <c r="L61" s="237">
        <v>0</v>
      </c>
      <c r="M61" s="237">
        <v>0</v>
      </c>
      <c r="N61" s="237">
        <v>0</v>
      </c>
      <c r="O61" s="237">
        <v>0</v>
      </c>
      <c r="P61" s="237">
        <v>0</v>
      </c>
      <c r="Q61" s="237">
        <v>0</v>
      </c>
      <c r="R61" s="237">
        <v>0</v>
      </c>
      <c r="S61" s="237">
        <v>0</v>
      </c>
      <c r="T61" s="237">
        <v>0</v>
      </c>
      <c r="U61" s="237">
        <f>MCC_M_RUVY_matrices_mat_level!R127*MCC_h_RUVY_matrices_mat_level!R126 /MCC_MW_RUVY_matrices_mat_level!U60</f>
        <v>-1777985.4355511186</v>
      </c>
      <c r="V61" s="237">
        <v>0</v>
      </c>
      <c r="W61" s="237">
        <v>0</v>
      </c>
      <c r="X61" s="237">
        <v>0</v>
      </c>
      <c r="Y61" s="237">
        <v>0</v>
      </c>
      <c r="Z61" s="237">
        <v>0</v>
      </c>
      <c r="AA61" s="237">
        <v>0</v>
      </c>
      <c r="AB61" s="237">
        <v>0</v>
      </c>
      <c r="AC61" s="237">
        <v>0</v>
      </c>
      <c r="AD61" s="237">
        <v>0</v>
      </c>
      <c r="AE61" s="237">
        <v>0</v>
      </c>
      <c r="AF61" s="237">
        <v>0</v>
      </c>
      <c r="AG61" s="237">
        <v>0</v>
      </c>
      <c r="AH61" s="237">
        <v>0</v>
      </c>
      <c r="AI61" s="237">
        <v>0</v>
      </c>
      <c r="AJ61" s="237">
        <v>0</v>
      </c>
      <c r="AK61" s="237">
        <v>0</v>
      </c>
      <c r="AL61" s="237">
        <v>0</v>
      </c>
      <c r="AM61" s="237">
        <v>0</v>
      </c>
      <c r="AN61" s="237">
        <v>0</v>
      </c>
      <c r="AO61" s="237">
        <v>0</v>
      </c>
      <c r="AP61" s="251">
        <f t="shared" si="3"/>
        <v>-1777985.4355511186</v>
      </c>
      <c r="AQ61" s="14"/>
      <c r="AR61" s="14"/>
      <c r="AS61" s="14"/>
      <c r="AT61" s="252"/>
      <c r="AU61" s="252"/>
      <c r="AV61" s="252"/>
      <c r="AW61" s="252"/>
      <c r="AX61" s="252"/>
      <c r="AY61" s="252"/>
      <c r="AZ61" s="252"/>
      <c r="BA61" s="252"/>
      <c r="BB61" s="252"/>
      <c r="BC61" s="252"/>
      <c r="BD61" s="252"/>
      <c r="BE61" s="252"/>
      <c r="BF61" s="252"/>
      <c r="BG61" s="252"/>
      <c r="BH61" s="14"/>
      <c r="BI61" s="14"/>
      <c r="BJ61" s="14"/>
      <c r="BK61" s="14"/>
      <c r="BL61" s="14"/>
      <c r="BM61" s="252"/>
      <c r="BN61" s="252"/>
      <c r="BO61" s="14"/>
    </row>
    <row r="62" spans="5:68">
      <c r="E62" s="134" t="s">
        <v>435</v>
      </c>
      <c r="F62" s="237">
        <v>0</v>
      </c>
      <c r="G62" s="237">
        <v>0</v>
      </c>
      <c r="H62" s="237">
        <v>0</v>
      </c>
      <c r="I62" s="237">
        <v>0</v>
      </c>
      <c r="J62" s="237">
        <v>0</v>
      </c>
      <c r="K62" s="237">
        <v>0</v>
      </c>
      <c r="L62" s="237">
        <v>0</v>
      </c>
      <c r="M62" s="237">
        <v>0</v>
      </c>
      <c r="N62" s="237">
        <v>0</v>
      </c>
      <c r="O62" s="237">
        <v>0</v>
      </c>
      <c r="P62" s="237">
        <v>0</v>
      </c>
      <c r="Q62" s="237">
        <v>0</v>
      </c>
      <c r="R62" s="237">
        <v>0</v>
      </c>
      <c r="S62" s="237">
        <v>0</v>
      </c>
      <c r="T62" s="237">
        <v>0</v>
      </c>
      <c r="U62" s="237">
        <v>0</v>
      </c>
      <c r="V62" s="237">
        <f>MCC_M_RUVY_matrices_mat_level!S128*MCC_h_RUVY_matrices_mat_level!S127 /MCC_MW_RUVY_matrices_mat_level!V61</f>
        <v>-1359457.7959575919</v>
      </c>
      <c r="W62" s="237">
        <v>0</v>
      </c>
      <c r="X62" s="237">
        <v>0</v>
      </c>
      <c r="Y62" s="237">
        <v>0</v>
      </c>
      <c r="Z62" s="237">
        <v>0</v>
      </c>
      <c r="AA62" s="237">
        <v>0</v>
      </c>
      <c r="AB62" s="237">
        <v>0</v>
      </c>
      <c r="AC62" s="237">
        <v>0</v>
      </c>
      <c r="AD62" s="237">
        <v>0</v>
      </c>
      <c r="AE62" s="237">
        <v>0</v>
      </c>
      <c r="AF62" s="237">
        <v>0</v>
      </c>
      <c r="AG62" s="237">
        <v>0</v>
      </c>
      <c r="AH62" s="237">
        <v>0</v>
      </c>
      <c r="AI62" s="237">
        <v>0</v>
      </c>
      <c r="AJ62" s="237">
        <v>0</v>
      </c>
      <c r="AK62" s="237">
        <v>0</v>
      </c>
      <c r="AL62" s="237">
        <v>0</v>
      </c>
      <c r="AM62" s="237">
        <v>0</v>
      </c>
      <c r="AN62" s="237">
        <v>0</v>
      </c>
      <c r="AO62" s="237">
        <v>0</v>
      </c>
      <c r="AP62" s="251">
        <f t="shared" si="3"/>
        <v>-1359457.7959575919</v>
      </c>
      <c r="AQ62" s="14"/>
      <c r="AR62" s="14"/>
      <c r="AS62" s="14"/>
      <c r="AT62" s="252"/>
      <c r="AU62" s="252"/>
      <c r="AV62" s="252"/>
      <c r="AW62" s="252"/>
      <c r="AX62" s="252"/>
      <c r="AY62" s="252"/>
      <c r="AZ62" s="252"/>
      <c r="BA62" s="252"/>
      <c r="BB62" s="252"/>
      <c r="BC62" s="252"/>
      <c r="BD62" s="252"/>
      <c r="BE62" s="252"/>
      <c r="BF62" s="252"/>
      <c r="BG62" s="252"/>
      <c r="BH62" s="14"/>
      <c r="BI62" s="14"/>
      <c r="BJ62" s="14"/>
      <c r="BK62" s="14"/>
      <c r="BL62" s="14"/>
      <c r="BM62" s="252"/>
      <c r="BN62" s="252"/>
      <c r="BO62" s="14"/>
    </row>
    <row r="63" spans="5:68">
      <c r="E63" s="134" t="s">
        <v>434</v>
      </c>
      <c r="F63" s="237">
        <v>0</v>
      </c>
      <c r="G63" s="237">
        <v>0</v>
      </c>
      <c r="H63" s="237">
        <v>0</v>
      </c>
      <c r="I63" s="237">
        <v>0</v>
      </c>
      <c r="J63" s="237">
        <v>0</v>
      </c>
      <c r="K63" s="237">
        <v>0</v>
      </c>
      <c r="L63" s="237">
        <v>0</v>
      </c>
      <c r="M63" s="237">
        <v>0</v>
      </c>
      <c r="N63" s="237">
        <v>0</v>
      </c>
      <c r="O63" s="237">
        <v>0</v>
      </c>
      <c r="P63" s="237">
        <v>0</v>
      </c>
      <c r="Q63" s="237">
        <v>0</v>
      </c>
      <c r="R63" s="237">
        <v>0</v>
      </c>
      <c r="S63" s="237">
        <v>0</v>
      </c>
      <c r="T63" s="237">
        <v>0</v>
      </c>
      <c r="U63" s="237">
        <v>0</v>
      </c>
      <c r="V63" s="237">
        <v>0</v>
      </c>
      <c r="W63" s="237">
        <f>MCC_M_RUVY_matrices_mat_level!T129*MCC_h_RUVY_matrices_mat_level!T128 /MCC_MW_RUVY_matrices_mat_level!W62</f>
        <v>9126570.1860198174</v>
      </c>
      <c r="X63" s="237">
        <v>0</v>
      </c>
      <c r="Y63" s="237">
        <v>0</v>
      </c>
      <c r="Z63" s="237">
        <v>0</v>
      </c>
      <c r="AA63" s="237">
        <v>0</v>
      </c>
      <c r="AB63" s="237">
        <v>0</v>
      </c>
      <c r="AC63" s="237">
        <v>0</v>
      </c>
      <c r="AD63" s="237">
        <v>0</v>
      </c>
      <c r="AE63" s="237">
        <v>0</v>
      </c>
      <c r="AF63" s="237">
        <v>0</v>
      </c>
      <c r="AG63" s="237">
        <v>0</v>
      </c>
      <c r="AH63" s="237">
        <v>0</v>
      </c>
      <c r="AI63" s="237">
        <v>0</v>
      </c>
      <c r="AJ63" s="237">
        <v>0</v>
      </c>
      <c r="AK63" s="237">
        <v>0</v>
      </c>
      <c r="AL63" s="237">
        <v>0</v>
      </c>
      <c r="AM63" s="237">
        <v>0</v>
      </c>
      <c r="AN63" s="237">
        <v>0</v>
      </c>
      <c r="AO63" s="237">
        <v>0</v>
      </c>
      <c r="AP63" s="251">
        <f t="shared" si="3"/>
        <v>9126570.1860198174</v>
      </c>
      <c r="AQ63" s="14"/>
      <c r="AR63" s="14"/>
      <c r="AS63" s="14"/>
      <c r="AT63" s="252"/>
      <c r="AU63" s="252"/>
      <c r="AV63" s="252"/>
      <c r="AW63" s="252"/>
      <c r="AX63" s="252"/>
      <c r="AY63" s="252"/>
      <c r="AZ63" s="252"/>
      <c r="BA63" s="252"/>
      <c r="BB63" s="252"/>
      <c r="BC63" s="252"/>
      <c r="BD63" s="252"/>
      <c r="BE63" s="252"/>
      <c r="BF63" s="252"/>
      <c r="BG63" s="252"/>
      <c r="BH63" s="14"/>
      <c r="BI63" s="14"/>
      <c r="BJ63" s="14"/>
      <c r="BK63" s="14"/>
      <c r="BL63" s="14"/>
      <c r="BM63" s="252"/>
      <c r="BN63" s="252"/>
      <c r="BO63" s="14"/>
    </row>
    <row r="64" spans="5:68">
      <c r="E64" s="134" t="s">
        <v>351</v>
      </c>
      <c r="F64" s="237">
        <v>0</v>
      </c>
      <c r="G64" s="237">
        <v>0</v>
      </c>
      <c r="H64" s="237">
        <v>0</v>
      </c>
      <c r="I64" s="237">
        <v>0</v>
      </c>
      <c r="J64" s="237">
        <v>0</v>
      </c>
      <c r="K64" s="237">
        <v>0</v>
      </c>
      <c r="L64" s="237">
        <v>0</v>
      </c>
      <c r="M64" s="237">
        <v>0</v>
      </c>
      <c r="N64" s="237">
        <v>0</v>
      </c>
      <c r="O64" s="237">
        <v>0</v>
      </c>
      <c r="P64" s="237">
        <v>0</v>
      </c>
      <c r="Q64" s="237">
        <v>0</v>
      </c>
      <c r="R64" s="237">
        <v>0</v>
      </c>
      <c r="S64" s="237">
        <v>0</v>
      </c>
      <c r="T64" s="237">
        <v>0</v>
      </c>
      <c r="U64" s="237">
        <v>0</v>
      </c>
      <c r="V64" s="237">
        <v>0</v>
      </c>
      <c r="W64" s="237">
        <v>0</v>
      </c>
      <c r="X64" s="237">
        <f>MCC_M_RUVY_matrices_mat_level!U130*MCC_h_RUVY_matrices_mat_level!U129 /MCC_MW_RUVY_matrices_mat_level!X63</f>
        <v>-3797055.1820632704</v>
      </c>
      <c r="Y64" s="237">
        <f>MCC_M_RUVY_matrices_mat_level!V130*MCC_h_RUVY_matrices_mat_level!V129 /MCC_MW_RUVY_matrices_mat_level!Y63</f>
        <v>-66021.418271669754</v>
      </c>
      <c r="Z64" s="237">
        <v>0</v>
      </c>
      <c r="AA64" s="237">
        <v>0</v>
      </c>
      <c r="AB64" s="237">
        <v>0</v>
      </c>
      <c r="AC64" s="237">
        <v>0</v>
      </c>
      <c r="AD64" s="237">
        <v>0</v>
      </c>
      <c r="AE64" s="237">
        <v>0</v>
      </c>
      <c r="AF64" s="237">
        <v>0</v>
      </c>
      <c r="AG64" s="237">
        <v>0</v>
      </c>
      <c r="AH64" s="237">
        <v>0</v>
      </c>
      <c r="AI64" s="237">
        <v>0</v>
      </c>
      <c r="AJ64" s="237">
        <v>0</v>
      </c>
      <c r="AK64" s="237">
        <v>0</v>
      </c>
      <c r="AL64" s="237">
        <v>0</v>
      </c>
      <c r="AM64" s="237">
        <v>0</v>
      </c>
      <c r="AN64" s="237">
        <v>0</v>
      </c>
      <c r="AO64" s="237">
        <v>0</v>
      </c>
      <c r="AP64" s="251">
        <f t="shared" si="3"/>
        <v>-3863076.60033494</v>
      </c>
      <c r="AQ64" s="14"/>
      <c r="AR64" s="14"/>
      <c r="AS64" s="14"/>
      <c r="AT64" s="252"/>
      <c r="AU64" s="252"/>
      <c r="AV64" s="252"/>
      <c r="AW64" s="252"/>
      <c r="AX64" s="252"/>
      <c r="AY64" s="252"/>
      <c r="AZ64" s="252"/>
      <c r="BA64" s="252"/>
      <c r="BB64" s="252"/>
      <c r="BC64" s="252"/>
      <c r="BD64" s="252"/>
      <c r="BE64" s="252"/>
      <c r="BF64" s="252"/>
      <c r="BG64" s="252"/>
      <c r="BH64" s="14"/>
      <c r="BI64" s="14"/>
      <c r="BJ64" s="14"/>
      <c r="BK64" s="14"/>
      <c r="BL64" s="14"/>
      <c r="BM64" s="252"/>
      <c r="BN64" s="252"/>
      <c r="BO64" s="14"/>
    </row>
    <row r="65" spans="5:67">
      <c r="E65" s="134" t="s">
        <v>348</v>
      </c>
      <c r="F65" s="237">
        <v>0</v>
      </c>
      <c r="G65" s="237">
        <v>0</v>
      </c>
      <c r="H65" s="237">
        <v>0</v>
      </c>
      <c r="I65" s="237">
        <v>0</v>
      </c>
      <c r="J65" s="237">
        <v>0</v>
      </c>
      <c r="K65" s="237">
        <v>0</v>
      </c>
      <c r="L65" s="237">
        <v>0</v>
      </c>
      <c r="M65" s="237">
        <v>0</v>
      </c>
      <c r="N65" s="237">
        <v>0</v>
      </c>
      <c r="O65" s="237">
        <v>0</v>
      </c>
      <c r="P65" s="237">
        <v>0</v>
      </c>
      <c r="Q65" s="237">
        <v>0</v>
      </c>
      <c r="R65" s="237">
        <v>0</v>
      </c>
      <c r="S65" s="237">
        <v>0</v>
      </c>
      <c r="T65" s="237">
        <v>0</v>
      </c>
      <c r="U65" s="237">
        <v>0</v>
      </c>
      <c r="V65" s="237">
        <v>0</v>
      </c>
      <c r="W65" s="237">
        <v>0</v>
      </c>
      <c r="X65" s="237">
        <v>0</v>
      </c>
      <c r="Y65" s="237">
        <v>0</v>
      </c>
      <c r="Z65" s="237">
        <f>MCC_M_RUVY_matrices_mat_level!W131*MCC_h_RUVY_matrices_mat_level!W130 /MCC_MW_RUVY_matrices_mat_level!Z64</f>
        <v>-1359457.7959575919</v>
      </c>
      <c r="AA65" s="237">
        <v>0</v>
      </c>
      <c r="AB65" s="237">
        <v>0</v>
      </c>
      <c r="AC65" s="237">
        <v>0</v>
      </c>
      <c r="AD65" s="237">
        <v>0</v>
      </c>
      <c r="AE65" s="237">
        <v>0</v>
      </c>
      <c r="AF65" s="237">
        <v>0</v>
      </c>
      <c r="AG65" s="237">
        <v>0</v>
      </c>
      <c r="AH65" s="237">
        <v>0</v>
      </c>
      <c r="AI65" s="237">
        <v>0</v>
      </c>
      <c r="AJ65" s="237">
        <v>0</v>
      </c>
      <c r="AK65" s="237">
        <v>0</v>
      </c>
      <c r="AL65" s="237">
        <v>0</v>
      </c>
      <c r="AM65" s="237">
        <v>0</v>
      </c>
      <c r="AN65" s="237">
        <v>0</v>
      </c>
      <c r="AO65" s="237">
        <v>0</v>
      </c>
      <c r="AP65" s="251">
        <f t="shared" si="3"/>
        <v>-1359457.7959575919</v>
      </c>
      <c r="AQ65" s="14"/>
      <c r="AR65" s="14"/>
      <c r="AS65" s="14"/>
      <c r="AT65" s="252"/>
      <c r="AU65" s="252"/>
      <c r="AV65" s="252"/>
      <c r="AW65" s="252"/>
      <c r="AX65" s="252"/>
      <c r="AY65" s="252"/>
      <c r="AZ65" s="252"/>
      <c r="BA65" s="252"/>
      <c r="BB65" s="252"/>
      <c r="BC65" s="252"/>
      <c r="BD65" s="252"/>
      <c r="BE65" s="252"/>
      <c r="BF65" s="252"/>
      <c r="BG65" s="252"/>
      <c r="BH65" s="14"/>
      <c r="BI65" s="14"/>
      <c r="BJ65" s="14"/>
      <c r="BK65" s="14"/>
      <c r="BL65" s="14"/>
      <c r="BM65" s="252"/>
      <c r="BN65" s="252"/>
      <c r="BO65" s="14"/>
    </row>
    <row r="66" spans="5:67">
      <c r="E66" s="134" t="s">
        <v>362</v>
      </c>
      <c r="F66" s="237">
        <v>0</v>
      </c>
      <c r="G66" s="237">
        <v>0</v>
      </c>
      <c r="H66" s="237">
        <v>0</v>
      </c>
      <c r="I66" s="237">
        <v>0</v>
      </c>
      <c r="J66" s="237">
        <v>0</v>
      </c>
      <c r="K66" s="237">
        <v>0</v>
      </c>
      <c r="L66" s="237">
        <v>0</v>
      </c>
      <c r="M66" s="237">
        <v>0</v>
      </c>
      <c r="N66" s="237">
        <v>0</v>
      </c>
      <c r="O66" s="237">
        <v>0</v>
      </c>
      <c r="P66" s="237">
        <v>0</v>
      </c>
      <c r="Q66" s="237">
        <v>0</v>
      </c>
      <c r="R66" s="237">
        <v>0</v>
      </c>
      <c r="S66" s="237">
        <v>0</v>
      </c>
      <c r="T66" s="237">
        <v>0</v>
      </c>
      <c r="U66" s="237">
        <v>0</v>
      </c>
      <c r="V66" s="237">
        <v>0</v>
      </c>
      <c r="W66" s="237">
        <v>0</v>
      </c>
      <c r="X66" s="237">
        <v>0</v>
      </c>
      <c r="Y66" s="237">
        <v>0</v>
      </c>
      <c r="Z66" s="237">
        <v>0</v>
      </c>
      <c r="AA66" s="237">
        <f>MCC_M_RUVY_matrices_mat_level!X132*MCC_h_RUVY_matrices_mat_level!X131 /MCC_MW_RUVY_matrices_mat_level!AA65</f>
        <v>9126570.1860198174</v>
      </c>
      <c r="AB66" s="237">
        <v>0</v>
      </c>
      <c r="AC66" s="237">
        <v>0</v>
      </c>
      <c r="AD66" s="237">
        <v>0</v>
      </c>
      <c r="AE66" s="237">
        <v>0</v>
      </c>
      <c r="AF66" s="237">
        <v>0</v>
      </c>
      <c r="AG66" s="237">
        <v>0</v>
      </c>
      <c r="AH66" s="237">
        <v>0</v>
      </c>
      <c r="AI66" s="237">
        <v>0</v>
      </c>
      <c r="AJ66" s="237">
        <v>0</v>
      </c>
      <c r="AK66" s="237">
        <v>0</v>
      </c>
      <c r="AL66" s="237">
        <v>0</v>
      </c>
      <c r="AM66" s="237">
        <v>0</v>
      </c>
      <c r="AN66" s="237">
        <v>0</v>
      </c>
      <c r="AO66" s="237">
        <v>0</v>
      </c>
      <c r="AP66" s="251">
        <f t="shared" si="3"/>
        <v>9126570.1860198174</v>
      </c>
      <c r="AQ66" s="14"/>
      <c r="AR66" s="14"/>
      <c r="AS66" s="14"/>
      <c r="AT66" s="252"/>
      <c r="AU66" s="252"/>
      <c r="AV66" s="252"/>
      <c r="AW66" s="252"/>
      <c r="AX66" s="252"/>
      <c r="AY66" s="252"/>
      <c r="AZ66" s="252"/>
      <c r="BA66" s="252"/>
      <c r="BB66" s="252"/>
      <c r="BC66" s="252"/>
      <c r="BD66" s="252"/>
      <c r="BE66" s="252"/>
      <c r="BF66" s="252"/>
      <c r="BG66" s="252"/>
      <c r="BH66" s="14"/>
      <c r="BI66" s="14"/>
      <c r="BJ66" s="14"/>
      <c r="BK66" s="14"/>
      <c r="BL66" s="14"/>
      <c r="BM66" s="252"/>
      <c r="BN66" s="252"/>
      <c r="BO66" s="14"/>
    </row>
    <row r="67" spans="5:67">
      <c r="E67" s="134" t="s">
        <v>349</v>
      </c>
      <c r="F67" s="237">
        <v>0</v>
      </c>
      <c r="G67" s="237">
        <v>0</v>
      </c>
      <c r="H67" s="237">
        <v>0</v>
      </c>
      <c r="I67" s="237">
        <v>0</v>
      </c>
      <c r="J67" s="237">
        <v>0</v>
      </c>
      <c r="K67" s="237">
        <v>0</v>
      </c>
      <c r="L67" s="237">
        <v>0</v>
      </c>
      <c r="M67" s="237">
        <v>0</v>
      </c>
      <c r="N67" s="237">
        <v>0</v>
      </c>
      <c r="O67" s="237">
        <v>0</v>
      </c>
      <c r="P67" s="237">
        <v>0</v>
      </c>
      <c r="Q67" s="237">
        <v>0</v>
      </c>
      <c r="R67" s="237">
        <v>0</v>
      </c>
      <c r="S67" s="237">
        <v>0</v>
      </c>
      <c r="T67" s="237">
        <v>0</v>
      </c>
      <c r="U67" s="237">
        <v>0</v>
      </c>
      <c r="V67" s="237">
        <v>0</v>
      </c>
      <c r="W67" s="237">
        <v>0</v>
      </c>
      <c r="X67" s="237">
        <v>0</v>
      </c>
      <c r="Y67" s="237">
        <v>0</v>
      </c>
      <c r="Z67" s="237">
        <v>0</v>
      </c>
      <c r="AA67" s="237">
        <v>0</v>
      </c>
      <c r="AB67" s="237">
        <f>MCC_M_RUVY_matrices_mat_level!Y133*MCC_h_RUVY_matrices_mat_level!Y132 /MCC_MW_RUVY_matrices_mat_level!AB66</f>
        <v>-1256817.6045988721</v>
      </c>
      <c r="AC67" s="237">
        <f>MCC_M_RUVY_matrices_mat_level!Z133*MCC_h_RUVY_matrices_mat_level!Z132 /MCC_MW_RUVY_matrices_mat_level!AC66</f>
        <v>-74404.460335125405</v>
      </c>
      <c r="AD67" s="237">
        <f>MCC_M_RUVY_matrices_mat_level!AA133*MCC_h_RUVY_matrices_mat_level!AA132 /MCC_MW_RUVY_matrices_mat_level!AD66</f>
        <v>-1082643.9792420177</v>
      </c>
      <c r="AE67" s="237">
        <v>0</v>
      </c>
      <c r="AF67" s="237">
        <v>0</v>
      </c>
      <c r="AG67" s="237">
        <v>0</v>
      </c>
      <c r="AH67" s="237">
        <v>0</v>
      </c>
      <c r="AI67" s="237">
        <v>0</v>
      </c>
      <c r="AJ67" s="237">
        <v>0</v>
      </c>
      <c r="AK67" s="237">
        <v>0</v>
      </c>
      <c r="AL67" s="237">
        <v>0</v>
      </c>
      <c r="AM67" s="237">
        <v>0</v>
      </c>
      <c r="AN67" s="237">
        <v>0</v>
      </c>
      <c r="AO67" s="237">
        <v>0</v>
      </c>
      <c r="AP67" s="251">
        <f t="shared" si="3"/>
        <v>-2413866.0441760151</v>
      </c>
      <c r="AQ67" s="14"/>
      <c r="AR67" s="14"/>
      <c r="AS67" s="14"/>
      <c r="AT67" s="252"/>
      <c r="AU67" s="252"/>
      <c r="AV67" s="252"/>
      <c r="AW67" s="252"/>
      <c r="AX67" s="252"/>
      <c r="AY67" s="252"/>
      <c r="AZ67" s="252"/>
      <c r="BA67" s="252"/>
      <c r="BB67" s="252"/>
      <c r="BC67" s="252"/>
      <c r="BD67" s="252"/>
      <c r="BE67" s="252"/>
      <c r="BF67" s="252"/>
      <c r="BG67" s="252"/>
      <c r="BH67" s="14"/>
      <c r="BI67" s="14"/>
      <c r="BJ67" s="14"/>
      <c r="BK67" s="14"/>
      <c r="BL67" s="14"/>
      <c r="BM67" s="252"/>
      <c r="BN67" s="252"/>
      <c r="BO67" s="14"/>
    </row>
    <row r="68" spans="5:67">
      <c r="E68" s="134" t="s">
        <v>344</v>
      </c>
      <c r="F68" s="237">
        <v>0</v>
      </c>
      <c r="G68" s="237">
        <v>0</v>
      </c>
      <c r="H68" s="237">
        <v>0</v>
      </c>
      <c r="I68" s="237">
        <v>0</v>
      </c>
      <c r="J68" s="237">
        <v>0</v>
      </c>
      <c r="K68" s="237">
        <v>0</v>
      </c>
      <c r="L68" s="237">
        <v>0</v>
      </c>
      <c r="M68" s="237">
        <v>0</v>
      </c>
      <c r="N68" s="237">
        <v>0</v>
      </c>
      <c r="O68" s="237">
        <v>0</v>
      </c>
      <c r="P68" s="237">
        <v>0</v>
      </c>
      <c r="Q68" s="237">
        <v>0</v>
      </c>
      <c r="R68" s="237">
        <v>0</v>
      </c>
      <c r="S68" s="237">
        <v>0</v>
      </c>
      <c r="T68" s="237">
        <v>0</v>
      </c>
      <c r="U68" s="237">
        <v>0</v>
      </c>
      <c r="V68" s="237">
        <v>0</v>
      </c>
      <c r="W68" s="237">
        <v>0</v>
      </c>
      <c r="X68" s="237">
        <v>0</v>
      </c>
      <c r="Y68" s="237">
        <v>0</v>
      </c>
      <c r="Z68" s="237">
        <v>0</v>
      </c>
      <c r="AA68" s="237">
        <v>0</v>
      </c>
      <c r="AB68" s="237">
        <v>0</v>
      </c>
      <c r="AC68" s="237">
        <v>0</v>
      </c>
      <c r="AD68" s="237">
        <v>0</v>
      </c>
      <c r="AE68" s="237">
        <f>(MCC_M_RUVY_matrices_mat_level!AB134*MCC_h_RUVY_matrices_mat_level!AB133) /MCC_MW_RUVY_matrices_mat_level!AE67</f>
        <v>6114656.4031687425</v>
      </c>
      <c r="AF68" s="237">
        <f>(MCC_M_RUVY_matrices_mat_level!AC134*MCC_h_RUVY_matrices_mat_level!AC133) /MCC_MW_RUVY_matrices_mat_level!AF67</f>
        <v>-13740.19434752778</v>
      </c>
      <c r="AG68" s="237">
        <f>(MCC_M_RUVY_matrices_mat_level!AD134*MCC_h_RUVY_matrices_mat_level!AD133) /MCC_MW_RUVY_matrices_mat_level!AG67</f>
        <v>-3677.1587424372706</v>
      </c>
      <c r="AH68" s="237">
        <f>(MCC_M_RUVY_matrices_mat_level!AE134*MCC_h_RUVY_matrices_mat_level!AE133) /MCC_MW_RUVY_matrices_mat_level!AH67</f>
        <v>-47920.401977769274</v>
      </c>
      <c r="AI68" s="237">
        <f>(MCC_M_RUVY_matrices_mat_level!AF134*MCC_h_RUVY_matrices_mat_level!AF133) /MCC_MW_RUVY_matrices_mat_level!AI67</f>
        <v>-3678478.5848042481</v>
      </c>
      <c r="AJ68" s="237">
        <v>0</v>
      </c>
      <c r="AK68" s="237">
        <v>0</v>
      </c>
      <c r="AL68" s="237">
        <v>0</v>
      </c>
      <c r="AM68" s="237">
        <v>0</v>
      </c>
      <c r="AN68" s="237">
        <v>0</v>
      </c>
      <c r="AO68" s="237">
        <v>0</v>
      </c>
      <c r="AP68" s="251">
        <f>SUM(F68:AO68)</f>
        <v>2370840.0632967604</v>
      </c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</row>
    <row r="69" spans="5:67">
      <c r="E69" s="134" t="s">
        <v>514</v>
      </c>
      <c r="F69" s="237">
        <v>0</v>
      </c>
      <c r="G69" s="237">
        <v>0</v>
      </c>
      <c r="H69" s="237">
        <v>0</v>
      </c>
      <c r="I69" s="237">
        <v>0</v>
      </c>
      <c r="J69" s="237">
        <v>0</v>
      </c>
      <c r="K69" s="237">
        <v>0</v>
      </c>
      <c r="L69" s="237">
        <v>0</v>
      </c>
      <c r="M69" s="237">
        <v>0</v>
      </c>
      <c r="N69" s="237">
        <v>0</v>
      </c>
      <c r="O69" s="237">
        <v>0</v>
      </c>
      <c r="P69" s="237">
        <v>0</v>
      </c>
      <c r="Q69" s="237">
        <v>0</v>
      </c>
      <c r="R69" s="237">
        <v>0</v>
      </c>
      <c r="S69" s="237">
        <v>0</v>
      </c>
      <c r="T69" s="237">
        <v>0</v>
      </c>
      <c r="U69" s="237">
        <v>0</v>
      </c>
      <c r="V69" s="237">
        <v>0</v>
      </c>
      <c r="W69" s="237">
        <v>0</v>
      </c>
      <c r="X69" s="237">
        <v>0</v>
      </c>
      <c r="Y69" s="237">
        <v>0</v>
      </c>
      <c r="Z69" s="237">
        <v>0</v>
      </c>
      <c r="AA69" s="237">
        <v>0</v>
      </c>
      <c r="AB69" s="237">
        <v>0</v>
      </c>
      <c r="AC69" s="237">
        <v>0</v>
      </c>
      <c r="AD69" s="237">
        <v>0</v>
      </c>
      <c r="AE69" s="237">
        <v>0</v>
      </c>
      <c r="AF69" s="237">
        <v>0</v>
      </c>
      <c r="AG69" s="237">
        <v>0</v>
      </c>
      <c r="AH69" s="237">
        <v>0</v>
      </c>
      <c r="AI69" s="237">
        <v>0</v>
      </c>
      <c r="AJ69" s="237">
        <f>MCC_M_RUVY_matrices_mat_level!AG135*MCC_h_RUVY_matrices_mat_level!AG134 /MCC_MW_RUVY_matrices_mat_level!AJ68</f>
        <v>-13104.628581498642</v>
      </c>
      <c r="AK69" s="237">
        <v>0</v>
      </c>
      <c r="AL69" s="237">
        <v>0</v>
      </c>
      <c r="AM69" s="237">
        <v>0</v>
      </c>
      <c r="AN69" s="237">
        <v>0</v>
      </c>
      <c r="AO69" s="237">
        <v>0</v>
      </c>
      <c r="AP69" s="251">
        <f t="shared" si="3"/>
        <v>-13104.628581498642</v>
      </c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</row>
    <row r="70" spans="5:67">
      <c r="E70" s="134" t="s">
        <v>516</v>
      </c>
      <c r="F70" s="237">
        <v>0</v>
      </c>
      <c r="G70" s="237">
        <v>0</v>
      </c>
      <c r="H70" s="237">
        <v>0</v>
      </c>
      <c r="I70" s="237">
        <v>0</v>
      </c>
      <c r="J70" s="237">
        <v>0</v>
      </c>
      <c r="K70" s="237">
        <v>0</v>
      </c>
      <c r="L70" s="237">
        <v>0</v>
      </c>
      <c r="M70" s="237">
        <v>0</v>
      </c>
      <c r="N70" s="237">
        <v>0</v>
      </c>
      <c r="O70" s="237">
        <v>0</v>
      </c>
      <c r="P70" s="237">
        <v>0</v>
      </c>
      <c r="Q70" s="237">
        <v>0</v>
      </c>
      <c r="R70" s="237">
        <v>0</v>
      </c>
      <c r="S70" s="237">
        <v>0</v>
      </c>
      <c r="T70" s="237">
        <v>0</v>
      </c>
      <c r="U70" s="237">
        <v>0</v>
      </c>
      <c r="V70" s="237">
        <v>0</v>
      </c>
      <c r="W70" s="237">
        <v>0</v>
      </c>
      <c r="X70" s="237">
        <v>0</v>
      </c>
      <c r="Y70" s="237">
        <v>0</v>
      </c>
      <c r="Z70" s="237">
        <v>0</v>
      </c>
      <c r="AA70" s="237">
        <v>0</v>
      </c>
      <c r="AB70" s="237">
        <v>0</v>
      </c>
      <c r="AC70" s="237">
        <v>0</v>
      </c>
      <c r="AD70" s="237">
        <v>0</v>
      </c>
      <c r="AE70" s="237">
        <v>0</v>
      </c>
      <c r="AF70" s="237">
        <v>0</v>
      </c>
      <c r="AG70" s="237">
        <v>0</v>
      </c>
      <c r="AH70" s="237">
        <v>0</v>
      </c>
      <c r="AI70" s="237">
        <v>0</v>
      </c>
      <c r="AJ70" s="237">
        <v>0</v>
      </c>
      <c r="AK70" s="237">
        <f>MCC_M_RUVY_matrices_mat_level!AH136*MCC_h_RUVY_matrices_mat_level!AH135 /MCC_MW_RUVY_matrices_mat_level!AK69</f>
        <v>-13104.628581498642</v>
      </c>
      <c r="AL70" s="237">
        <v>0</v>
      </c>
      <c r="AM70" s="237">
        <v>0</v>
      </c>
      <c r="AN70" s="237">
        <v>0</v>
      </c>
      <c r="AO70" s="237">
        <v>0</v>
      </c>
      <c r="AP70" s="251">
        <f t="shared" si="3"/>
        <v>-13104.628581498642</v>
      </c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</row>
    <row r="71" spans="5:67">
      <c r="E71" s="134" t="s">
        <v>76</v>
      </c>
      <c r="F71" s="237">
        <v>0</v>
      </c>
      <c r="G71" s="237">
        <v>0</v>
      </c>
      <c r="H71" s="237">
        <v>0</v>
      </c>
      <c r="I71" s="237">
        <v>0</v>
      </c>
      <c r="J71" s="237">
        <v>0</v>
      </c>
      <c r="K71" s="237">
        <v>0</v>
      </c>
      <c r="L71" s="237">
        <v>0</v>
      </c>
      <c r="M71" s="237">
        <v>0</v>
      </c>
      <c r="N71" s="237">
        <v>0</v>
      </c>
      <c r="O71" s="237">
        <v>0</v>
      </c>
      <c r="P71" s="237">
        <v>0</v>
      </c>
      <c r="Q71" s="237">
        <v>0</v>
      </c>
      <c r="R71" s="237">
        <v>0</v>
      </c>
      <c r="S71" s="237">
        <v>0</v>
      </c>
      <c r="T71" s="237">
        <v>0</v>
      </c>
      <c r="U71" s="237">
        <v>0</v>
      </c>
      <c r="V71" s="237">
        <v>0</v>
      </c>
      <c r="W71" s="237">
        <v>0</v>
      </c>
      <c r="X71" s="237">
        <v>0</v>
      </c>
      <c r="Y71" s="237">
        <v>0</v>
      </c>
      <c r="Z71" s="237">
        <v>0</v>
      </c>
      <c r="AA71" s="237">
        <v>0</v>
      </c>
      <c r="AB71" s="237">
        <v>0</v>
      </c>
      <c r="AC71" s="237">
        <v>0</v>
      </c>
      <c r="AD71" s="237">
        <v>0</v>
      </c>
      <c r="AE71" s="237">
        <v>0</v>
      </c>
      <c r="AF71" s="237">
        <v>0</v>
      </c>
      <c r="AG71" s="237">
        <v>0</v>
      </c>
      <c r="AH71" s="237">
        <v>0</v>
      </c>
      <c r="AI71" s="237">
        <v>0</v>
      </c>
      <c r="AJ71" s="237">
        <v>0</v>
      </c>
      <c r="AK71" s="237">
        <v>0</v>
      </c>
      <c r="AL71" s="237">
        <f>MCC_M_RUVY_matrices_mat_level!AI137*MCC_h_RUVY_matrices_mat_level!AI136 /MCC_MW_RUVY_matrices_mat_level!AL70</f>
        <v>6102763.045636192</v>
      </c>
      <c r="AM71" s="237">
        <v>0</v>
      </c>
      <c r="AN71" s="237">
        <v>0</v>
      </c>
      <c r="AO71" s="237">
        <v>0</v>
      </c>
      <c r="AP71" s="251">
        <f t="shared" si="3"/>
        <v>6102763.045636192</v>
      </c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</row>
    <row r="72" spans="5:67">
      <c r="E72" s="134" t="s">
        <v>337</v>
      </c>
      <c r="F72" s="237">
        <v>0</v>
      </c>
      <c r="G72" s="237">
        <v>0</v>
      </c>
      <c r="H72" s="237">
        <v>0</v>
      </c>
      <c r="I72" s="237">
        <v>0</v>
      </c>
      <c r="J72" s="237">
        <v>0</v>
      </c>
      <c r="K72" s="237">
        <v>0</v>
      </c>
      <c r="L72" s="237">
        <v>0</v>
      </c>
      <c r="M72" s="237">
        <v>0</v>
      </c>
      <c r="N72" s="237">
        <v>0</v>
      </c>
      <c r="O72" s="237">
        <v>0</v>
      </c>
      <c r="P72" s="237">
        <v>0</v>
      </c>
      <c r="Q72" s="237">
        <v>0</v>
      </c>
      <c r="R72" s="237">
        <v>0</v>
      </c>
      <c r="S72" s="237">
        <v>0</v>
      </c>
      <c r="T72" s="237">
        <v>0</v>
      </c>
      <c r="U72" s="237">
        <v>0</v>
      </c>
      <c r="V72" s="237">
        <v>0</v>
      </c>
      <c r="W72" s="237">
        <v>0</v>
      </c>
      <c r="X72" s="237">
        <v>0</v>
      </c>
      <c r="Y72" s="237">
        <v>0</v>
      </c>
      <c r="Z72" s="237">
        <v>0</v>
      </c>
      <c r="AA72" s="237">
        <v>0</v>
      </c>
      <c r="AB72" s="237">
        <v>0</v>
      </c>
      <c r="AC72" s="237">
        <v>0</v>
      </c>
      <c r="AD72" s="237">
        <v>0</v>
      </c>
      <c r="AE72" s="237">
        <v>0</v>
      </c>
      <c r="AF72" s="237">
        <v>0</v>
      </c>
      <c r="AG72" s="237">
        <v>0</v>
      </c>
      <c r="AH72" s="237">
        <v>0</v>
      </c>
      <c r="AI72" s="237">
        <v>0</v>
      </c>
      <c r="AJ72" s="237">
        <v>0</v>
      </c>
      <c r="AK72" s="237">
        <v>0</v>
      </c>
      <c r="AL72" s="237">
        <v>0</v>
      </c>
      <c r="AM72" s="237">
        <f>MCC_M_RUVY_matrices_mat_level!AJ138*MCC_h_RUVY_matrices_mat_level!AJ137 /MCC_MW_RUVY_matrices_mat_level!AM71</f>
        <v>0</v>
      </c>
      <c r="AN72" s="237">
        <f>MCC_M_RUVY_matrices_mat_level!AK138*MCC_h_RUVY_matrices_mat_level!AK137 /MCC_MW_RUVY_matrices_mat_level!AN71</f>
        <v>-2788514.0257371739</v>
      </c>
      <c r="AO72" s="237">
        <f>MCC_M_RUVY_matrices_mat_level!AL138*MCC_h_RUVY_matrices_mat_level!AL137 /MCC_MW_RUVY_matrices_mat_level!AO71</f>
        <v>-177387.6603372262</v>
      </c>
      <c r="AP72" s="251">
        <f t="shared" si="3"/>
        <v>-2965901.6860743999</v>
      </c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</row>
    <row r="73" spans="5:67">
      <c r="E73" s="134"/>
      <c r="F73" s="392" t="s">
        <v>329</v>
      </c>
      <c r="G73" s="392"/>
      <c r="H73" s="392"/>
      <c r="I73" s="392"/>
      <c r="J73" s="392"/>
      <c r="K73" s="392"/>
      <c r="L73" s="392"/>
      <c r="M73" s="392"/>
      <c r="N73" s="392"/>
      <c r="O73" s="392"/>
      <c r="P73" s="392"/>
      <c r="Q73" s="392"/>
      <c r="R73" s="392"/>
      <c r="S73" s="392"/>
      <c r="T73" s="392"/>
      <c r="U73" s="392"/>
      <c r="V73" s="392"/>
      <c r="W73" s="392"/>
      <c r="X73" s="392"/>
      <c r="Y73" s="392"/>
      <c r="Z73" s="392"/>
      <c r="AA73" s="392"/>
      <c r="AB73" s="392"/>
      <c r="AC73" s="392"/>
      <c r="AD73" s="392"/>
      <c r="AE73" s="392"/>
      <c r="AF73" s="392"/>
      <c r="AG73" s="392"/>
      <c r="AH73" s="392"/>
      <c r="AI73" s="392"/>
      <c r="AJ73" s="392"/>
      <c r="AK73" s="392"/>
      <c r="AL73" s="392"/>
      <c r="AM73" s="392"/>
      <c r="AN73" s="392"/>
      <c r="AO73" s="392"/>
      <c r="AP73" s="252" t="s">
        <v>365</v>
      </c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</row>
    <row r="74" spans="5:67">
      <c r="E74" s="134"/>
      <c r="F74" s="251">
        <f>SUM(F58:F72)</f>
        <v>0</v>
      </c>
      <c r="G74" s="251">
        <f t="shared" ref="G74:AO74" si="4">SUM(G58:G72)</f>
        <v>0</v>
      </c>
      <c r="H74" s="251">
        <f t="shared" si="4"/>
        <v>0</v>
      </c>
      <c r="I74" s="251">
        <f t="shared" si="4"/>
        <v>0</v>
      </c>
      <c r="J74" s="251">
        <f t="shared" si="4"/>
        <v>0</v>
      </c>
      <c r="K74" s="251">
        <f t="shared" si="4"/>
        <v>0</v>
      </c>
      <c r="L74" s="251">
        <f t="shared" si="4"/>
        <v>0</v>
      </c>
      <c r="M74" s="251">
        <f t="shared" si="4"/>
        <v>0</v>
      </c>
      <c r="N74" s="251">
        <f t="shared" si="4"/>
        <v>0</v>
      </c>
      <c r="O74" s="251">
        <f t="shared" si="4"/>
        <v>-1777985.4355511186</v>
      </c>
      <c r="P74" s="251">
        <f t="shared" si="4"/>
        <v>-35429.897676176748</v>
      </c>
      <c r="Q74" s="251">
        <f t="shared" si="4"/>
        <v>-1359457.7959575919</v>
      </c>
      <c r="R74" s="251">
        <f t="shared" si="4"/>
        <v>-106.02767886152715</v>
      </c>
      <c r="S74" s="251">
        <f t="shared" si="4"/>
        <v>9126570.1860198174</v>
      </c>
      <c r="T74" s="251">
        <f t="shared" si="4"/>
        <v>-8771.8572366008211</v>
      </c>
      <c r="U74" s="251">
        <f t="shared" si="4"/>
        <v>-1777985.4355511186</v>
      </c>
      <c r="V74" s="251">
        <f t="shared" si="4"/>
        <v>-1359457.7959575919</v>
      </c>
      <c r="W74" s="251">
        <f t="shared" si="4"/>
        <v>9126570.1860198174</v>
      </c>
      <c r="X74" s="251">
        <f t="shared" si="4"/>
        <v>-3797055.1820632704</v>
      </c>
      <c r="Y74" s="251">
        <f t="shared" si="4"/>
        <v>-66021.418271669754</v>
      </c>
      <c r="Z74" s="251">
        <f t="shared" si="4"/>
        <v>-1359457.7959575919</v>
      </c>
      <c r="AA74" s="251">
        <f t="shared" si="4"/>
        <v>9126570.1860198174</v>
      </c>
      <c r="AB74" s="251">
        <f t="shared" si="4"/>
        <v>-1256817.6045988721</v>
      </c>
      <c r="AC74" s="251">
        <f t="shared" si="4"/>
        <v>-74404.460335125405</v>
      </c>
      <c r="AD74" s="251">
        <f t="shared" si="4"/>
        <v>-1082643.9792420177</v>
      </c>
      <c r="AE74" s="251">
        <f t="shared" si="4"/>
        <v>6114656.4031687425</v>
      </c>
      <c r="AF74" s="251">
        <f t="shared" si="4"/>
        <v>-13740.19434752778</v>
      </c>
      <c r="AG74" s="251">
        <f t="shared" si="4"/>
        <v>-3677.1587424372706</v>
      </c>
      <c r="AH74" s="251">
        <f t="shared" si="4"/>
        <v>-47920.401977769274</v>
      </c>
      <c r="AI74" s="251">
        <f t="shared" si="4"/>
        <v>-3678478.5848042481</v>
      </c>
      <c r="AJ74" s="251">
        <f t="shared" si="4"/>
        <v>-13104.628581498642</v>
      </c>
      <c r="AK74" s="251">
        <f t="shared" si="4"/>
        <v>-13104.628581498642</v>
      </c>
      <c r="AL74" s="251">
        <f t="shared" si="4"/>
        <v>6102763.045636192</v>
      </c>
      <c r="AM74" s="251">
        <f t="shared" si="4"/>
        <v>0</v>
      </c>
      <c r="AN74" s="251">
        <f t="shared" si="4"/>
        <v>-2788514.0257371739</v>
      </c>
      <c r="AO74" s="251">
        <f t="shared" si="4"/>
        <v>-177387.6603372262</v>
      </c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</row>
    <row r="75" spans="5:67">
      <c r="E75" s="134"/>
      <c r="F75" s="392" t="s">
        <v>366</v>
      </c>
      <c r="G75" s="392"/>
      <c r="H75" s="392"/>
      <c r="I75" s="392"/>
      <c r="J75" s="392"/>
      <c r="K75" s="392"/>
      <c r="L75" s="392"/>
      <c r="M75" s="392"/>
      <c r="N75" s="392"/>
      <c r="O75" s="392"/>
      <c r="P75" s="392"/>
      <c r="Q75" s="392"/>
      <c r="R75" s="392"/>
      <c r="S75" s="392"/>
      <c r="T75" s="392"/>
      <c r="U75" s="392"/>
      <c r="V75" s="392"/>
      <c r="W75" s="392"/>
      <c r="X75" s="392"/>
      <c r="Y75" s="392"/>
      <c r="Z75" s="392"/>
      <c r="AA75" s="392"/>
      <c r="AB75" s="392"/>
      <c r="AC75" s="392"/>
      <c r="AD75" s="392"/>
      <c r="AE75" s="392"/>
      <c r="AF75" s="392"/>
      <c r="AG75" s="392"/>
      <c r="AH75" s="392"/>
      <c r="AI75" s="392"/>
      <c r="AJ75" s="392"/>
      <c r="AK75" s="392"/>
      <c r="AL75" s="392"/>
      <c r="AM75" s="392"/>
      <c r="AN75" s="392"/>
      <c r="AO75" s="392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</row>
    <row r="76" spans="5:67">
      <c r="E76" s="13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</row>
    <row r="77" spans="5:67">
      <c r="E77" s="13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</row>
    <row r="78" spans="5:67">
      <c r="E78" s="13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</row>
    <row r="79" spans="5:67">
      <c r="E79" s="13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</row>
    <row r="80" spans="5:67">
      <c r="E80" s="13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</row>
    <row r="81" spans="5:67">
      <c r="E81" s="13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</row>
    <row r="82" spans="5:67">
      <c r="E82" s="13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</row>
    <row r="83" spans="5:67">
      <c r="E83" s="13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</row>
    <row r="84" spans="5:67" ht="235.95" customHeight="1">
      <c r="E84" s="134"/>
      <c r="F84" s="234" t="s">
        <v>333</v>
      </c>
      <c r="G84" s="234" t="s">
        <v>335</v>
      </c>
      <c r="H84" s="234" t="s">
        <v>336</v>
      </c>
      <c r="I84" s="234" t="s">
        <v>355</v>
      </c>
      <c r="J84" s="234" t="s">
        <v>377</v>
      </c>
      <c r="K84" s="234" t="s">
        <v>466</v>
      </c>
      <c r="L84" s="234" t="s">
        <v>467</v>
      </c>
      <c r="M84" s="234" t="s">
        <v>411</v>
      </c>
      <c r="N84" s="234" t="s">
        <v>459</v>
      </c>
      <c r="O84" s="235" t="s">
        <v>442</v>
      </c>
      <c r="P84" s="234" t="s">
        <v>409</v>
      </c>
      <c r="Q84" s="235" t="s">
        <v>412</v>
      </c>
      <c r="R84" s="234" t="s">
        <v>437</v>
      </c>
      <c r="S84" s="236" t="s">
        <v>430</v>
      </c>
      <c r="T84" s="234" t="s">
        <v>416</v>
      </c>
      <c r="U84" s="235" t="s">
        <v>441</v>
      </c>
      <c r="V84" s="235" t="s">
        <v>436</v>
      </c>
      <c r="W84" s="235" t="s">
        <v>433</v>
      </c>
      <c r="X84" s="235" t="s">
        <v>439</v>
      </c>
      <c r="Y84" s="236" t="s">
        <v>438</v>
      </c>
      <c r="Z84" s="236" t="s">
        <v>424</v>
      </c>
      <c r="AA84" s="236" t="s">
        <v>456</v>
      </c>
      <c r="AB84" s="236" t="s">
        <v>425</v>
      </c>
      <c r="AC84" s="236" t="s">
        <v>427</v>
      </c>
      <c r="AD84" s="236" t="s">
        <v>426</v>
      </c>
      <c r="AE84" s="236" t="s">
        <v>484</v>
      </c>
      <c r="AF84" s="238" t="s">
        <v>422</v>
      </c>
      <c r="AG84" s="238" t="s">
        <v>552</v>
      </c>
      <c r="AH84" s="236" t="s">
        <v>421</v>
      </c>
      <c r="AI84" s="234" t="s">
        <v>423</v>
      </c>
      <c r="AJ84" s="236" t="s">
        <v>515</v>
      </c>
      <c r="AK84" s="236" t="s">
        <v>517</v>
      </c>
      <c r="AL84" s="236" t="s">
        <v>445</v>
      </c>
      <c r="AM84" s="236" t="s">
        <v>446</v>
      </c>
      <c r="AN84" s="236" t="s">
        <v>447</v>
      </c>
      <c r="AO84" s="236" t="s">
        <v>457</v>
      </c>
      <c r="AP84" s="236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</row>
    <row r="85" spans="5:67">
      <c r="E85" s="134" t="s">
        <v>332</v>
      </c>
      <c r="F85" s="268">
        <f>MCC_M_RUVY_matrices_mat_level!C153*MCC_h_RUVY_matrices_mat_level!C152 / MCC_MW_RUVY_matrices_mat_level!F84</f>
        <v>-1777985.4355511186</v>
      </c>
      <c r="G85" s="268">
        <v>0</v>
      </c>
      <c r="H85" s="268">
        <v>0</v>
      </c>
      <c r="I85" s="268">
        <v>0</v>
      </c>
      <c r="J85" s="268">
        <v>0</v>
      </c>
      <c r="K85" s="268">
        <v>0</v>
      </c>
      <c r="L85" s="268">
        <v>0</v>
      </c>
      <c r="M85" s="268">
        <v>0</v>
      </c>
      <c r="N85" s="268">
        <v>0</v>
      </c>
      <c r="O85" s="268">
        <v>0</v>
      </c>
      <c r="P85" s="268">
        <v>0</v>
      </c>
      <c r="Q85" s="268">
        <v>0</v>
      </c>
      <c r="R85" s="268">
        <v>0</v>
      </c>
      <c r="S85" s="268">
        <v>0</v>
      </c>
      <c r="T85" s="268">
        <v>0</v>
      </c>
      <c r="U85" s="268">
        <v>0</v>
      </c>
      <c r="V85" s="268">
        <v>0</v>
      </c>
      <c r="W85" s="268">
        <v>0</v>
      </c>
      <c r="X85" s="268">
        <v>0</v>
      </c>
      <c r="Y85" s="268">
        <v>0</v>
      </c>
      <c r="Z85" s="268">
        <v>0</v>
      </c>
      <c r="AA85" s="268">
        <v>0</v>
      </c>
      <c r="AB85" s="268">
        <v>0</v>
      </c>
      <c r="AC85" s="268">
        <v>0</v>
      </c>
      <c r="AD85" s="268">
        <v>0</v>
      </c>
      <c r="AE85" s="268">
        <v>0</v>
      </c>
      <c r="AF85" s="268">
        <v>0</v>
      </c>
      <c r="AG85" s="268">
        <v>0</v>
      </c>
      <c r="AH85" s="268">
        <v>0</v>
      </c>
      <c r="AI85" s="268">
        <v>0</v>
      </c>
      <c r="AJ85" s="268">
        <v>0</v>
      </c>
      <c r="AK85" s="268">
        <v>0</v>
      </c>
      <c r="AL85" s="268">
        <v>0</v>
      </c>
      <c r="AM85" s="268">
        <v>0</v>
      </c>
      <c r="AN85" s="268">
        <v>0</v>
      </c>
      <c r="AO85" s="268">
        <v>0</v>
      </c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</row>
    <row r="86" spans="5:67" ht="16.05" customHeight="1">
      <c r="E86" s="232" t="s">
        <v>413</v>
      </c>
      <c r="F86" s="268">
        <v>0</v>
      </c>
      <c r="G86" s="268">
        <f>MCC_M_RUVY_matrices_mat_level!D154*MCC_h_RUVY_matrices_mat_level!D153 / MCC_MW_RUVY_matrices_mat_level!G85</f>
        <v>-1359457.7959575919</v>
      </c>
      <c r="H86" s="268">
        <v>0</v>
      </c>
      <c r="I86" s="268">
        <v>0</v>
      </c>
      <c r="J86" s="268">
        <v>0</v>
      </c>
      <c r="K86" s="268">
        <v>0</v>
      </c>
      <c r="L86" s="268">
        <v>0</v>
      </c>
      <c r="M86" s="268">
        <v>0</v>
      </c>
      <c r="N86" s="268">
        <v>0</v>
      </c>
      <c r="O86" s="268">
        <v>0</v>
      </c>
      <c r="P86" s="268">
        <v>0</v>
      </c>
      <c r="Q86" s="268">
        <v>0</v>
      </c>
      <c r="R86" s="268">
        <v>0</v>
      </c>
      <c r="S86" s="268">
        <v>0</v>
      </c>
      <c r="T86" s="268">
        <v>0</v>
      </c>
      <c r="U86" s="268">
        <v>0</v>
      </c>
      <c r="V86" s="268">
        <v>0</v>
      </c>
      <c r="W86" s="268">
        <v>0</v>
      </c>
      <c r="X86" s="268">
        <v>0</v>
      </c>
      <c r="Y86" s="268">
        <v>0</v>
      </c>
      <c r="Z86" s="268">
        <v>0</v>
      </c>
      <c r="AA86" s="268">
        <v>0</v>
      </c>
      <c r="AB86" s="268">
        <v>0</v>
      </c>
      <c r="AC86" s="268">
        <v>0</v>
      </c>
      <c r="AD86" s="268">
        <v>0</v>
      </c>
      <c r="AE86" s="268">
        <v>0</v>
      </c>
      <c r="AF86" s="268">
        <v>0</v>
      </c>
      <c r="AG86" s="268">
        <v>0</v>
      </c>
      <c r="AH86" s="268">
        <v>0</v>
      </c>
      <c r="AI86" s="268">
        <v>0</v>
      </c>
      <c r="AJ86" s="268">
        <v>0</v>
      </c>
      <c r="AK86" s="268">
        <v>0</v>
      </c>
      <c r="AL86" s="268">
        <v>0</v>
      </c>
      <c r="AM86" s="268">
        <v>0</v>
      </c>
      <c r="AN86" s="268">
        <v>0</v>
      </c>
      <c r="AO86" s="268">
        <v>0</v>
      </c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</row>
    <row r="87" spans="5:67">
      <c r="E87" s="233" t="s">
        <v>356</v>
      </c>
      <c r="F87" s="268">
        <v>0</v>
      </c>
      <c r="G87" s="268">
        <v>0</v>
      </c>
      <c r="H87" s="268">
        <f>MCC_M_RUVY_matrices_mat_level!E155*MCC_h_RUVY_matrices_mat_level!E154 / MCC_MW_RUVY_matrices_mat_level!H86</f>
        <v>9126570.1860198174</v>
      </c>
      <c r="I87" s="268">
        <v>0</v>
      </c>
      <c r="J87" s="268">
        <v>0</v>
      </c>
      <c r="K87" s="268">
        <v>0</v>
      </c>
      <c r="L87" s="268">
        <v>0</v>
      </c>
      <c r="M87" s="268">
        <v>0</v>
      </c>
      <c r="N87" s="268">
        <v>0</v>
      </c>
      <c r="O87" s="268">
        <v>0</v>
      </c>
      <c r="P87" s="268">
        <v>0</v>
      </c>
      <c r="Q87" s="268">
        <v>0</v>
      </c>
      <c r="R87" s="268">
        <v>0</v>
      </c>
      <c r="S87" s="268">
        <v>0</v>
      </c>
      <c r="T87" s="268">
        <v>0</v>
      </c>
      <c r="U87" s="268">
        <v>0</v>
      </c>
      <c r="V87" s="268">
        <v>0</v>
      </c>
      <c r="W87" s="268">
        <v>0</v>
      </c>
      <c r="X87" s="268">
        <v>0</v>
      </c>
      <c r="Y87" s="268">
        <v>0</v>
      </c>
      <c r="Z87" s="268">
        <v>0</v>
      </c>
      <c r="AA87" s="268">
        <v>0</v>
      </c>
      <c r="AB87" s="268">
        <v>0</v>
      </c>
      <c r="AC87" s="268">
        <v>0</v>
      </c>
      <c r="AD87" s="268">
        <v>0</v>
      </c>
      <c r="AE87" s="268">
        <v>0</v>
      </c>
      <c r="AF87" s="268">
        <v>0</v>
      </c>
      <c r="AG87" s="268">
        <v>0</v>
      </c>
      <c r="AH87" s="268">
        <v>0</v>
      </c>
      <c r="AI87" s="268">
        <v>0</v>
      </c>
      <c r="AJ87" s="268">
        <v>0</v>
      </c>
      <c r="AK87" s="268">
        <v>0</v>
      </c>
      <c r="AL87" s="268">
        <v>0</v>
      </c>
      <c r="AM87" s="268">
        <v>0</v>
      </c>
      <c r="AN87" s="268">
        <v>0</v>
      </c>
      <c r="AO87" s="268">
        <v>0</v>
      </c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</row>
    <row r="88" spans="5:67">
      <c r="E88" s="134" t="s">
        <v>380</v>
      </c>
      <c r="F88" s="268">
        <v>0</v>
      </c>
      <c r="G88" s="268">
        <v>0</v>
      </c>
      <c r="H88" s="268">
        <v>0</v>
      </c>
      <c r="I88" s="268">
        <f>MCC_M_RUVY_matrices_mat_level!F156*MCC_h_RUVY_matrices_mat_level!F155 / MCC_MW_RUVY_matrices_mat_level!I87</f>
        <v>0</v>
      </c>
      <c r="J88" s="268">
        <v>0</v>
      </c>
      <c r="K88" s="268">
        <v>0</v>
      </c>
      <c r="L88" s="268">
        <v>0</v>
      </c>
      <c r="M88" s="268">
        <v>0</v>
      </c>
      <c r="N88" s="268">
        <v>0</v>
      </c>
      <c r="O88" s="268">
        <v>0</v>
      </c>
      <c r="P88" s="268">
        <v>0</v>
      </c>
      <c r="Q88" s="268">
        <v>0</v>
      </c>
      <c r="R88" s="268">
        <v>0</v>
      </c>
      <c r="S88" s="268">
        <v>0</v>
      </c>
      <c r="T88" s="268">
        <v>0</v>
      </c>
      <c r="U88" s="268">
        <v>0</v>
      </c>
      <c r="V88" s="268">
        <v>0</v>
      </c>
      <c r="W88" s="268">
        <v>0</v>
      </c>
      <c r="X88" s="268">
        <v>0</v>
      </c>
      <c r="Y88" s="268">
        <v>0</v>
      </c>
      <c r="Z88" s="268">
        <v>0</v>
      </c>
      <c r="AA88" s="268">
        <v>0</v>
      </c>
      <c r="AB88" s="268">
        <v>0</v>
      </c>
      <c r="AC88" s="268">
        <v>0</v>
      </c>
      <c r="AD88" s="268">
        <v>0</v>
      </c>
      <c r="AE88" s="268">
        <v>0</v>
      </c>
      <c r="AF88" s="268">
        <v>0</v>
      </c>
      <c r="AG88" s="268">
        <v>0</v>
      </c>
      <c r="AH88" s="268">
        <v>0</v>
      </c>
      <c r="AI88" s="268">
        <v>0</v>
      </c>
      <c r="AJ88" s="268">
        <v>0</v>
      </c>
      <c r="AK88" s="268">
        <v>0</v>
      </c>
      <c r="AL88" s="268">
        <v>0</v>
      </c>
      <c r="AM88" s="268">
        <v>0</v>
      </c>
      <c r="AN88" s="268">
        <v>0</v>
      </c>
      <c r="AO88" s="268">
        <v>0</v>
      </c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</row>
    <row r="89" spans="5:67">
      <c r="E89" s="134" t="s">
        <v>376</v>
      </c>
      <c r="F89" s="268">
        <v>0</v>
      </c>
      <c r="G89" s="268">
        <v>0</v>
      </c>
      <c r="H89" s="268">
        <v>0</v>
      </c>
      <c r="I89" s="268">
        <v>0</v>
      </c>
      <c r="J89" s="268">
        <f>MCC_M_RUVY_matrices_mat_level!G157*MCC_h_RUVY_matrices_mat_level!G156 / MCC_MW_RUVY_matrices_mat_level!J88</f>
        <v>-1333105.1092348634</v>
      </c>
      <c r="K89" s="268">
        <v>0</v>
      </c>
      <c r="L89" s="268">
        <v>0</v>
      </c>
      <c r="M89" s="268">
        <v>0</v>
      </c>
      <c r="N89" s="268">
        <v>0</v>
      </c>
      <c r="O89" s="268">
        <v>0</v>
      </c>
      <c r="P89" s="268">
        <v>0</v>
      </c>
      <c r="Q89" s="268">
        <v>0</v>
      </c>
      <c r="R89" s="268">
        <v>0</v>
      </c>
      <c r="S89" s="268">
        <v>0</v>
      </c>
      <c r="T89" s="268">
        <v>0</v>
      </c>
      <c r="U89" s="268">
        <v>0</v>
      </c>
      <c r="V89" s="268">
        <v>0</v>
      </c>
      <c r="W89" s="268">
        <v>0</v>
      </c>
      <c r="X89" s="268">
        <v>0</v>
      </c>
      <c r="Y89" s="268">
        <v>0</v>
      </c>
      <c r="Z89" s="268">
        <v>0</v>
      </c>
      <c r="AA89" s="268">
        <v>0</v>
      </c>
      <c r="AB89" s="268">
        <v>0</v>
      </c>
      <c r="AC89" s="268">
        <v>0</v>
      </c>
      <c r="AD89" s="268">
        <v>0</v>
      </c>
      <c r="AE89" s="268">
        <v>0</v>
      </c>
      <c r="AF89" s="268">
        <v>0</v>
      </c>
      <c r="AG89" s="268">
        <v>0</v>
      </c>
      <c r="AH89" s="268">
        <v>0</v>
      </c>
      <c r="AI89" s="268">
        <v>0</v>
      </c>
      <c r="AJ89" s="268">
        <v>0</v>
      </c>
      <c r="AK89" s="268">
        <v>0</v>
      </c>
      <c r="AL89" s="268">
        <v>0</v>
      </c>
      <c r="AM89" s="268">
        <v>0</v>
      </c>
      <c r="AN89" s="268">
        <v>0</v>
      </c>
      <c r="AO89" s="268">
        <v>0</v>
      </c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</row>
    <row r="90" spans="5:67">
      <c r="E90" s="134" t="s">
        <v>469</v>
      </c>
      <c r="F90" s="268">
        <v>0</v>
      </c>
      <c r="G90" s="268">
        <v>0</v>
      </c>
      <c r="H90" s="268">
        <v>0</v>
      </c>
      <c r="I90" s="268">
        <v>0</v>
      </c>
      <c r="J90" s="268">
        <v>0</v>
      </c>
      <c r="K90" s="268">
        <f>MCC_M_RUVY_matrices_mat_level!H158*MCC_h_RUVY_matrices_mat_level!H157 / MCC_MW_RUVY_matrices_mat_level!K89</f>
        <v>110229.37028964539</v>
      </c>
      <c r="L90" s="268">
        <v>0</v>
      </c>
      <c r="M90" s="268">
        <v>0</v>
      </c>
      <c r="N90" s="268">
        <v>0</v>
      </c>
      <c r="O90" s="268">
        <v>0</v>
      </c>
      <c r="P90" s="268">
        <v>0</v>
      </c>
      <c r="Q90" s="268">
        <v>0</v>
      </c>
      <c r="R90" s="268">
        <v>0</v>
      </c>
      <c r="S90" s="268">
        <v>0</v>
      </c>
      <c r="T90" s="268">
        <v>0</v>
      </c>
      <c r="U90" s="268">
        <v>0</v>
      </c>
      <c r="V90" s="268">
        <v>0</v>
      </c>
      <c r="W90" s="268">
        <v>0</v>
      </c>
      <c r="X90" s="268">
        <v>0</v>
      </c>
      <c r="Y90" s="268">
        <v>0</v>
      </c>
      <c r="Z90" s="268">
        <v>0</v>
      </c>
      <c r="AA90" s="268">
        <v>0</v>
      </c>
      <c r="AB90" s="268">
        <v>0</v>
      </c>
      <c r="AC90" s="268">
        <v>0</v>
      </c>
      <c r="AD90" s="268">
        <v>0</v>
      </c>
      <c r="AE90" s="268">
        <v>0</v>
      </c>
      <c r="AF90" s="268">
        <v>0</v>
      </c>
      <c r="AG90" s="268">
        <v>0</v>
      </c>
      <c r="AH90" s="268">
        <v>0</v>
      </c>
      <c r="AI90" s="268">
        <v>0</v>
      </c>
      <c r="AJ90" s="268">
        <v>0</v>
      </c>
      <c r="AK90" s="268">
        <v>0</v>
      </c>
      <c r="AL90" s="268">
        <v>0</v>
      </c>
      <c r="AM90" s="268">
        <v>0</v>
      </c>
      <c r="AN90" s="268">
        <v>0</v>
      </c>
      <c r="AO90" s="268">
        <v>0</v>
      </c>
      <c r="AP90" s="14"/>
      <c r="AQ90" s="14"/>
      <c r="AR90" s="14"/>
      <c r="AS90" s="14"/>
      <c r="AT90" s="238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</row>
    <row r="91" spans="5:67">
      <c r="E91" s="134" t="s">
        <v>468</v>
      </c>
      <c r="F91" s="268">
        <v>0</v>
      </c>
      <c r="G91" s="268">
        <v>0</v>
      </c>
      <c r="H91" s="268">
        <v>0</v>
      </c>
      <c r="I91" s="268">
        <v>0</v>
      </c>
      <c r="J91" s="268">
        <v>0</v>
      </c>
      <c r="K91" s="268">
        <v>0</v>
      </c>
      <c r="L91" s="268">
        <f>MCC_M_RUVY_matrices_mat_level!I159*MCC_h_RUVY_matrices_mat_level!I158 / MCC_MW_RUVY_matrices_mat_level!L90</f>
        <v>-1.1322425723331082</v>
      </c>
      <c r="M91" s="268">
        <v>0</v>
      </c>
      <c r="N91" s="268">
        <v>0</v>
      </c>
      <c r="O91" s="268">
        <v>0</v>
      </c>
      <c r="P91" s="268">
        <v>0</v>
      </c>
      <c r="Q91" s="268">
        <v>0</v>
      </c>
      <c r="R91" s="268">
        <v>0</v>
      </c>
      <c r="S91" s="268">
        <v>0</v>
      </c>
      <c r="T91" s="268">
        <v>0</v>
      </c>
      <c r="U91" s="268">
        <v>0</v>
      </c>
      <c r="V91" s="268">
        <v>0</v>
      </c>
      <c r="W91" s="268">
        <v>0</v>
      </c>
      <c r="X91" s="268">
        <v>0</v>
      </c>
      <c r="Y91" s="268">
        <v>0</v>
      </c>
      <c r="Z91" s="268">
        <v>0</v>
      </c>
      <c r="AA91" s="268">
        <v>0</v>
      </c>
      <c r="AB91" s="268">
        <v>0</v>
      </c>
      <c r="AC91" s="268">
        <v>0</v>
      </c>
      <c r="AD91" s="268">
        <v>0</v>
      </c>
      <c r="AE91" s="268">
        <v>0</v>
      </c>
      <c r="AF91" s="268">
        <v>0</v>
      </c>
      <c r="AG91" s="268">
        <v>0</v>
      </c>
      <c r="AH91" s="268">
        <v>0</v>
      </c>
      <c r="AI91" s="268">
        <v>0</v>
      </c>
      <c r="AJ91" s="268">
        <v>0</v>
      </c>
      <c r="AK91" s="268">
        <v>0</v>
      </c>
      <c r="AL91" s="268">
        <v>0</v>
      </c>
      <c r="AM91" s="268">
        <v>0</v>
      </c>
      <c r="AN91" s="268">
        <v>0</v>
      </c>
      <c r="AO91" s="268">
        <v>0</v>
      </c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</row>
    <row r="92" spans="5:67">
      <c r="E92" s="134" t="s">
        <v>410</v>
      </c>
      <c r="F92" s="268">
        <v>0</v>
      </c>
      <c r="G92" s="268">
        <v>0</v>
      </c>
      <c r="H92" s="268">
        <v>0</v>
      </c>
      <c r="I92" s="268">
        <v>0</v>
      </c>
      <c r="J92" s="268">
        <v>0</v>
      </c>
      <c r="K92" s="268">
        <v>0</v>
      </c>
      <c r="L92" s="268">
        <v>0</v>
      </c>
      <c r="M92" s="268">
        <f>MCC_M_RUVY_matrices_mat_level!J160*MCC_h_RUVY_matrices_mat_level!J159 / MCC_MW_RUVY_matrices_mat_level!M91</f>
        <v>194131.36779323625</v>
      </c>
      <c r="N92" s="268">
        <v>0</v>
      </c>
      <c r="O92" s="268">
        <v>0</v>
      </c>
      <c r="P92" s="268">
        <v>0</v>
      </c>
      <c r="Q92" s="268">
        <v>0</v>
      </c>
      <c r="R92" s="268">
        <v>0</v>
      </c>
      <c r="S92" s="268">
        <v>0</v>
      </c>
      <c r="T92" s="268">
        <v>0</v>
      </c>
      <c r="U92" s="268">
        <v>0</v>
      </c>
      <c r="V92" s="268">
        <v>0</v>
      </c>
      <c r="W92" s="268">
        <v>0</v>
      </c>
      <c r="X92" s="268">
        <v>0</v>
      </c>
      <c r="Y92" s="268">
        <v>0</v>
      </c>
      <c r="Z92" s="268">
        <v>0</v>
      </c>
      <c r="AA92" s="268">
        <v>0</v>
      </c>
      <c r="AB92" s="268">
        <v>0</v>
      </c>
      <c r="AC92" s="268">
        <v>0</v>
      </c>
      <c r="AD92" s="268">
        <v>0</v>
      </c>
      <c r="AE92" s="268">
        <v>0</v>
      </c>
      <c r="AF92" s="268">
        <v>0</v>
      </c>
      <c r="AG92" s="268">
        <v>0</v>
      </c>
      <c r="AH92" s="268">
        <v>0</v>
      </c>
      <c r="AI92" s="268">
        <v>0</v>
      </c>
      <c r="AJ92" s="268">
        <v>0</v>
      </c>
      <c r="AK92" s="268">
        <v>0</v>
      </c>
      <c r="AL92" s="268">
        <v>0</v>
      </c>
      <c r="AM92" s="268">
        <v>0</v>
      </c>
      <c r="AN92" s="268">
        <v>0</v>
      </c>
      <c r="AO92" s="268">
        <v>0</v>
      </c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</row>
    <row r="93" spans="5:67">
      <c r="E93" s="134" t="s">
        <v>458</v>
      </c>
      <c r="F93" s="268">
        <v>0</v>
      </c>
      <c r="G93" s="268">
        <v>0</v>
      </c>
      <c r="H93" s="268">
        <v>0</v>
      </c>
      <c r="I93" s="268">
        <v>0</v>
      </c>
      <c r="J93" s="268">
        <v>0</v>
      </c>
      <c r="K93" s="268">
        <v>0</v>
      </c>
      <c r="L93" s="268">
        <v>0</v>
      </c>
      <c r="M93" s="268">
        <v>0</v>
      </c>
      <c r="N93" s="268">
        <v>0</v>
      </c>
      <c r="O93" s="268">
        <v>0</v>
      </c>
      <c r="P93" s="268">
        <v>0</v>
      </c>
      <c r="Q93" s="268">
        <v>0</v>
      </c>
      <c r="R93" s="268">
        <v>0</v>
      </c>
      <c r="S93" s="268">
        <v>0</v>
      </c>
      <c r="T93" s="268">
        <v>0</v>
      </c>
      <c r="U93" s="268">
        <v>0</v>
      </c>
      <c r="V93" s="268">
        <v>0</v>
      </c>
      <c r="W93" s="268">
        <v>0</v>
      </c>
      <c r="X93" s="268">
        <v>0</v>
      </c>
      <c r="Y93" s="268">
        <v>0</v>
      </c>
      <c r="Z93" s="268">
        <v>0</v>
      </c>
      <c r="AA93" s="268">
        <v>0</v>
      </c>
      <c r="AB93" s="268">
        <v>0</v>
      </c>
      <c r="AC93" s="268">
        <v>0</v>
      </c>
      <c r="AD93" s="268">
        <v>0</v>
      </c>
      <c r="AE93" s="268">
        <v>0</v>
      </c>
      <c r="AF93" s="268">
        <v>0</v>
      </c>
      <c r="AG93" s="268">
        <v>0</v>
      </c>
      <c r="AH93" s="268">
        <v>0</v>
      </c>
      <c r="AI93" s="268">
        <v>0</v>
      </c>
      <c r="AJ93" s="268">
        <v>0</v>
      </c>
      <c r="AK93" s="268">
        <v>0</v>
      </c>
      <c r="AL93" s="268">
        <v>0</v>
      </c>
      <c r="AM93" s="268">
        <v>0</v>
      </c>
      <c r="AN93" s="268">
        <v>0</v>
      </c>
      <c r="AO93" s="268">
        <v>0</v>
      </c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</row>
    <row r="94" spans="5:67">
      <c r="E94" s="14"/>
      <c r="F94" s="392" t="s">
        <v>56</v>
      </c>
      <c r="G94" s="392"/>
      <c r="H94" s="392"/>
      <c r="I94" s="392"/>
      <c r="J94" s="392"/>
      <c r="K94" s="392"/>
      <c r="L94" s="392"/>
      <c r="M94" s="392"/>
      <c r="N94" s="392"/>
      <c r="O94" s="392"/>
      <c r="P94" s="392"/>
      <c r="Q94" s="392"/>
      <c r="R94" s="392"/>
      <c r="S94" s="392"/>
      <c r="T94" s="392"/>
      <c r="U94" s="392"/>
      <c r="V94" s="392"/>
      <c r="W94" s="392"/>
      <c r="X94" s="392"/>
      <c r="Y94" s="392"/>
      <c r="Z94" s="392"/>
      <c r="AA94" s="392"/>
      <c r="AB94" s="392"/>
      <c r="AC94" s="392"/>
      <c r="AD94" s="392"/>
      <c r="AE94" s="392"/>
      <c r="AF94" s="392"/>
      <c r="AG94" s="392"/>
      <c r="AH94" s="392"/>
      <c r="AI94" s="392"/>
      <c r="AJ94" s="392"/>
      <c r="AK94" s="392"/>
      <c r="AL94" s="392"/>
      <c r="AM94" s="392"/>
      <c r="AN94" s="392"/>
      <c r="AO94" s="392"/>
      <c r="AP94" s="252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</row>
    <row r="95" spans="5:67">
      <c r="E95" s="14"/>
      <c r="F95" s="251">
        <f>SUM(F85:F93)</f>
        <v>-1777985.4355511186</v>
      </c>
      <c r="G95" s="251">
        <f t="shared" ref="G95:N95" si="5">SUM(G85:G93)</f>
        <v>-1359457.7959575919</v>
      </c>
      <c r="H95" s="251">
        <f t="shared" si="5"/>
        <v>9126570.1860198174</v>
      </c>
      <c r="I95" s="251">
        <f t="shared" si="5"/>
        <v>0</v>
      </c>
      <c r="J95" s="251">
        <f t="shared" si="5"/>
        <v>-1333105.1092348634</v>
      </c>
      <c r="K95" s="251">
        <f t="shared" si="5"/>
        <v>110229.37028964539</v>
      </c>
      <c r="L95" s="251">
        <f t="shared" si="5"/>
        <v>-1.1322425723331082</v>
      </c>
      <c r="M95" s="251">
        <f t="shared" si="5"/>
        <v>194131.36779323625</v>
      </c>
      <c r="N95" s="251">
        <f t="shared" si="5"/>
        <v>0</v>
      </c>
      <c r="O95" s="251">
        <v>0</v>
      </c>
      <c r="P95" s="251">
        <v>0</v>
      </c>
      <c r="Q95" s="251">
        <v>0</v>
      </c>
      <c r="R95" s="251">
        <v>0</v>
      </c>
      <c r="S95" s="251">
        <v>0</v>
      </c>
      <c r="T95" s="251">
        <v>0</v>
      </c>
      <c r="U95" s="251">
        <v>0</v>
      </c>
      <c r="V95" s="251">
        <v>0</v>
      </c>
      <c r="W95" s="251">
        <v>0</v>
      </c>
      <c r="X95" s="251">
        <v>0</v>
      </c>
      <c r="Y95" s="251">
        <v>0</v>
      </c>
      <c r="Z95" s="251">
        <v>0</v>
      </c>
      <c r="AA95" s="251">
        <v>0</v>
      </c>
      <c r="AB95" s="251">
        <v>0</v>
      </c>
      <c r="AC95" s="251">
        <v>0</v>
      </c>
      <c r="AD95" s="251">
        <v>0</v>
      </c>
      <c r="AE95" s="251">
        <v>0</v>
      </c>
      <c r="AF95" s="251">
        <v>0</v>
      </c>
      <c r="AG95" s="251">
        <v>0</v>
      </c>
      <c r="AH95" s="251">
        <v>0</v>
      </c>
      <c r="AI95" s="251">
        <v>0</v>
      </c>
      <c r="AJ95" s="251">
        <v>0</v>
      </c>
      <c r="AK95" s="251">
        <v>0</v>
      </c>
      <c r="AL95" s="251">
        <v>0</v>
      </c>
      <c r="AM95" s="251">
        <v>0</v>
      </c>
      <c r="AN95" s="251">
        <v>0</v>
      </c>
      <c r="AO95" s="251">
        <v>0</v>
      </c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</row>
    <row r="96" spans="5:67">
      <c r="F96" s="390" t="s">
        <v>367</v>
      </c>
      <c r="G96" s="390"/>
      <c r="H96" s="390"/>
      <c r="I96" s="390"/>
      <c r="J96" s="390"/>
      <c r="K96" s="390"/>
      <c r="L96" s="390"/>
      <c r="M96" s="390"/>
      <c r="N96" s="390"/>
      <c r="O96" s="390"/>
      <c r="P96" s="390"/>
      <c r="Q96" s="390"/>
      <c r="R96" s="390"/>
      <c r="S96" s="390"/>
      <c r="T96" s="390"/>
      <c r="U96" s="390"/>
      <c r="V96" s="390"/>
      <c r="W96" s="390"/>
      <c r="X96" s="390"/>
      <c r="Y96" s="390"/>
      <c r="Z96" s="390"/>
      <c r="AA96" s="390"/>
      <c r="AB96" s="390"/>
      <c r="AC96" s="390"/>
      <c r="AD96" s="390"/>
      <c r="AE96" s="390"/>
      <c r="AF96" s="390"/>
      <c r="AG96" s="390"/>
      <c r="AH96" s="390"/>
      <c r="AI96" s="390"/>
      <c r="AJ96" s="390"/>
      <c r="AK96" s="390"/>
      <c r="AL96" s="390"/>
      <c r="AM96" s="390"/>
      <c r="AN96" s="390"/>
      <c r="AO96" s="390"/>
    </row>
    <row r="99" spans="5:14">
      <c r="E99" s="14"/>
      <c r="F99" s="390" t="s">
        <v>512</v>
      </c>
      <c r="G99" s="390"/>
      <c r="H99" s="390"/>
      <c r="I99" s="390"/>
      <c r="J99" s="390"/>
      <c r="K99" s="390"/>
      <c r="L99" s="390"/>
      <c r="M99" s="390"/>
      <c r="N99" s="390"/>
    </row>
    <row r="100" spans="5:14">
      <c r="E100" s="14"/>
      <c r="F100" s="14"/>
      <c r="G100" s="14"/>
      <c r="H100" s="14"/>
      <c r="I100" s="14"/>
      <c r="J100" s="14"/>
      <c r="K100" s="14"/>
      <c r="L100" s="14"/>
      <c r="M100" s="14"/>
      <c r="N100" s="14"/>
    </row>
    <row r="101" spans="5:14">
      <c r="E101" s="14"/>
      <c r="F101" s="14"/>
      <c r="G101" s="14"/>
      <c r="H101" s="14"/>
      <c r="I101" s="14"/>
      <c r="J101" s="14"/>
      <c r="K101" s="14"/>
      <c r="L101" s="14"/>
      <c r="M101" s="14"/>
      <c r="N101" s="14"/>
    </row>
    <row r="102" spans="5:14">
      <c r="E102" s="134" t="s">
        <v>333</v>
      </c>
      <c r="F102" s="246">
        <f t="array" ref="F102:F137">TRANSPOSE(F95:AO95)</f>
        <v>-1777985.4355511186</v>
      </c>
      <c r="G102" s="14"/>
      <c r="H102" s="246">
        <f t="array" ref="H102:H137">TRANSPOSE(F74:AO74)</f>
        <v>0</v>
      </c>
      <c r="I102" s="14"/>
      <c r="J102" s="246">
        <f t="shared" ref="J102:J137" si="6">BI18</f>
        <v>-1777985.4355511186</v>
      </c>
      <c r="K102" s="14"/>
      <c r="L102" s="246">
        <f t="array" ref="L102:L137">BP18:BP53</f>
        <v>0</v>
      </c>
      <c r="M102" s="14"/>
      <c r="N102" s="250">
        <f>F102+H102-J102-L102</f>
        <v>0</v>
      </c>
    </row>
    <row r="103" spans="5:14">
      <c r="E103" s="134" t="s">
        <v>335</v>
      </c>
      <c r="F103" s="246">
        <v>-1359457.7959575919</v>
      </c>
      <c r="G103" s="14"/>
      <c r="H103" s="246">
        <v>0</v>
      </c>
      <c r="I103" s="14"/>
      <c r="J103" s="246">
        <f t="shared" si="6"/>
        <v>-1359457.7959575919</v>
      </c>
      <c r="K103" s="14"/>
      <c r="L103" s="246">
        <v>0</v>
      </c>
      <c r="M103" s="14"/>
      <c r="N103" s="250">
        <f t="shared" ref="N103:N137" si="7">F103+H103-J103-L103</f>
        <v>0</v>
      </c>
    </row>
    <row r="104" spans="5:14">
      <c r="E104" s="134" t="s">
        <v>336</v>
      </c>
      <c r="F104" s="246">
        <v>9126570.1860198174</v>
      </c>
      <c r="G104" s="14"/>
      <c r="H104" s="246">
        <v>0</v>
      </c>
      <c r="I104" s="14"/>
      <c r="J104" s="246">
        <f t="shared" si="6"/>
        <v>9126570.1860198174</v>
      </c>
      <c r="K104" s="14"/>
      <c r="L104" s="246">
        <v>0</v>
      </c>
      <c r="M104" s="14"/>
      <c r="N104" s="250">
        <f>F104+H104-J104-L104</f>
        <v>0</v>
      </c>
    </row>
    <row r="105" spans="5:14">
      <c r="E105" s="134" t="s">
        <v>355</v>
      </c>
      <c r="F105" s="246">
        <v>0</v>
      </c>
      <c r="G105" s="14"/>
      <c r="H105" s="246">
        <v>0</v>
      </c>
      <c r="I105" s="14"/>
      <c r="J105" s="246">
        <f t="shared" si="6"/>
        <v>0</v>
      </c>
      <c r="K105" s="14"/>
      <c r="L105" s="246">
        <v>0</v>
      </c>
      <c r="M105" s="14"/>
      <c r="N105" s="250">
        <f t="shared" si="7"/>
        <v>0</v>
      </c>
    </row>
    <row r="106" spans="5:14">
      <c r="E106" s="134" t="s">
        <v>377</v>
      </c>
      <c r="F106" s="246">
        <v>-1333105.1092348634</v>
      </c>
      <c r="G106" s="14"/>
      <c r="H106" s="246">
        <v>0</v>
      </c>
      <c r="I106" s="14"/>
      <c r="J106" s="246">
        <f t="shared" si="6"/>
        <v>-1333105.1092348634</v>
      </c>
      <c r="K106" s="14"/>
      <c r="L106" s="246">
        <v>0</v>
      </c>
      <c r="M106" s="14"/>
      <c r="N106" s="250">
        <f t="shared" si="7"/>
        <v>0</v>
      </c>
    </row>
    <row r="107" spans="5:14">
      <c r="E107" s="134" t="s">
        <v>407</v>
      </c>
      <c r="F107" s="246">
        <v>110229.37028964539</v>
      </c>
      <c r="G107" s="14"/>
      <c r="H107" s="246">
        <v>0</v>
      </c>
      <c r="I107" s="14"/>
      <c r="J107" s="246">
        <f t="shared" si="6"/>
        <v>110229.37028964538</v>
      </c>
      <c r="K107" s="14"/>
      <c r="L107" s="246">
        <v>0</v>
      </c>
      <c r="M107" s="14"/>
      <c r="N107" s="250">
        <f>ROUND(F107+H107-J107-L107, 10)</f>
        <v>0</v>
      </c>
    </row>
    <row r="108" spans="5:14">
      <c r="E108" s="134" t="s">
        <v>408</v>
      </c>
      <c r="F108" s="246">
        <v>-1.1322425723331082</v>
      </c>
      <c r="G108" s="14"/>
      <c r="H108" s="246">
        <v>0</v>
      </c>
      <c r="I108" s="14"/>
      <c r="J108" s="246">
        <f t="shared" si="6"/>
        <v>-1.1322425723331082</v>
      </c>
      <c r="K108" s="14"/>
      <c r="L108" s="246">
        <v>0</v>
      </c>
      <c r="M108" s="14"/>
      <c r="N108" s="250">
        <f t="shared" si="7"/>
        <v>0</v>
      </c>
    </row>
    <row r="109" spans="5:14">
      <c r="E109" s="134" t="s">
        <v>411</v>
      </c>
      <c r="F109" s="246">
        <v>194131.36779323625</v>
      </c>
      <c r="G109" s="14"/>
      <c r="H109" s="246">
        <v>0</v>
      </c>
      <c r="I109" s="14"/>
      <c r="J109" s="246">
        <f t="shared" si="6"/>
        <v>194131.36779323625</v>
      </c>
      <c r="K109" s="14"/>
      <c r="L109" s="246">
        <v>0</v>
      </c>
      <c r="M109" s="14"/>
      <c r="N109" s="250">
        <f t="shared" si="7"/>
        <v>0</v>
      </c>
    </row>
    <row r="110" spans="5:14">
      <c r="E110" s="134" t="s">
        <v>459</v>
      </c>
      <c r="F110" s="246">
        <v>0</v>
      </c>
      <c r="G110" s="14"/>
      <c r="H110" s="246">
        <v>0</v>
      </c>
      <c r="I110" s="14"/>
      <c r="J110" s="246">
        <f t="shared" si="6"/>
        <v>0</v>
      </c>
      <c r="K110" s="14"/>
      <c r="L110" s="246">
        <v>0</v>
      </c>
      <c r="M110" s="14"/>
      <c r="N110" s="250">
        <f t="shared" si="7"/>
        <v>0</v>
      </c>
    </row>
    <row r="111" spans="5:14" ht="16.05" customHeight="1">
      <c r="E111" s="232" t="s">
        <v>442</v>
      </c>
      <c r="F111" s="246">
        <v>0</v>
      </c>
      <c r="G111" s="14"/>
      <c r="H111" s="246">
        <v>-1777985.4355511186</v>
      </c>
      <c r="I111" s="14"/>
      <c r="J111" s="246">
        <f t="shared" si="6"/>
        <v>-1777985.4355511186</v>
      </c>
      <c r="K111" s="14"/>
      <c r="L111" s="246">
        <v>0</v>
      </c>
      <c r="M111" s="14"/>
      <c r="N111" s="250">
        <f t="shared" si="7"/>
        <v>0</v>
      </c>
    </row>
    <row r="112" spans="5:14">
      <c r="E112" s="134" t="s">
        <v>409</v>
      </c>
      <c r="F112" s="246">
        <v>0</v>
      </c>
      <c r="G112" s="14"/>
      <c r="H112" s="246">
        <v>-35429.897676176748</v>
      </c>
      <c r="I112" s="14"/>
      <c r="J112" s="246">
        <f t="shared" si="6"/>
        <v>0</v>
      </c>
      <c r="K112" s="14"/>
      <c r="L112" s="246">
        <v>-35429.897676176748</v>
      </c>
      <c r="M112" s="14"/>
      <c r="N112" s="250">
        <f t="shared" si="7"/>
        <v>0</v>
      </c>
    </row>
    <row r="113" spans="5:14" ht="16.05" customHeight="1">
      <c r="E113" s="232" t="s">
        <v>412</v>
      </c>
      <c r="F113" s="246">
        <v>0</v>
      </c>
      <c r="G113" s="14"/>
      <c r="H113" s="246">
        <v>-1359457.7959575919</v>
      </c>
      <c r="I113" s="14"/>
      <c r="J113" s="246">
        <f t="shared" si="6"/>
        <v>-1359457.7959575919</v>
      </c>
      <c r="K113" s="14"/>
      <c r="L113" s="246">
        <v>0</v>
      </c>
      <c r="M113" s="14"/>
      <c r="N113" s="250">
        <f t="shared" si="7"/>
        <v>0</v>
      </c>
    </row>
    <row r="114" spans="5:14">
      <c r="E114" s="134" t="s">
        <v>437</v>
      </c>
      <c r="F114" s="246">
        <v>0</v>
      </c>
      <c r="G114" s="14"/>
      <c r="H114" s="246">
        <v>-106.02767886152715</v>
      </c>
      <c r="I114" s="14"/>
      <c r="J114" s="246">
        <f t="shared" si="6"/>
        <v>0</v>
      </c>
      <c r="K114" s="14"/>
      <c r="L114" s="246">
        <v>-106.02767886152715</v>
      </c>
      <c r="M114" s="14"/>
      <c r="N114" s="250">
        <f t="shared" si="7"/>
        <v>0</v>
      </c>
    </row>
    <row r="115" spans="5:14">
      <c r="E115" s="233" t="s">
        <v>430</v>
      </c>
      <c r="F115" s="246">
        <v>0</v>
      </c>
      <c r="G115" s="52" t="s">
        <v>371</v>
      </c>
      <c r="H115" s="246">
        <v>9126570.1860198174</v>
      </c>
      <c r="I115" s="52" t="s">
        <v>373</v>
      </c>
      <c r="J115" s="246">
        <f t="shared" si="6"/>
        <v>9126570.1860198174</v>
      </c>
      <c r="K115" s="52" t="s">
        <v>373</v>
      </c>
      <c r="L115" s="246">
        <v>0</v>
      </c>
      <c r="M115" s="52" t="s">
        <v>374</v>
      </c>
      <c r="N115" s="250">
        <f t="shared" si="7"/>
        <v>0</v>
      </c>
    </row>
    <row r="116" spans="5:14">
      <c r="E116" s="134" t="s">
        <v>416</v>
      </c>
      <c r="F116" s="246">
        <v>0</v>
      </c>
      <c r="G116" s="14"/>
      <c r="H116" s="246">
        <v>-8771.8572366008211</v>
      </c>
      <c r="I116" s="14"/>
      <c r="J116" s="246">
        <f t="shared" si="6"/>
        <v>0</v>
      </c>
      <c r="K116" s="14"/>
      <c r="L116" s="246">
        <v>-8771.8572366008211</v>
      </c>
      <c r="M116" s="14"/>
      <c r="N116" s="250">
        <f t="shared" si="7"/>
        <v>0</v>
      </c>
    </row>
    <row r="117" spans="5:14" ht="16.05" customHeight="1">
      <c r="E117" s="232" t="s">
        <v>441</v>
      </c>
      <c r="F117" s="246">
        <v>0</v>
      </c>
      <c r="G117" s="14"/>
      <c r="H117" s="246">
        <v>-1777985.4355511186</v>
      </c>
      <c r="I117" s="14"/>
      <c r="J117" s="246">
        <f t="shared" si="6"/>
        <v>-1777985.4355511186</v>
      </c>
      <c r="K117" s="14"/>
      <c r="L117" s="246">
        <v>0</v>
      </c>
      <c r="M117" s="14"/>
      <c r="N117" s="250">
        <f t="shared" si="7"/>
        <v>0</v>
      </c>
    </row>
    <row r="118" spans="5:14" ht="16.05" customHeight="1">
      <c r="E118" s="232" t="s">
        <v>436</v>
      </c>
      <c r="F118" s="246">
        <v>0</v>
      </c>
      <c r="G118" s="14"/>
      <c r="H118" s="246">
        <v>-1359457.7959575919</v>
      </c>
      <c r="I118" s="14"/>
      <c r="J118" s="246">
        <f t="shared" si="6"/>
        <v>-1359457.7959575919</v>
      </c>
      <c r="K118" s="14"/>
      <c r="L118" s="246">
        <v>0</v>
      </c>
      <c r="M118" s="14"/>
      <c r="N118" s="250">
        <f t="shared" si="7"/>
        <v>0</v>
      </c>
    </row>
    <row r="119" spans="5:14" ht="16.05" customHeight="1">
      <c r="E119" s="232" t="s">
        <v>433</v>
      </c>
      <c r="F119" s="246">
        <v>0</v>
      </c>
      <c r="G119" s="14"/>
      <c r="H119" s="246">
        <v>9126570.1860198174</v>
      </c>
      <c r="I119" s="14"/>
      <c r="J119" s="246">
        <f t="shared" si="6"/>
        <v>9126570.1860198174</v>
      </c>
      <c r="K119" s="14"/>
      <c r="L119" s="246">
        <v>0</v>
      </c>
      <c r="M119" s="14"/>
      <c r="N119" s="250">
        <f t="shared" si="7"/>
        <v>0</v>
      </c>
    </row>
    <row r="120" spans="5:14" ht="16.05" customHeight="1">
      <c r="E120" s="232" t="s">
        <v>439</v>
      </c>
      <c r="F120" s="246">
        <v>0</v>
      </c>
      <c r="G120" s="14"/>
      <c r="H120" s="246">
        <v>-3797055.1820632704</v>
      </c>
      <c r="I120" s="14"/>
      <c r="J120" s="246">
        <f t="shared" si="6"/>
        <v>-3797055.1820632704</v>
      </c>
      <c r="K120" s="14"/>
      <c r="L120" s="246">
        <v>0</v>
      </c>
      <c r="M120" s="14"/>
      <c r="N120" s="250">
        <f t="shared" si="7"/>
        <v>0</v>
      </c>
    </row>
    <row r="121" spans="5:14">
      <c r="E121" s="233" t="s">
        <v>438</v>
      </c>
      <c r="F121" s="246">
        <v>0</v>
      </c>
      <c r="G121" s="14"/>
      <c r="H121" s="246">
        <v>-66021.418271669754</v>
      </c>
      <c r="I121" s="14"/>
      <c r="J121" s="246">
        <f t="shared" si="6"/>
        <v>0</v>
      </c>
      <c r="K121" s="14"/>
      <c r="L121" s="246">
        <v>-66021.418271669754</v>
      </c>
      <c r="M121" s="14"/>
      <c r="N121" s="250">
        <f t="shared" si="7"/>
        <v>0</v>
      </c>
    </row>
    <row r="122" spans="5:14">
      <c r="E122" s="233" t="s">
        <v>424</v>
      </c>
      <c r="F122" s="246">
        <v>0</v>
      </c>
      <c r="G122" s="14"/>
      <c r="H122" s="246">
        <v>-1359457.7959575919</v>
      </c>
      <c r="I122" s="14"/>
      <c r="J122" s="246">
        <f t="shared" si="6"/>
        <v>-1359457.7959575919</v>
      </c>
      <c r="K122" s="14"/>
      <c r="L122" s="246">
        <v>0</v>
      </c>
      <c r="M122" s="14"/>
      <c r="N122" s="250">
        <f t="shared" si="7"/>
        <v>0</v>
      </c>
    </row>
    <row r="123" spans="5:14">
      <c r="E123" s="233" t="s">
        <v>456</v>
      </c>
      <c r="F123" s="246">
        <v>0</v>
      </c>
      <c r="G123" s="14"/>
      <c r="H123" s="246">
        <v>9126570.1860198174</v>
      </c>
      <c r="I123" s="14"/>
      <c r="J123" s="246">
        <f t="shared" si="6"/>
        <v>9126570.1860198174</v>
      </c>
      <c r="K123" s="14"/>
      <c r="L123" s="246">
        <v>0</v>
      </c>
      <c r="M123" s="14"/>
      <c r="N123" s="250">
        <f t="shared" si="7"/>
        <v>0</v>
      </c>
    </row>
    <row r="124" spans="5:14">
      <c r="E124" s="233" t="s">
        <v>425</v>
      </c>
      <c r="F124" s="246">
        <v>0</v>
      </c>
      <c r="G124" s="14"/>
      <c r="H124" s="246">
        <v>-1256817.6045988721</v>
      </c>
      <c r="I124" s="14"/>
      <c r="J124" s="246">
        <f t="shared" si="6"/>
        <v>-1256817.6045988721</v>
      </c>
      <c r="K124" s="14"/>
      <c r="L124" s="246">
        <v>0</v>
      </c>
      <c r="M124" s="14"/>
      <c r="N124" s="250">
        <f t="shared" si="7"/>
        <v>0</v>
      </c>
    </row>
    <row r="125" spans="5:14">
      <c r="E125" s="233" t="s">
        <v>427</v>
      </c>
      <c r="F125" s="246">
        <v>0</v>
      </c>
      <c r="G125" s="14"/>
      <c r="H125" s="246">
        <v>-74404.460335125405</v>
      </c>
      <c r="I125" s="14"/>
      <c r="J125" s="246">
        <f t="shared" si="6"/>
        <v>0</v>
      </c>
      <c r="K125" s="14"/>
      <c r="L125" s="246">
        <v>-74404.460335125405</v>
      </c>
      <c r="M125" s="14"/>
      <c r="N125" s="250">
        <f t="shared" si="7"/>
        <v>0</v>
      </c>
    </row>
    <row r="126" spans="5:14">
      <c r="E126" s="233" t="s">
        <v>426</v>
      </c>
      <c r="F126" s="246">
        <v>0</v>
      </c>
      <c r="G126" s="14"/>
      <c r="H126" s="246">
        <v>-1082643.9792420177</v>
      </c>
      <c r="I126" s="14"/>
      <c r="J126" s="246">
        <f t="shared" si="6"/>
        <v>0</v>
      </c>
      <c r="K126" s="14"/>
      <c r="L126" s="246">
        <v>-1082643.9792420177</v>
      </c>
      <c r="M126" s="14"/>
      <c r="N126" s="250">
        <f t="shared" si="7"/>
        <v>0</v>
      </c>
    </row>
    <row r="127" spans="5:14">
      <c r="E127" s="233" t="s">
        <v>484</v>
      </c>
      <c r="F127" s="246">
        <v>0</v>
      </c>
      <c r="G127" s="14"/>
      <c r="H127" s="246">
        <v>6114656.4031687425</v>
      </c>
      <c r="I127" s="14"/>
      <c r="J127" s="246">
        <f t="shared" si="6"/>
        <v>6114656.4031687425</v>
      </c>
      <c r="K127" s="14"/>
      <c r="L127" s="246">
        <v>0</v>
      </c>
      <c r="M127" s="14"/>
      <c r="N127" s="250">
        <f t="shared" si="7"/>
        <v>0</v>
      </c>
    </row>
    <row r="128" spans="5:14" ht="16.05" customHeight="1">
      <c r="E128" s="247" t="s">
        <v>422</v>
      </c>
      <c r="F128" s="246">
        <v>0</v>
      </c>
      <c r="G128" s="14"/>
      <c r="H128" s="246">
        <v>-13740.19434752778</v>
      </c>
      <c r="I128" s="14"/>
      <c r="J128" s="246">
        <f t="shared" si="6"/>
        <v>-13740.19434752778</v>
      </c>
      <c r="K128" s="14"/>
      <c r="L128" s="246">
        <v>0</v>
      </c>
      <c r="M128" s="14"/>
      <c r="N128" s="250">
        <f t="shared" si="7"/>
        <v>0</v>
      </c>
    </row>
    <row r="129" spans="5:14" ht="16.05" customHeight="1">
      <c r="E129" s="247" t="s">
        <v>552</v>
      </c>
      <c r="F129" s="246">
        <v>0</v>
      </c>
      <c r="G129" s="14"/>
      <c r="H129" s="246">
        <v>-3677.1587424372706</v>
      </c>
      <c r="I129" s="14"/>
      <c r="J129" s="246">
        <f t="shared" si="6"/>
        <v>0</v>
      </c>
      <c r="K129" s="14"/>
      <c r="L129" s="246">
        <v>-3677.1587424372706</v>
      </c>
      <c r="M129" s="14"/>
      <c r="N129" s="250">
        <f t="shared" si="7"/>
        <v>0</v>
      </c>
    </row>
    <row r="130" spans="5:14">
      <c r="E130" s="233" t="s">
        <v>421</v>
      </c>
      <c r="F130" s="246">
        <v>0</v>
      </c>
      <c r="G130" s="14"/>
      <c r="H130" s="246">
        <v>-47920.401977769274</v>
      </c>
      <c r="I130" s="14"/>
      <c r="J130" s="246">
        <f t="shared" si="6"/>
        <v>0</v>
      </c>
      <c r="K130" s="14"/>
      <c r="L130" s="246">
        <v>-47920.401977769274</v>
      </c>
      <c r="M130" s="14"/>
      <c r="N130" s="250">
        <f t="shared" si="7"/>
        <v>0</v>
      </c>
    </row>
    <row r="131" spans="5:14">
      <c r="E131" s="134" t="s">
        <v>423</v>
      </c>
      <c r="F131" s="246">
        <v>0</v>
      </c>
      <c r="G131" s="14"/>
      <c r="H131" s="246">
        <v>-3678478.5848042481</v>
      </c>
      <c r="I131" s="14"/>
      <c r="J131" s="246">
        <f t="shared" si="6"/>
        <v>0</v>
      </c>
      <c r="K131" s="14"/>
      <c r="L131" s="246">
        <v>-3678478.5848042481</v>
      </c>
      <c r="M131" s="14"/>
      <c r="N131" s="250">
        <f t="shared" si="7"/>
        <v>0</v>
      </c>
    </row>
    <row r="132" spans="5:14">
      <c r="E132" s="233" t="s">
        <v>515</v>
      </c>
      <c r="F132" s="246">
        <v>0</v>
      </c>
      <c r="G132" s="14"/>
      <c r="H132" s="246">
        <v>-13104.628581498642</v>
      </c>
      <c r="I132" s="14"/>
      <c r="J132" s="246">
        <f t="shared" si="6"/>
        <v>-13104.628581498642</v>
      </c>
      <c r="K132" s="14"/>
      <c r="L132" s="246">
        <v>0</v>
      </c>
      <c r="M132" s="14"/>
      <c r="N132" s="250">
        <f t="shared" si="7"/>
        <v>0</v>
      </c>
    </row>
    <row r="133" spans="5:14">
      <c r="E133" s="233" t="s">
        <v>517</v>
      </c>
      <c r="F133" s="246">
        <v>0</v>
      </c>
      <c r="G133" s="14"/>
      <c r="H133" s="246">
        <v>-13104.628581498642</v>
      </c>
      <c r="I133" s="14"/>
      <c r="J133" s="246">
        <f t="shared" si="6"/>
        <v>-9173.2400070490494</v>
      </c>
      <c r="K133" s="14"/>
      <c r="L133" s="246">
        <v>-3931.3885744495929</v>
      </c>
      <c r="M133" s="14"/>
      <c r="N133" s="250">
        <f t="shared" si="7"/>
        <v>0</v>
      </c>
    </row>
    <row r="134" spans="5:14">
      <c r="E134" s="233" t="s">
        <v>445</v>
      </c>
      <c r="F134" s="246">
        <v>0</v>
      </c>
      <c r="G134" s="14"/>
      <c r="H134" s="246">
        <v>6102763.045636192</v>
      </c>
      <c r="I134" s="14"/>
      <c r="J134" s="246">
        <f t="shared" si="6"/>
        <v>6102763.045636192</v>
      </c>
      <c r="K134" s="14"/>
      <c r="L134" s="246">
        <v>0</v>
      </c>
      <c r="M134" s="14"/>
      <c r="N134" s="250">
        <f t="shared" si="7"/>
        <v>0</v>
      </c>
    </row>
    <row r="135" spans="5:14">
      <c r="E135" s="233" t="s">
        <v>446</v>
      </c>
      <c r="F135" s="246">
        <v>0</v>
      </c>
      <c r="G135" s="14"/>
      <c r="H135" s="246">
        <v>0</v>
      </c>
      <c r="I135" s="14"/>
      <c r="J135" s="246">
        <f t="shared" si="6"/>
        <v>0</v>
      </c>
      <c r="K135" s="14"/>
      <c r="L135" s="246">
        <v>0</v>
      </c>
      <c r="M135" s="14"/>
      <c r="N135" s="250">
        <f t="shared" si="7"/>
        <v>0</v>
      </c>
    </row>
    <row r="136" spans="5:14">
      <c r="E136" s="233" t="s">
        <v>447</v>
      </c>
      <c r="F136" s="246">
        <v>0</v>
      </c>
      <c r="G136" s="14"/>
      <c r="H136" s="246">
        <v>-2788514.0257371739</v>
      </c>
      <c r="I136" s="14"/>
      <c r="J136" s="246">
        <f t="shared" si="6"/>
        <v>0</v>
      </c>
      <c r="K136" s="14"/>
      <c r="L136" s="246">
        <v>-2788514.0257371739</v>
      </c>
      <c r="M136" s="14"/>
      <c r="N136" s="250">
        <f t="shared" si="7"/>
        <v>0</v>
      </c>
    </row>
    <row r="137" spans="5:14">
      <c r="E137" s="233" t="s">
        <v>457</v>
      </c>
      <c r="F137" s="246">
        <v>0</v>
      </c>
      <c r="G137" s="14"/>
      <c r="H137" s="246">
        <v>-177387.6603372262</v>
      </c>
      <c r="I137" s="14"/>
      <c r="J137" s="246">
        <f t="shared" si="6"/>
        <v>0</v>
      </c>
      <c r="K137" s="14"/>
      <c r="L137" s="246">
        <v>-177387.6603372262</v>
      </c>
      <c r="M137" s="14"/>
      <c r="N137" s="250">
        <f t="shared" si="7"/>
        <v>0</v>
      </c>
    </row>
    <row r="138" spans="5:14" ht="16.95" customHeight="1">
      <c r="E138" s="233"/>
      <c r="F138" s="14" t="s">
        <v>370</v>
      </c>
      <c r="G138" s="14"/>
      <c r="H138" s="14" t="s">
        <v>372</v>
      </c>
      <c r="I138" s="14"/>
      <c r="J138" s="52" t="s">
        <v>369</v>
      </c>
      <c r="K138" s="14"/>
      <c r="L138" s="52" t="s">
        <v>38</v>
      </c>
      <c r="M138" s="14"/>
      <c r="N138" s="52">
        <f>SUM(N102:N137)</f>
        <v>0</v>
      </c>
    </row>
    <row r="142" spans="5:14">
      <c r="E142" s="14"/>
      <c r="F142" s="392" t="s">
        <v>576</v>
      </c>
      <c r="G142" s="392"/>
      <c r="H142" s="392"/>
      <c r="I142" s="392"/>
      <c r="J142" s="392"/>
      <c r="K142" s="392"/>
      <c r="L142" s="392"/>
    </row>
    <row r="143" spans="5:14">
      <c r="E143" s="14"/>
      <c r="F143" s="14"/>
      <c r="G143" s="14"/>
      <c r="H143" s="14"/>
      <c r="I143" s="14"/>
      <c r="J143" s="14"/>
      <c r="K143" s="14"/>
      <c r="L143" s="14"/>
    </row>
    <row r="144" spans="5:14">
      <c r="E144" s="14"/>
      <c r="F144" s="14"/>
      <c r="G144" s="14"/>
      <c r="H144" s="14"/>
      <c r="I144" s="14"/>
      <c r="J144" s="14"/>
      <c r="K144" s="14"/>
      <c r="L144" s="14"/>
    </row>
    <row r="145" spans="5:12">
      <c r="E145" s="134" t="s">
        <v>325</v>
      </c>
      <c r="F145" s="251">
        <f t="array" ref="F145:F159">TRANSPOSE(AT55:BH55)</f>
        <v>-1689824.7786463453</v>
      </c>
      <c r="G145" s="14"/>
      <c r="H145" s="251">
        <v>0</v>
      </c>
      <c r="I145" s="14"/>
      <c r="J145" s="251">
        <f>AP58</f>
        <v>-1813415.3332272954</v>
      </c>
      <c r="K145" s="14"/>
      <c r="L145" s="271">
        <f>F145+H145-J145</f>
        <v>123590.55458095018</v>
      </c>
    </row>
    <row r="146" spans="5:12">
      <c r="E146" s="134" t="s">
        <v>326</v>
      </c>
      <c r="F146" s="251">
        <v>-1359217.3367370586</v>
      </c>
      <c r="G146" s="14"/>
      <c r="H146" s="251">
        <v>0</v>
      </c>
      <c r="I146" s="14"/>
      <c r="J146" s="251">
        <f t="shared" ref="J146:J159" si="8">AP59</f>
        <v>-1359563.8236364534</v>
      </c>
      <c r="K146" s="14"/>
      <c r="L146" s="271">
        <f t="shared" ref="L146:L159" si="9">F146+H146-J146</f>
        <v>346.48689939477481</v>
      </c>
    </row>
    <row r="147" spans="5:12">
      <c r="E147" s="134" t="s">
        <v>327</v>
      </c>
      <c r="F147" s="251">
        <v>9148397.3079415839</v>
      </c>
      <c r="G147" s="14"/>
      <c r="H147" s="251">
        <f>Ore_to_PI!AC195</f>
        <v>80616.370239891301</v>
      </c>
      <c r="I147" s="14"/>
      <c r="J147" s="251">
        <f t="shared" si="8"/>
        <v>9117798.328783216</v>
      </c>
      <c r="K147" s="14"/>
      <c r="L147" s="271">
        <f t="shared" si="9"/>
        <v>111215.34939825907</v>
      </c>
    </row>
    <row r="148" spans="5:12">
      <c r="E148" s="134" t="s">
        <v>455</v>
      </c>
      <c r="F148" s="251">
        <v>-1777985.4355511186</v>
      </c>
      <c r="G148" s="14"/>
      <c r="H148" s="251">
        <f>Ore_to_PI!AU28</f>
        <v>609792.2517593482</v>
      </c>
      <c r="I148" s="14"/>
      <c r="J148" s="251">
        <f t="shared" si="8"/>
        <v>-1777985.4355511186</v>
      </c>
      <c r="K148" s="14"/>
      <c r="L148" s="271">
        <f t="shared" si="9"/>
        <v>609792.2517593482</v>
      </c>
    </row>
    <row r="149" spans="5:12">
      <c r="E149" s="134" t="s">
        <v>435</v>
      </c>
      <c r="F149" s="251">
        <v>-1359457.7959575919</v>
      </c>
      <c r="G149" s="14"/>
      <c r="H149" s="251">
        <f>Ore_to_PI!AU113</f>
        <v>2824.8856477449194</v>
      </c>
      <c r="I149" s="14"/>
      <c r="J149" s="251">
        <f t="shared" si="8"/>
        <v>-1359457.7959575919</v>
      </c>
      <c r="K149" s="14"/>
      <c r="L149" s="271">
        <f t="shared" si="9"/>
        <v>2824.8856477448717</v>
      </c>
    </row>
    <row r="150" spans="5:12">
      <c r="E150" s="134" t="s">
        <v>434</v>
      </c>
      <c r="F150" s="251">
        <v>9126570.1860198174</v>
      </c>
      <c r="G150" s="14"/>
      <c r="H150" s="251">
        <f>Ore_to_PI!AU190</f>
        <v>282.1287710315147</v>
      </c>
      <c r="I150" s="14"/>
      <c r="J150" s="251">
        <f t="shared" si="8"/>
        <v>9126570.1860198174</v>
      </c>
      <c r="K150" s="14"/>
      <c r="L150" s="271">
        <f t="shared" si="9"/>
        <v>282.12877103127539</v>
      </c>
    </row>
    <row r="151" spans="5:12">
      <c r="E151" s="134" t="s">
        <v>351</v>
      </c>
      <c r="F151" s="251">
        <v>-1777985.4355511186</v>
      </c>
      <c r="G151" s="14"/>
      <c r="H151" s="251">
        <f>Ore_to_PI!BN35</f>
        <v>12626.098826338684</v>
      </c>
      <c r="I151" s="14"/>
      <c r="J151" s="251">
        <f t="shared" si="8"/>
        <v>-3863076.60033494</v>
      </c>
      <c r="K151" s="14"/>
      <c r="L151" s="271">
        <f t="shared" si="9"/>
        <v>2097717.26361016</v>
      </c>
    </row>
    <row r="152" spans="5:12">
      <c r="E152" s="134" t="s">
        <v>348</v>
      </c>
      <c r="F152" s="251">
        <v>-1359457.7959575919</v>
      </c>
      <c r="G152" s="14" t="s">
        <v>371</v>
      </c>
      <c r="H152" s="251">
        <f>Ore_to_PI!BM116</f>
        <v>34.678095164114971</v>
      </c>
      <c r="I152" s="252" t="s">
        <v>378</v>
      </c>
      <c r="J152" s="251">
        <f t="shared" si="8"/>
        <v>-1359457.7959575919</v>
      </c>
      <c r="K152" s="252" t="s">
        <v>374</v>
      </c>
      <c r="L152" s="271">
        <f t="shared" si="9"/>
        <v>34.678095164010301</v>
      </c>
    </row>
    <row r="153" spans="5:12">
      <c r="E153" s="134" t="s">
        <v>362</v>
      </c>
      <c r="F153" s="251">
        <v>9126570.1860198174</v>
      </c>
      <c r="G153" s="14"/>
      <c r="H153" s="251">
        <f>Ore_to_PI!BM195</f>
        <v>50.358084153937838</v>
      </c>
      <c r="I153" s="14"/>
      <c r="J153" s="251">
        <f t="shared" si="8"/>
        <v>9126570.1860198174</v>
      </c>
      <c r="K153" s="14"/>
      <c r="L153" s="271">
        <f t="shared" si="9"/>
        <v>50.35808415338397</v>
      </c>
    </row>
    <row r="154" spans="5:12">
      <c r="E154" s="134" t="s">
        <v>349</v>
      </c>
      <c r="F154" s="251">
        <v>-1534440.1295455615</v>
      </c>
      <c r="G154" s="14"/>
      <c r="H154" s="251">
        <v>0</v>
      </c>
      <c r="I154" s="14"/>
      <c r="J154" s="251">
        <f t="shared" si="8"/>
        <v>-2413866.0441760151</v>
      </c>
      <c r="K154" s="14"/>
      <c r="L154" s="271">
        <f t="shared" si="9"/>
        <v>879425.91463045357</v>
      </c>
    </row>
    <row r="155" spans="5:12">
      <c r="E155" s="134" t="s">
        <v>344</v>
      </c>
      <c r="F155" s="251">
        <v>8177363.7605391415</v>
      </c>
      <c r="G155" s="14"/>
      <c r="H155" s="251">
        <v>0</v>
      </c>
      <c r="I155" s="14"/>
      <c r="J155" s="251">
        <f t="shared" si="8"/>
        <v>2370840.0632967604</v>
      </c>
      <c r="K155" s="14"/>
      <c r="L155" s="271">
        <f t="shared" si="9"/>
        <v>5806523.6972423811</v>
      </c>
    </row>
    <row r="156" spans="5:12">
      <c r="E156" s="134" t="s">
        <v>514</v>
      </c>
      <c r="F156" s="251">
        <v>-13740.19434752778</v>
      </c>
      <c r="G156" s="14"/>
      <c r="H156" s="251">
        <f>Ore_to_PI!DD229</f>
        <v>33191.859393697465</v>
      </c>
      <c r="I156" s="14"/>
      <c r="J156" s="251">
        <f t="shared" si="8"/>
        <v>-13104.628581498642</v>
      </c>
      <c r="K156" s="14"/>
      <c r="L156" s="271">
        <f t="shared" si="9"/>
        <v>32556.293627668325</v>
      </c>
    </row>
    <row r="157" spans="5:12">
      <c r="E157" s="134" t="s">
        <v>516</v>
      </c>
      <c r="F157" s="251">
        <v>-13104.628581498642</v>
      </c>
      <c r="G157" s="14"/>
      <c r="H157" s="251">
        <v>0</v>
      </c>
      <c r="I157" s="14"/>
      <c r="J157" s="251">
        <f t="shared" si="8"/>
        <v>-13104.628581498642</v>
      </c>
      <c r="K157" s="14"/>
      <c r="L157" s="271">
        <f t="shared" si="9"/>
        <v>0</v>
      </c>
    </row>
    <row r="158" spans="5:12">
      <c r="E158" s="134" t="s">
        <v>76</v>
      </c>
      <c r="F158" s="251">
        <v>1060783.6165065998</v>
      </c>
      <c r="G158" s="14"/>
      <c r="H158" s="251">
        <v>0</v>
      </c>
      <c r="I158" s="14"/>
      <c r="J158" s="251">
        <f t="shared" si="8"/>
        <v>6102763.045636192</v>
      </c>
      <c r="K158" s="14"/>
      <c r="L158" s="271">
        <f t="shared" si="9"/>
        <v>-5041979.4291295921</v>
      </c>
    </row>
    <row r="159" spans="5:12">
      <c r="E159" s="134" t="s">
        <v>337</v>
      </c>
      <c r="F159" s="251">
        <v>6078804.8232561611</v>
      </c>
      <c r="G159" s="14"/>
      <c r="H159" s="253">
        <f>Ore_to_PI!EU117</f>
        <v>318930.1042317453</v>
      </c>
      <c r="I159" s="252"/>
      <c r="J159" s="251">
        <f t="shared" si="8"/>
        <v>-2965901.6860743999</v>
      </c>
      <c r="K159" s="14"/>
      <c r="L159" s="271">
        <f t="shared" si="9"/>
        <v>9363636.6135623064</v>
      </c>
    </row>
    <row r="160" spans="5:12" ht="16.95" customHeight="1">
      <c r="F160" s="14" t="s">
        <v>577</v>
      </c>
      <c r="G160" s="252"/>
      <c r="H160" s="252" t="s">
        <v>196</v>
      </c>
      <c r="I160" s="252"/>
      <c r="J160" s="52" t="s">
        <v>365</v>
      </c>
      <c r="K160" s="14"/>
      <c r="L160" s="252" t="s">
        <v>578</v>
      </c>
    </row>
  </sheetData>
  <mergeCells count="10">
    <mergeCell ref="F75:AO75"/>
    <mergeCell ref="F94:AO94"/>
    <mergeCell ref="F99:N99"/>
    <mergeCell ref="F142:L142"/>
    <mergeCell ref="F96:AO96"/>
    <mergeCell ref="AT56:BH56"/>
    <mergeCell ref="F54:G54"/>
    <mergeCell ref="AT54:BH54"/>
    <mergeCell ref="BN54:BO54"/>
    <mergeCell ref="F73:AO73"/>
  </mergeCells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C3:T23"/>
  <sheetViews>
    <sheetView topLeftCell="A14" workbookViewId="0">
      <selection activeCell="T5" sqref="T5"/>
    </sheetView>
  </sheetViews>
  <sheetFormatPr defaultColWidth="11.5546875" defaultRowHeight="14.4"/>
  <cols>
    <col min="5" max="5" width="12" customWidth="1"/>
    <col min="7" max="7" width="12" customWidth="1"/>
    <col min="14" max="15" width="12.109375" customWidth="1"/>
    <col min="20" max="20" width="12.109375" customWidth="1"/>
  </cols>
  <sheetData>
    <row r="3" spans="3:20" ht="16.95" customHeight="1">
      <c r="E3" s="390" t="s">
        <v>279</v>
      </c>
      <c r="F3" s="390"/>
      <c r="G3" s="390"/>
      <c r="L3" s="390" t="s">
        <v>354</v>
      </c>
      <c r="M3" s="390"/>
      <c r="N3" s="390"/>
      <c r="T3" s="52" t="s">
        <v>353</v>
      </c>
    </row>
    <row r="4" spans="3:20" ht="16.05" customHeight="1">
      <c r="E4" s="394" t="s">
        <v>10</v>
      </c>
      <c r="F4" s="394"/>
      <c r="G4" s="394"/>
      <c r="L4" s="394" t="s">
        <v>47</v>
      </c>
      <c r="M4" s="394"/>
      <c r="N4" s="394"/>
      <c r="T4" s="14" t="s">
        <v>47</v>
      </c>
    </row>
    <row r="5" spans="3:20" ht="14.55" customHeight="1">
      <c r="C5" s="396" t="s">
        <v>4</v>
      </c>
      <c r="E5" s="274" t="s">
        <v>275</v>
      </c>
      <c r="F5" s="275" t="s">
        <v>76</v>
      </c>
      <c r="G5" s="276" t="s">
        <v>277</v>
      </c>
      <c r="L5" s="279" t="s">
        <v>137</v>
      </c>
      <c r="M5" s="279" t="s">
        <v>129</v>
      </c>
      <c r="N5" s="279" t="s">
        <v>275</v>
      </c>
      <c r="T5" s="285">
        <f>Ore_to_PI!EP131+Ore_to_PI!DU131+Ore_to_PI!CD130+Ore_to_PI!BK130+Ore_to_PI!AR130+Ore_to_PI!X130+Ore_to_PI!X46+Ore_to_PI!AQ46+Ore_to_PI!BJ46+Ore_to_PI!CE210+Ore_to_PI!AR210+Ore_to_PI!Y210+Ore_to_PI!CZ237+Ore_to_PI!CE210</f>
        <v>27195705.206015609</v>
      </c>
    </row>
    <row r="6" spans="3:20">
      <c r="C6" s="396"/>
      <c r="D6" s="50" t="s">
        <v>280</v>
      </c>
      <c r="E6" s="14">
        <f>Beneficiation_Iron_waste</f>
        <v>11.767466001905108</v>
      </c>
      <c r="F6" s="14" t="s">
        <v>91</v>
      </c>
      <c r="G6" s="14">
        <f>BF_SolidWaste</f>
        <v>229.94813284002646</v>
      </c>
      <c r="K6" s="282" t="s">
        <v>4</v>
      </c>
      <c r="L6" s="14">
        <f>B_lost_Iron_Ext</f>
        <v>2244.7960862667505</v>
      </c>
      <c r="M6" s="14">
        <f>B_lost_Iron_haul</f>
        <v>0</v>
      </c>
      <c r="N6" s="14">
        <f>B_lost_iron_benef</f>
        <v>21722.892325740406</v>
      </c>
    </row>
    <row r="7" spans="3:20" ht="16.95" customHeight="1">
      <c r="C7" s="396"/>
      <c r="D7" s="50" t="s">
        <v>22</v>
      </c>
      <c r="E7" s="14">
        <f>0</f>
        <v>0</v>
      </c>
      <c r="F7" s="14" t="s">
        <v>91</v>
      </c>
      <c r="G7" s="14">
        <f>BF_CO2Waste</f>
        <v>894.77425815618358</v>
      </c>
    </row>
    <row r="8" spans="3:20">
      <c r="D8" s="14" t="s">
        <v>18</v>
      </c>
      <c r="E8" s="18">
        <f>SUM(E6:E7)</f>
        <v>11.767466001905108</v>
      </c>
      <c r="F8" s="18">
        <f t="shared" ref="F8:G8" si="0">SUM(F6:F7)</f>
        <v>0</v>
      </c>
      <c r="G8" s="18">
        <f t="shared" si="0"/>
        <v>1124.7223909962099</v>
      </c>
    </row>
    <row r="9" spans="3:20" ht="16.95" customHeight="1">
      <c r="L9" s="390" t="s">
        <v>354</v>
      </c>
      <c r="M9" s="390"/>
      <c r="N9" s="390"/>
      <c r="O9" s="390"/>
    </row>
    <row r="10" spans="3:20">
      <c r="E10" s="390" t="s">
        <v>279</v>
      </c>
      <c r="F10" s="390"/>
      <c r="L10" s="394" t="s">
        <v>47</v>
      </c>
      <c r="M10" s="394"/>
      <c r="N10" s="394"/>
      <c r="O10" s="394"/>
    </row>
    <row r="11" spans="3:20">
      <c r="E11" s="394" t="s">
        <v>10</v>
      </c>
      <c r="F11" s="394"/>
      <c r="L11" s="280" t="s">
        <v>137</v>
      </c>
      <c r="M11" s="280" t="s">
        <v>129</v>
      </c>
      <c r="N11" s="280" t="s">
        <v>275</v>
      </c>
      <c r="O11" s="280" t="s">
        <v>276</v>
      </c>
    </row>
    <row r="12" spans="3:20">
      <c r="C12" s="397" t="s">
        <v>19</v>
      </c>
      <c r="E12" s="272" t="s">
        <v>275</v>
      </c>
      <c r="F12" s="273" t="s">
        <v>276</v>
      </c>
      <c r="K12" s="283" t="s">
        <v>19</v>
      </c>
      <c r="L12" s="14">
        <f>B_lost_lime_ext</f>
        <v>6.7177820097776806</v>
      </c>
      <c r="M12" s="14">
        <f>B_lost_lime_haul</f>
        <v>0</v>
      </c>
      <c r="N12" s="14">
        <f>B_lost_lime_benef</f>
        <v>0</v>
      </c>
      <c r="O12" s="14">
        <f>B_lost_kiln</f>
        <v>94961.386511485034</v>
      </c>
    </row>
    <row r="13" spans="3:20" ht="14.55" customHeight="1">
      <c r="C13" s="397"/>
      <c r="D13" s="50" t="s">
        <v>280</v>
      </c>
      <c r="E13" s="14" t="s">
        <v>91</v>
      </c>
      <c r="F13" s="14">
        <f>Kiln_SolidWaste</f>
        <v>4.9847525450981189</v>
      </c>
    </row>
    <row r="14" spans="3:20" ht="16.95" customHeight="1">
      <c r="C14" s="397"/>
      <c r="D14" s="50" t="s">
        <v>22</v>
      </c>
      <c r="E14" s="14" t="s">
        <v>91</v>
      </c>
      <c r="F14" s="14">
        <f>Kiln_H2OWaste</f>
        <v>84.513558569455128</v>
      </c>
      <c r="L14" s="390" t="s">
        <v>354</v>
      </c>
      <c r="M14" s="390"/>
      <c r="N14" s="390"/>
    </row>
    <row r="15" spans="3:20">
      <c r="C15" s="397"/>
      <c r="D15" s="14" t="s">
        <v>18</v>
      </c>
      <c r="E15" s="18">
        <f>SUM(E13:E14)</f>
        <v>0</v>
      </c>
      <c r="F15" s="18">
        <f>SUM(F13:F14)</f>
        <v>89.498311114553246</v>
      </c>
      <c r="L15" s="394" t="s">
        <v>47</v>
      </c>
      <c r="M15" s="394"/>
      <c r="N15" s="394"/>
    </row>
    <row r="16" spans="3:20">
      <c r="L16" s="277" t="s">
        <v>137</v>
      </c>
      <c r="M16" s="277" t="s">
        <v>129</v>
      </c>
      <c r="N16" s="277" t="s">
        <v>296</v>
      </c>
    </row>
    <row r="17" spans="3:14">
      <c r="K17" s="284" t="s">
        <v>278</v>
      </c>
      <c r="L17" s="14">
        <f>B_lost_coal_ext</f>
        <v>555.77441893806406</v>
      </c>
      <c r="M17" s="14">
        <f>B_lost_coal_haul</f>
        <v>282.12877103127539</v>
      </c>
      <c r="N17" s="14">
        <f>B_lost_coke_oven</f>
        <v>8706828.4095456321</v>
      </c>
    </row>
    <row r="18" spans="3:14">
      <c r="E18" s="52" t="s">
        <v>279</v>
      </c>
    </row>
    <row r="19" spans="3:14" ht="16.95" customHeight="1">
      <c r="E19" s="58" t="s">
        <v>10</v>
      </c>
      <c r="L19" s="390" t="s">
        <v>354</v>
      </c>
      <c r="M19" s="390"/>
    </row>
    <row r="20" spans="3:14">
      <c r="C20" s="395" t="s">
        <v>278</v>
      </c>
      <c r="E20" s="277" t="s">
        <v>275</v>
      </c>
      <c r="L20" s="394" t="s">
        <v>47</v>
      </c>
      <c r="M20" s="394"/>
    </row>
    <row r="21" spans="3:14" ht="14.55" customHeight="1">
      <c r="C21" s="395"/>
      <c r="D21" s="50" t="s">
        <v>280</v>
      </c>
      <c r="E21" s="14">
        <f>Beneficiation_CoalWaste</f>
        <v>25.253201846716312</v>
      </c>
      <c r="L21" s="278" t="s">
        <v>76</v>
      </c>
      <c r="M21" s="278" t="s">
        <v>277</v>
      </c>
    </row>
    <row r="22" spans="3:14" ht="16.95" customHeight="1">
      <c r="C22" s="395"/>
      <c r="D22" s="50" t="s">
        <v>22</v>
      </c>
      <c r="E22" s="14" t="s">
        <v>91</v>
      </c>
      <c r="K22" s="281" t="s">
        <v>315</v>
      </c>
      <c r="L22" s="14">
        <f>B_lost_mixer</f>
        <v>0</v>
      </c>
      <c r="M22" s="14">
        <f>B_lost_blast_furnace</f>
        <v>472084.51440660493</v>
      </c>
    </row>
    <row r="23" spans="3:14">
      <c r="C23" s="395"/>
      <c r="D23" s="14" t="s">
        <v>18</v>
      </c>
      <c r="E23" s="18">
        <f>SUM(E21:E22)</f>
        <v>25.253201846716312</v>
      </c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H111"/>
  <sheetViews>
    <sheetView topLeftCell="B49" zoomScale="111" workbookViewId="0">
      <selection activeCell="N51" sqref="N51:N65"/>
    </sheetView>
  </sheetViews>
  <sheetFormatPr defaultColWidth="11.5546875" defaultRowHeight="14.4"/>
  <cols>
    <col min="3" max="3" width="7.77734375" customWidth="1"/>
    <col min="4" max="4" width="9.44140625" customWidth="1"/>
    <col min="5" max="5" width="10" customWidth="1"/>
  </cols>
  <sheetData>
    <row r="1" spans="1:34" ht="16.95" customHeight="1">
      <c r="K1" s="293"/>
      <c r="AC1" s="293"/>
      <c r="AE1" t="s">
        <v>31</v>
      </c>
      <c r="AF1" t="s">
        <v>38</v>
      </c>
      <c r="AG1" t="s">
        <v>617</v>
      </c>
      <c r="AH1" t="s">
        <v>618</v>
      </c>
    </row>
    <row r="2" spans="1:34">
      <c r="B2" s="289"/>
      <c r="C2" s="289"/>
      <c r="D2" s="289"/>
      <c r="E2" s="289"/>
      <c r="F2" s="289"/>
      <c r="G2" s="289"/>
      <c r="H2" s="289"/>
      <c r="I2" s="289"/>
      <c r="K2" s="293"/>
      <c r="AC2" s="293"/>
      <c r="AE2" t="s">
        <v>91</v>
      </c>
      <c r="AF2" t="s">
        <v>91</v>
      </c>
      <c r="AG2" t="s">
        <v>91</v>
      </c>
      <c r="AH2" t="s">
        <v>57</v>
      </c>
    </row>
    <row r="3" spans="1:34">
      <c r="A3" s="289"/>
      <c r="B3" s="289"/>
      <c r="C3" s="289"/>
      <c r="D3" s="289"/>
      <c r="E3" s="289"/>
      <c r="F3" s="289"/>
      <c r="G3" s="289"/>
      <c r="H3" s="289"/>
      <c r="I3" s="289"/>
      <c r="K3" s="293"/>
      <c r="AC3" s="293"/>
      <c r="AE3">
        <v>1</v>
      </c>
      <c r="AF3">
        <f>1/AE3</f>
        <v>1</v>
      </c>
      <c r="AG3">
        <f>AF3*LN(AF3)</f>
        <v>0</v>
      </c>
      <c r="AH3">
        <f t="shared" ref="AH3:AH34" si="0">AE3*RT0*AG3</f>
        <v>0</v>
      </c>
    </row>
    <row r="4" spans="1:34" ht="15" customHeight="1">
      <c r="A4" s="289"/>
      <c r="B4" s="290"/>
      <c r="C4" s="290"/>
      <c r="D4" s="313" t="s">
        <v>245</v>
      </c>
      <c r="E4" s="313"/>
      <c r="F4" s="313"/>
      <c r="G4" s="313"/>
      <c r="H4" s="289"/>
      <c r="I4" s="289"/>
      <c r="K4" s="293"/>
      <c r="S4" s="390" t="s">
        <v>601</v>
      </c>
      <c r="T4" s="390"/>
      <c r="U4" s="390"/>
      <c r="AC4" s="293"/>
      <c r="AE4">
        <v>2</v>
      </c>
      <c r="AF4">
        <f t="shared" ref="AF4:AF67" si="1">1/AE4</f>
        <v>0.5</v>
      </c>
      <c r="AG4">
        <f t="shared" ref="AG4:AG67" si="2">AF4*LN(AF4)</f>
        <v>-0.34657359027997264</v>
      </c>
      <c r="AH4">
        <f t="shared" si="0"/>
        <v>-1.7173220464342647</v>
      </c>
    </row>
    <row r="5" spans="1:34" ht="15" customHeight="1">
      <c r="A5" s="289"/>
      <c r="B5" s="290"/>
      <c r="C5" s="290"/>
      <c r="D5" s="394" t="s">
        <v>77</v>
      </c>
      <c r="E5" s="394"/>
      <c r="F5" s="394"/>
      <c r="G5" s="394"/>
      <c r="H5" s="289"/>
      <c r="I5" s="289"/>
      <c r="K5" s="293"/>
      <c r="M5" s="289"/>
      <c r="N5" s="289"/>
      <c r="O5" s="289"/>
      <c r="P5" s="289"/>
      <c r="Q5" s="289"/>
      <c r="R5" s="289"/>
      <c r="S5" s="289"/>
      <c r="T5" s="289"/>
      <c r="U5" s="289"/>
      <c r="V5" s="289"/>
      <c r="W5" s="289"/>
      <c r="X5" s="289"/>
      <c r="Y5" s="289"/>
      <c r="Z5" s="289"/>
      <c r="AA5" s="289"/>
      <c r="AC5" s="293"/>
      <c r="AE5">
        <v>3</v>
      </c>
      <c r="AF5">
        <f t="shared" si="1"/>
        <v>0.33333333333333331</v>
      </c>
      <c r="AG5">
        <f t="shared" si="2"/>
        <v>-0.36620409622270322</v>
      </c>
      <c r="AH5">
        <f t="shared" si="0"/>
        <v>-2.7218910452600253</v>
      </c>
    </row>
    <row r="6" spans="1:34" ht="15" customHeight="1">
      <c r="A6" s="289"/>
      <c r="B6" s="396" t="s">
        <v>4</v>
      </c>
      <c r="C6" s="14"/>
      <c r="D6" s="279" t="s">
        <v>285</v>
      </c>
      <c r="E6" s="279" t="s">
        <v>137</v>
      </c>
      <c r="F6" s="279" t="s">
        <v>129</v>
      </c>
      <c r="G6" s="279" t="s">
        <v>275</v>
      </c>
      <c r="H6" s="289"/>
      <c r="I6" s="289"/>
      <c r="K6" s="293"/>
      <c r="M6" s="289"/>
      <c r="N6" s="289"/>
      <c r="O6" s="289"/>
      <c r="P6" s="289"/>
      <c r="Q6" s="289"/>
      <c r="R6" s="289"/>
      <c r="S6" s="289"/>
      <c r="T6" s="289"/>
      <c r="U6" s="289"/>
      <c r="V6" s="289"/>
      <c r="W6" s="289"/>
      <c r="X6" s="289"/>
      <c r="Y6" s="289"/>
      <c r="Z6" s="289"/>
      <c r="AA6" s="289"/>
      <c r="AC6" s="293"/>
      <c r="AE6">
        <v>4</v>
      </c>
      <c r="AF6">
        <f t="shared" si="1"/>
        <v>0.25</v>
      </c>
      <c r="AG6">
        <f t="shared" si="2"/>
        <v>-0.34657359027997264</v>
      </c>
      <c r="AH6">
        <f t="shared" si="0"/>
        <v>-3.4346440928685293</v>
      </c>
    </row>
    <row r="7" spans="1:34" ht="16.05" customHeight="1">
      <c r="A7" s="289"/>
      <c r="B7" s="396"/>
      <c r="C7" s="286" t="s">
        <v>266</v>
      </c>
      <c r="D7" s="14">
        <f>Bejan_MEROI_Iron</f>
        <v>0.7073466118498688</v>
      </c>
      <c r="E7" s="14" t="e">
        <f>Bejan_IronExtraction</f>
        <v>#REF!</v>
      </c>
      <c r="F7" s="14" t="e">
        <f>Bejan_IronHauling</f>
        <v>#REF!</v>
      </c>
      <c r="G7" s="14" t="e">
        <f>Bejan_IronBeneficiation</f>
        <v>#REF!</v>
      </c>
      <c r="H7" s="289"/>
      <c r="I7" s="289"/>
      <c r="K7" s="293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9"/>
      <c r="X7" s="289"/>
      <c r="Y7" s="289"/>
      <c r="Z7" s="289"/>
      <c r="AA7" s="289"/>
      <c r="AC7" s="293"/>
      <c r="AE7">
        <v>5</v>
      </c>
      <c r="AF7">
        <f t="shared" si="1"/>
        <v>0.2</v>
      </c>
      <c r="AG7">
        <f t="shared" si="2"/>
        <v>-0.32188758248682009</v>
      </c>
      <c r="AH7">
        <f t="shared" si="0"/>
        <v>-3.9874983075851791</v>
      </c>
    </row>
    <row r="8" spans="1:34" ht="15" customHeight="1">
      <c r="A8" s="289"/>
      <c r="B8" s="396"/>
      <c r="C8" s="288" t="s">
        <v>267</v>
      </c>
      <c r="D8" s="14">
        <f>Rational_MEROI_Iron</f>
        <v>1.1491154339468286</v>
      </c>
      <c r="E8" s="14">
        <f>Rational_IronExtraction</f>
        <v>0.54544989987759507</v>
      </c>
      <c r="F8" s="14">
        <f>Rational_IronHauling</f>
        <v>0.15068009543796188</v>
      </c>
      <c r="G8" s="14">
        <f>Rational_IronBeneficiation</f>
        <v>0.90881323958376325</v>
      </c>
      <c r="H8" s="289"/>
      <c r="I8" s="289"/>
      <c r="K8" s="293"/>
      <c r="M8" s="289"/>
      <c r="N8" s="289"/>
      <c r="O8" s="289"/>
      <c r="P8" s="289"/>
      <c r="Q8" s="289"/>
      <c r="R8" s="289"/>
      <c r="S8" s="289"/>
      <c r="T8" s="289"/>
      <c r="U8" s="289"/>
      <c r="V8" s="289"/>
      <c r="W8" s="289"/>
      <c r="X8" s="289"/>
      <c r="Y8" s="289"/>
      <c r="Z8" s="289"/>
      <c r="AA8" s="289"/>
      <c r="AC8" s="293"/>
      <c r="AE8">
        <v>6</v>
      </c>
      <c r="AF8">
        <f t="shared" si="1"/>
        <v>0.16666666666666666</v>
      </c>
      <c r="AG8">
        <f t="shared" si="2"/>
        <v>-0.29862657820467581</v>
      </c>
      <c r="AH8">
        <f t="shared" si="0"/>
        <v>-4.43921309169429</v>
      </c>
    </row>
    <row r="9" spans="1:34" ht="15" customHeight="1">
      <c r="A9" s="289"/>
      <c r="B9" s="396"/>
      <c r="C9" s="287" t="s">
        <v>318</v>
      </c>
      <c r="D9" s="51">
        <f>Resource_MEROI_Iron</f>
        <v>0.97030529353160899</v>
      </c>
      <c r="E9" s="14">
        <f>Resource_IronExtraction</f>
        <v>0.45121172554462574</v>
      </c>
      <c r="F9" s="14">
        <f>Resource_IronHauling</f>
        <v>0.12723325256465715</v>
      </c>
      <c r="G9" s="14">
        <f>Resource_IronBeneficiation</f>
        <v>0.75805897444773263</v>
      </c>
      <c r="H9" s="289"/>
      <c r="I9" s="289"/>
      <c r="K9" s="293"/>
      <c r="M9" s="289"/>
      <c r="N9" s="289"/>
      <c r="O9" s="289"/>
      <c r="P9" s="289"/>
      <c r="Q9" s="289"/>
      <c r="R9" s="289"/>
      <c r="S9" s="289"/>
      <c r="T9" s="289"/>
      <c r="U9" s="289"/>
      <c r="V9" s="289"/>
      <c r="W9" s="289"/>
      <c r="X9" s="289"/>
      <c r="Y9" s="289"/>
      <c r="Z9" s="289"/>
      <c r="AA9" s="289"/>
      <c r="AC9" s="293"/>
      <c r="AE9">
        <v>7</v>
      </c>
      <c r="AF9">
        <f t="shared" si="1"/>
        <v>0.14285714285714285</v>
      </c>
      <c r="AG9">
        <f t="shared" si="2"/>
        <v>-0.27798716415075903</v>
      </c>
      <c r="AH9">
        <f t="shared" si="0"/>
        <v>-4.8211324998152705</v>
      </c>
    </row>
    <row r="10" spans="1:34" ht="15" customHeight="1">
      <c r="A10" s="289"/>
      <c r="C10" s="14"/>
      <c r="D10" s="289"/>
      <c r="E10" s="291"/>
      <c r="F10" s="291"/>
      <c r="G10" s="291"/>
      <c r="H10" s="290"/>
      <c r="I10" s="289"/>
      <c r="K10" s="293"/>
      <c r="M10" s="289"/>
      <c r="N10" s="289"/>
      <c r="O10" s="289"/>
      <c r="P10" s="289"/>
      <c r="Q10" s="289"/>
      <c r="R10" s="289"/>
      <c r="S10" s="289"/>
      <c r="T10" s="289"/>
      <c r="U10" s="289"/>
      <c r="V10" s="289"/>
      <c r="W10" s="289"/>
      <c r="X10" s="289"/>
      <c r="Y10" s="289"/>
      <c r="Z10" s="289"/>
      <c r="AA10" s="289"/>
      <c r="AC10" s="293"/>
      <c r="AE10">
        <v>8</v>
      </c>
      <c r="AF10">
        <f t="shared" si="1"/>
        <v>0.125</v>
      </c>
      <c r="AG10">
        <f t="shared" si="2"/>
        <v>-0.25993019270997947</v>
      </c>
      <c r="AH10">
        <f t="shared" si="0"/>
        <v>-5.151966139302794</v>
      </c>
    </row>
    <row r="11" spans="1:34" ht="15" customHeight="1">
      <c r="A11" s="289"/>
      <c r="B11" s="289"/>
      <c r="C11" s="289"/>
      <c r="D11" s="289"/>
      <c r="E11" s="290"/>
      <c r="F11" s="290"/>
      <c r="G11" s="290"/>
      <c r="H11" s="290"/>
      <c r="I11" s="289"/>
      <c r="K11" s="293"/>
      <c r="M11" s="289"/>
      <c r="N11" s="289"/>
      <c r="O11" s="289"/>
      <c r="P11" s="398"/>
      <c r="Q11" s="289"/>
      <c r="R11" s="289"/>
      <c r="S11" s="289"/>
      <c r="T11" s="289"/>
      <c r="U11" s="289"/>
      <c r="V11" s="289"/>
      <c r="W11" s="289"/>
      <c r="X11" s="289"/>
      <c r="Y11" s="289"/>
      <c r="Z11" s="289"/>
      <c r="AA11" s="289"/>
      <c r="AC11" s="293"/>
      <c r="AE11">
        <v>9</v>
      </c>
      <c r="AF11">
        <f t="shared" si="1"/>
        <v>0.1111111111111111</v>
      </c>
      <c r="AG11">
        <f t="shared" si="2"/>
        <v>-0.24413606414846883</v>
      </c>
      <c r="AH11">
        <f t="shared" si="0"/>
        <v>-5.4437820905200516</v>
      </c>
    </row>
    <row r="12" spans="1:34" ht="15" customHeight="1">
      <c r="A12" s="289"/>
      <c r="B12" s="289"/>
      <c r="C12" s="289"/>
      <c r="D12" s="289"/>
      <c r="E12" s="289"/>
      <c r="F12" s="289"/>
      <c r="G12" s="289"/>
      <c r="H12" s="289"/>
      <c r="I12" s="289"/>
      <c r="K12" s="293"/>
      <c r="M12" s="289"/>
      <c r="N12" s="289"/>
      <c r="O12" s="289"/>
      <c r="P12" s="398"/>
      <c r="Q12" s="289"/>
      <c r="R12" s="289"/>
      <c r="S12" s="289"/>
      <c r="T12" s="289"/>
      <c r="U12" s="289"/>
      <c r="V12" s="289"/>
      <c r="W12" s="289"/>
      <c r="X12" s="289"/>
      <c r="Y12" s="289"/>
      <c r="Z12" s="289"/>
      <c r="AA12" s="289"/>
      <c r="AC12" s="293"/>
      <c r="AE12">
        <v>10</v>
      </c>
      <c r="AF12">
        <f t="shared" si="1"/>
        <v>0.1</v>
      </c>
      <c r="AG12">
        <f t="shared" si="2"/>
        <v>-0.23025850929940456</v>
      </c>
      <c r="AH12">
        <f t="shared" si="0"/>
        <v>-5.7048203540194438</v>
      </c>
    </row>
    <row r="13" spans="1:34" ht="15" customHeight="1">
      <c r="A13" s="289"/>
      <c r="B13" s="290"/>
      <c r="C13" s="290"/>
      <c r="D13" s="313" t="s">
        <v>245</v>
      </c>
      <c r="E13" s="313"/>
      <c r="F13" s="313"/>
      <c r="G13" s="313"/>
      <c r="H13" s="313"/>
      <c r="I13" s="289"/>
      <c r="K13" s="293"/>
      <c r="M13" s="289"/>
      <c r="N13" s="289"/>
      <c r="O13" s="289"/>
      <c r="P13" s="289"/>
      <c r="Q13" s="289"/>
      <c r="R13" s="289"/>
      <c r="S13" s="289"/>
      <c r="T13" s="398" t="s">
        <v>166</v>
      </c>
      <c r="U13" s="289"/>
      <c r="V13" s="289"/>
      <c r="W13" s="289"/>
      <c r="X13" s="289"/>
      <c r="Y13" s="289"/>
      <c r="Z13" s="289"/>
      <c r="AA13" s="289"/>
      <c r="AC13" s="293"/>
      <c r="AE13">
        <v>11</v>
      </c>
      <c r="AF13">
        <f t="shared" si="1"/>
        <v>9.0909090909090912E-2</v>
      </c>
      <c r="AG13">
        <f t="shared" si="2"/>
        <v>-0.21799047934530644</v>
      </c>
      <c r="AH13">
        <f t="shared" si="0"/>
        <v>-5.9409581868176051</v>
      </c>
    </row>
    <row r="14" spans="1:34" ht="15" customHeight="1">
      <c r="A14" s="289"/>
      <c r="B14" s="290"/>
      <c r="C14" s="290"/>
      <c r="D14" s="394" t="s">
        <v>77</v>
      </c>
      <c r="E14" s="394"/>
      <c r="F14" s="394"/>
      <c r="G14" s="394"/>
      <c r="H14" s="394"/>
      <c r="I14" s="289"/>
      <c r="K14" s="293"/>
      <c r="M14" s="289"/>
      <c r="N14" s="289"/>
      <c r="O14" s="289"/>
      <c r="P14" s="289"/>
      <c r="Q14" s="289"/>
      <c r="R14" s="289"/>
      <c r="S14" s="289"/>
      <c r="T14" s="398"/>
      <c r="U14" s="289"/>
      <c r="V14" s="289"/>
      <c r="W14" s="289"/>
      <c r="X14" s="289"/>
      <c r="Y14" s="289"/>
      <c r="Z14" s="289"/>
      <c r="AA14" s="289"/>
      <c r="AC14" s="293"/>
      <c r="AE14">
        <v>12</v>
      </c>
      <c r="AF14">
        <f t="shared" si="1"/>
        <v>8.3333333333333329E-2</v>
      </c>
      <c r="AG14">
        <f t="shared" si="2"/>
        <v>-0.20707555414900003</v>
      </c>
      <c r="AH14">
        <f t="shared" si="0"/>
        <v>-6.1565351381285547</v>
      </c>
    </row>
    <row r="15" spans="1:34" ht="16.05" customHeight="1">
      <c r="A15" s="289"/>
      <c r="B15" s="397" t="s">
        <v>19</v>
      </c>
      <c r="C15" s="14"/>
      <c r="D15" s="280" t="s">
        <v>285</v>
      </c>
      <c r="E15" s="280" t="s">
        <v>137</v>
      </c>
      <c r="F15" s="280" t="s">
        <v>129</v>
      </c>
      <c r="G15" s="280" t="s">
        <v>275</v>
      </c>
      <c r="H15" s="280" t="s">
        <v>276</v>
      </c>
      <c r="I15" s="289"/>
      <c r="K15" s="293"/>
      <c r="M15" s="289"/>
      <c r="N15" s="289"/>
      <c r="O15" s="289"/>
      <c r="P15" s="289"/>
      <c r="Q15" s="289"/>
      <c r="R15" s="289"/>
      <c r="S15" s="289"/>
      <c r="T15" s="289"/>
      <c r="U15" s="289"/>
      <c r="V15" s="289"/>
      <c r="W15" s="289"/>
      <c r="X15" s="289"/>
      <c r="Y15" s="289"/>
      <c r="Z15" s="289"/>
      <c r="AA15" s="289"/>
      <c r="AC15" s="293"/>
      <c r="AE15">
        <v>13</v>
      </c>
      <c r="AF15">
        <f t="shared" si="1"/>
        <v>7.6923076923076927E-2</v>
      </c>
      <c r="AG15">
        <f t="shared" si="2"/>
        <v>-0.19730379672781054</v>
      </c>
      <c r="AH15">
        <f t="shared" si="0"/>
        <v>-6.3548467094646952</v>
      </c>
    </row>
    <row r="16" spans="1:34">
      <c r="A16" s="289"/>
      <c r="B16" s="397"/>
      <c r="C16" s="286" t="s">
        <v>266</v>
      </c>
      <c r="D16" s="14">
        <f>Bejan_MEROI_Limestone</f>
        <v>20693.323881806569</v>
      </c>
      <c r="E16" s="14" t="e">
        <f>Bejan_LimeExtraction</f>
        <v>#REF!</v>
      </c>
      <c r="F16" s="14" t="e">
        <f>Bejan_LimeHauling</f>
        <v>#REF!</v>
      </c>
      <c r="G16" s="14" t="e">
        <f>Bejan_LimeBeneficiation</f>
        <v>#REF!</v>
      </c>
      <c r="H16" s="14" t="s">
        <v>91</v>
      </c>
      <c r="I16" s="289"/>
      <c r="K16" s="293"/>
      <c r="M16" s="289"/>
      <c r="N16" s="289"/>
      <c r="O16" s="289"/>
      <c r="P16" s="289"/>
      <c r="Q16" s="289"/>
      <c r="R16" s="289"/>
      <c r="S16" s="289"/>
      <c r="T16" s="289"/>
      <c r="U16" s="289"/>
      <c r="V16" s="289"/>
      <c r="W16" s="289"/>
      <c r="X16" s="289"/>
      <c r="Y16" s="289"/>
      <c r="Z16" s="289"/>
      <c r="AA16" s="289"/>
      <c r="AC16" s="293"/>
      <c r="AE16">
        <v>14</v>
      </c>
      <c r="AF16">
        <f t="shared" si="1"/>
        <v>7.1428571428571425E-2</v>
      </c>
      <c r="AG16">
        <f t="shared" si="2"/>
        <v>-0.18850409497251847</v>
      </c>
      <c r="AH16">
        <f t="shared" si="0"/>
        <v>-6.5384545462495351</v>
      </c>
    </row>
    <row r="17" spans="1:34">
      <c r="A17" s="289"/>
      <c r="B17" s="397"/>
      <c r="C17" s="288" t="s">
        <v>267</v>
      </c>
      <c r="D17" s="14">
        <f>Rational_MEROI_Limestone</f>
        <v>25297.051877142174</v>
      </c>
      <c r="E17" s="14">
        <f>Rational_LimeExtraction</f>
        <v>0.98922076974338935</v>
      </c>
      <c r="F17" s="14">
        <f>Rational_LimeHauling</f>
        <v>0.89954868347015648</v>
      </c>
      <c r="G17" s="14">
        <f>Rational_LimeBeneficiation</f>
        <v>0.99884664645418608</v>
      </c>
      <c r="H17" s="14">
        <f>Rational_Kiln</f>
        <v>0.17027276068302746</v>
      </c>
      <c r="I17" s="289"/>
      <c r="K17" s="293"/>
      <c r="M17" s="289"/>
      <c r="N17" s="289"/>
      <c r="O17" s="289"/>
      <c r="P17" s="289"/>
      <c r="Q17" s="289"/>
      <c r="R17" s="289"/>
      <c r="S17" s="289"/>
      <c r="T17" s="289"/>
      <c r="U17" s="289"/>
      <c r="V17" s="289"/>
      <c r="W17" s="289"/>
      <c r="X17" s="289"/>
      <c r="Y17" s="289"/>
      <c r="Z17" s="289"/>
      <c r="AA17" s="289"/>
      <c r="AC17" s="293"/>
      <c r="AE17">
        <v>15</v>
      </c>
      <c r="AF17">
        <f t="shared" si="1"/>
        <v>6.6666666666666666E-2</v>
      </c>
      <c r="AG17">
        <f t="shared" si="2"/>
        <v>-0.18053668007348067</v>
      </c>
      <c r="AH17">
        <f t="shared" si="0"/>
        <v>-6.7093893528452044</v>
      </c>
    </row>
    <row r="18" spans="1:34">
      <c r="A18" s="289"/>
      <c r="B18" s="397"/>
      <c r="C18" s="287" t="s">
        <v>318</v>
      </c>
      <c r="D18" s="51">
        <f>Resource_MEROI_Limestone</f>
        <v>21986.192727413487</v>
      </c>
      <c r="E18" s="14">
        <f>Resource_LimeExtraction</f>
        <v>0.85952404667389759</v>
      </c>
      <c r="F18" s="14">
        <f>Resource_LimeHauling</f>
        <v>0.78181642740498758</v>
      </c>
      <c r="G18" s="14">
        <f>Resource_LimeBeneficiation</f>
        <v>0.86811834757376105</v>
      </c>
      <c r="H18" s="14">
        <f>Resource_Kiln</f>
        <v>0.1222893219234706</v>
      </c>
      <c r="I18" s="289"/>
      <c r="K18" s="293"/>
      <c r="M18" s="289"/>
      <c r="N18" s="289"/>
      <c r="O18" s="289"/>
      <c r="P18" s="289"/>
      <c r="Q18" s="289"/>
      <c r="R18" s="289"/>
      <c r="S18" s="289"/>
      <c r="T18" s="289"/>
      <c r="U18" s="289"/>
      <c r="V18" s="289"/>
      <c r="W18" s="289"/>
      <c r="X18" s="289"/>
      <c r="Y18" s="289"/>
      <c r="Z18" s="289"/>
      <c r="AA18" s="289"/>
      <c r="AC18" s="293"/>
      <c r="AE18">
        <v>16</v>
      </c>
      <c r="AF18">
        <f t="shared" si="1"/>
        <v>6.25E-2</v>
      </c>
      <c r="AG18">
        <f t="shared" si="2"/>
        <v>-0.17328679513998632</v>
      </c>
      <c r="AH18">
        <f t="shared" si="0"/>
        <v>-6.8692881857370587</v>
      </c>
    </row>
    <row r="19" spans="1:34" ht="15" customHeight="1">
      <c r="A19" s="289"/>
      <c r="C19" s="14"/>
      <c r="D19" s="289"/>
      <c r="E19" s="291"/>
      <c r="F19" s="291"/>
      <c r="G19" s="291"/>
      <c r="H19" s="291"/>
      <c r="I19" s="289"/>
      <c r="K19" s="293"/>
      <c r="L19" t="s">
        <v>357</v>
      </c>
      <c r="M19" s="289"/>
      <c r="N19" s="289"/>
      <c r="O19" s="289"/>
      <c r="P19" s="289"/>
      <c r="Q19" s="289"/>
      <c r="R19" s="289"/>
      <c r="S19" s="289"/>
      <c r="T19" s="289"/>
      <c r="U19" s="289"/>
      <c r="V19" s="289"/>
      <c r="W19" s="294"/>
      <c r="X19" s="289"/>
      <c r="Y19" s="289"/>
      <c r="Z19" s="289"/>
      <c r="AA19" s="289"/>
      <c r="AC19" s="293"/>
      <c r="AE19">
        <v>17</v>
      </c>
      <c r="AF19">
        <f t="shared" si="1"/>
        <v>5.8823529411764705E-2</v>
      </c>
      <c r="AG19">
        <f t="shared" si="2"/>
        <v>-0.16665960847389508</v>
      </c>
      <c r="AH19">
        <f t="shared" si="0"/>
        <v>-7.019490051260048</v>
      </c>
    </row>
    <row r="20" spans="1:34" ht="15" customHeight="1">
      <c r="A20" s="289"/>
      <c r="B20" s="289"/>
      <c r="C20" s="289"/>
      <c r="D20" s="289"/>
      <c r="E20" s="289"/>
      <c r="F20" s="289"/>
      <c r="G20" s="289"/>
      <c r="H20" s="289"/>
      <c r="I20" s="289"/>
      <c r="K20" s="293"/>
      <c r="M20" s="289"/>
      <c r="N20" s="289"/>
      <c r="O20" s="289"/>
      <c r="Q20" s="294"/>
      <c r="R20" s="289"/>
      <c r="S20" s="289"/>
      <c r="T20" s="289"/>
      <c r="U20" s="289"/>
      <c r="V20" s="289"/>
      <c r="X20" s="289"/>
      <c r="Y20" s="289"/>
      <c r="Z20" s="289"/>
      <c r="AA20" s="289"/>
      <c r="AC20" s="293"/>
      <c r="AE20">
        <v>18</v>
      </c>
      <c r="AF20">
        <f t="shared" si="1"/>
        <v>5.5555555555555552E-2</v>
      </c>
      <c r="AG20">
        <f t="shared" si="2"/>
        <v>-0.16057620877200915</v>
      </c>
      <c r="AH20">
        <f t="shared" si="0"/>
        <v>-7.1611041369543154</v>
      </c>
    </row>
    <row r="21" spans="1:34" ht="15" customHeight="1">
      <c r="A21" s="289"/>
      <c r="B21" s="290"/>
      <c r="C21" s="290"/>
      <c r="D21" s="313" t="s">
        <v>245</v>
      </c>
      <c r="E21" s="313"/>
      <c r="F21" s="313"/>
      <c r="G21" s="313"/>
      <c r="H21" s="289"/>
      <c r="I21" s="289"/>
      <c r="K21" s="293"/>
      <c r="M21" s="289"/>
      <c r="N21" s="289"/>
      <c r="O21" s="289"/>
      <c r="P21" s="398" t="s">
        <v>56</v>
      </c>
      <c r="Q21" s="294"/>
      <c r="R21" s="289"/>
      <c r="S21" s="399" t="s">
        <v>600</v>
      </c>
      <c r="T21" s="399"/>
      <c r="U21" s="399"/>
      <c r="V21" s="289"/>
      <c r="W21" s="289"/>
      <c r="X21" s="398" t="s">
        <v>134</v>
      </c>
      <c r="Z21" s="289"/>
      <c r="AA21" s="289"/>
      <c r="AC21" s="293"/>
      <c r="AE21">
        <v>19</v>
      </c>
      <c r="AF21">
        <f t="shared" si="1"/>
        <v>5.2631578947368418E-2</v>
      </c>
      <c r="AG21">
        <f t="shared" si="2"/>
        <v>-0.15497047258770741</v>
      </c>
      <c r="AH21">
        <f t="shared" si="0"/>
        <v>-7.2950595704913566</v>
      </c>
    </row>
    <row r="22" spans="1:34" ht="15" customHeight="1">
      <c r="A22" s="289"/>
      <c r="B22" s="290"/>
      <c r="C22" s="290"/>
      <c r="D22" s="394" t="s">
        <v>77</v>
      </c>
      <c r="E22" s="394"/>
      <c r="F22" s="394"/>
      <c r="G22" s="394"/>
      <c r="H22" s="289"/>
      <c r="I22" s="289"/>
      <c r="K22" s="293"/>
      <c r="M22" s="289"/>
      <c r="N22" s="289"/>
      <c r="O22" s="289"/>
      <c r="P22" s="398"/>
      <c r="Q22" s="294"/>
      <c r="R22" s="289"/>
      <c r="S22" s="399"/>
      <c r="T22" s="399"/>
      <c r="U22" s="399"/>
      <c r="V22" s="289"/>
      <c r="X22" s="398"/>
      <c r="Y22" s="289"/>
      <c r="Z22" s="289"/>
      <c r="AA22" s="289"/>
      <c r="AC22" s="293"/>
      <c r="AE22">
        <v>20</v>
      </c>
      <c r="AF22">
        <f t="shared" si="1"/>
        <v>0.05</v>
      </c>
      <c r="AG22">
        <f t="shared" si="2"/>
        <v>-0.14978661367769955</v>
      </c>
      <c r="AH22">
        <f t="shared" si="0"/>
        <v>-7.4221424004537084</v>
      </c>
    </row>
    <row r="23" spans="1:34" ht="15" customHeight="1">
      <c r="A23" s="289"/>
      <c r="B23" s="395" t="s">
        <v>278</v>
      </c>
      <c r="C23" s="14"/>
      <c r="D23" s="277" t="s">
        <v>285</v>
      </c>
      <c r="E23" s="277" t="s">
        <v>137</v>
      </c>
      <c r="F23" s="277" t="s">
        <v>129</v>
      </c>
      <c r="G23" s="277" t="s">
        <v>296</v>
      </c>
      <c r="H23" s="289"/>
      <c r="I23" s="289"/>
      <c r="K23" s="293"/>
      <c r="M23" s="289"/>
      <c r="N23" s="289"/>
      <c r="O23" s="289"/>
      <c r="P23" s="289"/>
      <c r="Q23" s="289"/>
      <c r="R23" s="289"/>
      <c r="S23" s="399"/>
      <c r="T23" s="399"/>
      <c r="U23" s="399"/>
      <c r="V23" s="289"/>
      <c r="W23" s="289"/>
      <c r="X23" s="294"/>
      <c r="Z23" s="289"/>
      <c r="AA23" s="289"/>
      <c r="AC23" s="293"/>
      <c r="AE23">
        <v>21</v>
      </c>
      <c r="AF23">
        <f t="shared" si="1"/>
        <v>4.7619047619047616E-2</v>
      </c>
      <c r="AG23">
        <f t="shared" si="2"/>
        <v>-0.14497725893921062</v>
      </c>
      <c r="AH23">
        <f t="shared" si="0"/>
        <v>-7.5430235450752958</v>
      </c>
    </row>
    <row r="24" spans="1:34">
      <c r="A24" s="289"/>
      <c r="B24" s="395"/>
      <c r="C24" s="286" t="s">
        <v>266</v>
      </c>
      <c r="D24" s="14">
        <f>Bejan_MEROI_Coal</f>
        <v>109.11201209723454</v>
      </c>
      <c r="E24" s="14" t="e">
        <f>Bejan_CoalExtraction</f>
        <v>#REF!</v>
      </c>
      <c r="F24" s="14" t="e">
        <f>Bejan_CoalHauling</f>
        <v>#REF!</v>
      </c>
      <c r="G24" s="14" t="e">
        <f>Bejan_Cokeoven</f>
        <v>#REF!</v>
      </c>
      <c r="H24" s="289"/>
      <c r="I24" s="289"/>
      <c r="K24" s="293"/>
      <c r="M24" s="289"/>
      <c r="N24" s="289"/>
      <c r="O24" s="289"/>
      <c r="P24" s="289"/>
      <c r="Q24" s="289"/>
      <c r="R24" s="289"/>
      <c r="S24" s="289"/>
      <c r="T24" s="289"/>
      <c r="U24" s="289"/>
      <c r="V24" s="289"/>
      <c r="W24" s="289"/>
      <c r="X24" s="289"/>
      <c r="Y24" s="289"/>
      <c r="Z24" s="289"/>
      <c r="AA24" s="289"/>
      <c r="AC24" s="293"/>
      <c r="AE24">
        <v>22</v>
      </c>
      <c r="AF24">
        <f t="shared" si="1"/>
        <v>4.5454545454545456E-2</v>
      </c>
      <c r="AG24">
        <f t="shared" si="2"/>
        <v>-0.14050192969810527</v>
      </c>
      <c r="AH24">
        <f t="shared" si="0"/>
        <v>-7.6582802332518689</v>
      </c>
    </row>
    <row r="25" spans="1:34">
      <c r="A25" s="289"/>
      <c r="B25" s="395"/>
      <c r="C25" s="288" t="s">
        <v>267</v>
      </c>
      <c r="D25" s="14">
        <f>Rational_MEROI_Coal</f>
        <v>109.79148941804274</v>
      </c>
      <c r="E25" s="14">
        <f>Rational_CoalExtraction</f>
        <v>0.98899070789782728</v>
      </c>
      <c r="F25" s="14">
        <f>Rational_CoalHauling</f>
        <v>0.99996814295200787</v>
      </c>
      <c r="G25" s="14">
        <f>Rational_Cokeoven</f>
        <v>0.60155306227269634</v>
      </c>
      <c r="H25" s="289"/>
      <c r="I25" s="289"/>
      <c r="K25" s="293"/>
      <c r="M25" s="289"/>
      <c r="N25" s="289"/>
      <c r="O25" s="289"/>
      <c r="P25" s="289"/>
      <c r="Q25" s="289"/>
      <c r="R25" s="289"/>
      <c r="S25" s="289"/>
      <c r="T25" s="289"/>
      <c r="U25" s="289"/>
      <c r="V25" s="289"/>
      <c r="W25" s="289"/>
      <c r="X25" s="289"/>
      <c r="Y25" s="289"/>
      <c r="Z25" s="289"/>
      <c r="AA25" s="289"/>
      <c r="AC25" s="293"/>
      <c r="AE25">
        <v>23</v>
      </c>
      <c r="AF25">
        <f t="shared" si="1"/>
        <v>4.3478260869565216E-2</v>
      </c>
      <c r="AG25">
        <f t="shared" si="2"/>
        <v>-0.13632583547518043</v>
      </c>
      <c r="AH25">
        <f t="shared" si="0"/>
        <v>-7.7684126755480154</v>
      </c>
    </row>
    <row r="26" spans="1:34">
      <c r="A26" s="289"/>
      <c r="B26" s="395"/>
      <c r="C26" s="287" t="s">
        <v>318</v>
      </c>
      <c r="D26" s="51">
        <f>Resource_MEROI_Coal</f>
        <v>109.7914834438229</v>
      </c>
      <c r="E26" s="14">
        <f>Resource_CoalExtraction</f>
        <v>0.98839112692609699</v>
      </c>
      <c r="F26" s="14">
        <f>Resource_CoalHauling</f>
        <v>0.9994246250143145</v>
      </c>
      <c r="G26" s="14">
        <f>Resource_CokeBeneficiation</f>
        <v>0.32940597812032246</v>
      </c>
      <c r="I26" s="289"/>
      <c r="K26" s="293"/>
      <c r="M26" s="289"/>
      <c r="N26" s="289"/>
      <c r="O26" s="289"/>
      <c r="P26" s="289"/>
      <c r="Q26" s="289"/>
      <c r="R26" s="289"/>
      <c r="S26" s="289"/>
      <c r="T26" s="289"/>
      <c r="U26" s="289"/>
      <c r="V26" s="289"/>
      <c r="W26" s="289"/>
      <c r="X26" s="289"/>
      <c r="Y26" s="289"/>
      <c r="Z26" s="289"/>
      <c r="AA26" s="289"/>
      <c r="AC26" s="293"/>
      <c r="AE26">
        <v>24</v>
      </c>
      <c r="AF26">
        <f t="shared" si="1"/>
        <v>4.1666666666666664E-2</v>
      </c>
      <c r="AG26">
        <f t="shared" si="2"/>
        <v>-0.13241890959783106</v>
      </c>
      <c r="AH26">
        <f t="shared" si="0"/>
        <v>-7.8738571845628194</v>
      </c>
    </row>
    <row r="27" spans="1:34">
      <c r="A27" s="289"/>
      <c r="B27" s="289"/>
      <c r="C27" s="290"/>
      <c r="D27" s="289"/>
      <c r="E27" s="291"/>
      <c r="F27" s="291"/>
      <c r="G27" s="291"/>
      <c r="H27" s="290"/>
      <c r="I27" s="289"/>
      <c r="K27" s="293"/>
      <c r="M27" s="289"/>
      <c r="N27" s="289"/>
      <c r="O27" s="289"/>
      <c r="P27" s="289"/>
      <c r="Q27" s="289"/>
      <c r="R27" s="289"/>
      <c r="S27" s="289"/>
      <c r="T27" s="289"/>
      <c r="U27" s="289"/>
      <c r="V27" s="289"/>
      <c r="W27" s="289"/>
      <c r="X27" s="289"/>
      <c r="Y27" s="289"/>
      <c r="Z27" s="289"/>
      <c r="AA27" s="289"/>
      <c r="AC27" s="293"/>
      <c r="AE27">
        <v>25</v>
      </c>
      <c r="AF27">
        <f t="shared" si="1"/>
        <v>0.04</v>
      </c>
      <c r="AG27">
        <f t="shared" si="2"/>
        <v>-0.12875503299472801</v>
      </c>
      <c r="AH27">
        <f t="shared" si="0"/>
        <v>-7.9749966151703564</v>
      </c>
    </row>
    <row r="28" spans="1:34">
      <c r="A28" s="289"/>
      <c r="B28" s="289"/>
      <c r="C28" s="289"/>
      <c r="D28" s="289"/>
      <c r="E28" s="289"/>
      <c r="F28" s="289"/>
      <c r="G28" s="289"/>
      <c r="H28" s="289"/>
      <c r="I28" s="289"/>
      <c r="K28" s="293"/>
      <c r="M28" s="289"/>
      <c r="N28" s="289"/>
      <c r="O28" s="289"/>
      <c r="P28" s="289"/>
      <c r="Q28" s="289"/>
      <c r="R28" s="289"/>
      <c r="S28" s="289"/>
      <c r="T28" s="289"/>
      <c r="U28" s="289"/>
      <c r="V28" s="289"/>
      <c r="W28" s="289"/>
      <c r="Y28" s="289"/>
      <c r="Z28" s="289"/>
      <c r="AA28" s="289"/>
      <c r="AC28" s="293"/>
      <c r="AE28">
        <v>26</v>
      </c>
      <c r="AF28">
        <f t="shared" si="1"/>
        <v>3.8461538461538464E-2</v>
      </c>
      <c r="AG28">
        <f t="shared" si="2"/>
        <v>-0.12531140530851856</v>
      </c>
      <c r="AH28">
        <f t="shared" si="0"/>
        <v>-8.0721687558989608</v>
      </c>
    </row>
    <row r="29" spans="1:34" ht="15" customHeight="1">
      <c r="A29" s="289"/>
      <c r="B29" s="289"/>
      <c r="C29" s="289"/>
      <c r="D29" s="289"/>
      <c r="E29" s="289"/>
      <c r="F29" s="289"/>
      <c r="G29" s="289"/>
      <c r="H29" s="289"/>
      <c r="I29" s="289"/>
      <c r="K29" s="293"/>
      <c r="M29" s="289"/>
      <c r="N29" s="289"/>
      <c r="O29" s="289"/>
      <c r="P29" s="289"/>
      <c r="Q29" s="289"/>
      <c r="R29" s="289"/>
      <c r="S29" s="289"/>
      <c r="T29" s="289"/>
      <c r="U29" s="289"/>
      <c r="V29" s="289"/>
      <c r="W29" s="289"/>
      <c r="X29" s="289"/>
      <c r="Y29" s="289"/>
      <c r="AA29" s="289"/>
      <c r="AC29" s="293"/>
      <c r="AE29">
        <v>27</v>
      </c>
      <c r="AF29">
        <f t="shared" si="1"/>
        <v>3.7037037037037035E-2</v>
      </c>
      <c r="AG29">
        <f t="shared" si="2"/>
        <v>-0.1220680320742344</v>
      </c>
      <c r="AH29">
        <f t="shared" si="0"/>
        <v>-8.1656731357800769</v>
      </c>
    </row>
    <row r="30" spans="1:34" ht="15" customHeight="1">
      <c r="A30" s="289"/>
      <c r="B30" s="289"/>
      <c r="C30" s="289"/>
      <c r="D30" s="289"/>
      <c r="E30" s="289"/>
      <c r="F30" s="289"/>
      <c r="G30" s="289"/>
      <c r="H30" s="289"/>
      <c r="I30" s="289"/>
      <c r="K30" s="293"/>
      <c r="M30" s="289"/>
      <c r="N30" s="289"/>
      <c r="O30" s="289"/>
      <c r="P30" s="398"/>
      <c r="Q30" s="289"/>
      <c r="R30" s="289"/>
      <c r="S30" s="289"/>
      <c r="T30" s="398" t="s">
        <v>616</v>
      </c>
      <c r="U30" s="289"/>
      <c r="V30" s="289"/>
      <c r="W30" s="289"/>
      <c r="X30" s="289"/>
      <c r="Y30" s="289"/>
      <c r="Z30" s="289"/>
      <c r="AA30" s="289"/>
      <c r="AC30" s="293"/>
      <c r="AE30">
        <v>28</v>
      </c>
      <c r="AF30">
        <f t="shared" si="1"/>
        <v>3.5714285714285712E-2</v>
      </c>
      <c r="AG30">
        <f t="shared" si="2"/>
        <v>-0.1190073039348287</v>
      </c>
      <c r="AH30">
        <f t="shared" si="0"/>
        <v>-8.2557765926837998</v>
      </c>
    </row>
    <row r="31" spans="1:34">
      <c r="A31" s="289"/>
      <c r="B31" s="289"/>
      <c r="C31" s="289"/>
      <c r="D31" s="289"/>
      <c r="E31" s="289"/>
      <c r="F31" s="289"/>
      <c r="G31" s="289"/>
      <c r="H31" s="289"/>
      <c r="I31" s="289"/>
      <c r="K31" s="293"/>
      <c r="M31" s="289"/>
      <c r="N31" s="289"/>
      <c r="O31" s="289"/>
      <c r="P31" s="398"/>
      <c r="Q31" s="289"/>
      <c r="R31" s="289"/>
      <c r="S31" s="289"/>
      <c r="T31" s="398"/>
      <c r="U31" s="289"/>
      <c r="V31" s="289"/>
      <c r="W31" s="289"/>
      <c r="X31" s="289"/>
      <c r="Y31" s="289"/>
      <c r="Z31" s="289"/>
      <c r="AA31" s="289"/>
      <c r="AC31" s="293"/>
      <c r="AE31">
        <v>29</v>
      </c>
      <c r="AF31">
        <f t="shared" si="1"/>
        <v>3.4482758620689655E-2</v>
      </c>
      <c r="AG31">
        <f t="shared" si="2"/>
        <v>-0.11611364930987841</v>
      </c>
      <c r="AH31">
        <f t="shared" si="0"/>
        <v>-8.3427178640912487</v>
      </c>
    </row>
    <row r="32" spans="1:34">
      <c r="A32" s="289"/>
      <c r="B32" s="400" t="s">
        <v>315</v>
      </c>
      <c r="D32" s="278" t="s">
        <v>76</v>
      </c>
      <c r="E32" s="278" t="s">
        <v>277</v>
      </c>
      <c r="F32" s="289"/>
      <c r="G32" s="289"/>
      <c r="H32" s="289"/>
      <c r="I32" s="289"/>
      <c r="K32" s="293"/>
      <c r="M32" s="289"/>
      <c r="N32" s="289"/>
      <c r="O32" s="289"/>
      <c r="P32" s="289"/>
      <c r="Q32" s="289"/>
      <c r="R32" s="289"/>
      <c r="S32" s="289"/>
      <c r="T32" s="289"/>
      <c r="U32" s="289"/>
      <c r="V32" s="289"/>
      <c r="W32" s="289"/>
      <c r="X32" s="289"/>
      <c r="Y32" s="289"/>
      <c r="Z32" s="289"/>
      <c r="AA32" s="289"/>
      <c r="AC32" s="293"/>
      <c r="AE32">
        <v>30</v>
      </c>
      <c r="AF32">
        <f t="shared" si="1"/>
        <v>3.3333333333333333E-2</v>
      </c>
      <c r="AG32">
        <f t="shared" si="2"/>
        <v>-0.11337324605540518</v>
      </c>
      <c r="AH32">
        <f t="shared" si="0"/>
        <v>-8.4267113992794691</v>
      </c>
    </row>
    <row r="33" spans="1:34">
      <c r="A33" s="289"/>
      <c r="B33" s="400"/>
      <c r="C33" s="286" t="s">
        <v>266</v>
      </c>
      <c r="D33" s="14" t="s">
        <v>91</v>
      </c>
      <c r="E33" s="14" t="e">
        <f>Bejan_BF</f>
        <v>#REF!</v>
      </c>
      <c r="F33" s="289"/>
      <c r="G33" s="289"/>
      <c r="H33" s="289"/>
      <c r="I33" s="289"/>
      <c r="K33" s="293"/>
      <c r="M33" s="289"/>
      <c r="N33" s="289"/>
      <c r="O33" s="289"/>
      <c r="P33" s="289"/>
      <c r="Q33" s="289"/>
      <c r="R33" s="289"/>
      <c r="S33" s="289"/>
      <c r="T33" s="289"/>
      <c r="U33" s="289"/>
      <c r="V33" s="289"/>
      <c r="W33" s="289"/>
      <c r="X33" s="289"/>
      <c r="Y33" s="289"/>
      <c r="Z33" s="289"/>
      <c r="AA33" s="289"/>
      <c r="AC33" s="293"/>
      <c r="AE33">
        <v>31</v>
      </c>
      <c r="AF33">
        <f t="shared" si="1"/>
        <v>3.2258064516129031E-2</v>
      </c>
      <c r="AG33">
        <f t="shared" si="2"/>
        <v>-0.11077378078984343</v>
      </c>
      <c r="AH33">
        <f t="shared" si="0"/>
        <v>-8.5079505461906724</v>
      </c>
    </row>
    <row r="34" spans="1:34">
      <c r="A34" s="289"/>
      <c r="B34" s="400"/>
      <c r="C34" s="288" t="s">
        <v>267</v>
      </c>
      <c r="D34" s="14">
        <f>Rational_mixer</f>
        <v>0.99174963463121601</v>
      </c>
      <c r="E34" s="14">
        <f>Rational_BF</f>
        <v>0.37943022424115741</v>
      </c>
      <c r="F34" s="289"/>
      <c r="G34" s="289"/>
      <c r="H34" s="289"/>
      <c r="I34" s="289"/>
      <c r="K34" s="293"/>
      <c r="M34" s="289"/>
      <c r="N34" s="289"/>
      <c r="O34" s="289"/>
      <c r="P34" s="289"/>
      <c r="Q34" s="289"/>
      <c r="R34" s="289"/>
      <c r="S34" s="289"/>
      <c r="T34" s="289"/>
      <c r="U34" s="289"/>
      <c r="V34" s="289"/>
      <c r="W34" s="289"/>
      <c r="X34" s="289"/>
      <c r="Y34" s="289"/>
      <c r="Z34" s="289"/>
      <c r="AA34" s="289"/>
      <c r="AC34" s="293"/>
      <c r="AE34">
        <v>32</v>
      </c>
      <c r="AF34">
        <f t="shared" si="1"/>
        <v>3.125E-2</v>
      </c>
      <c r="AG34">
        <f t="shared" si="2"/>
        <v>-0.10830424696249145</v>
      </c>
      <c r="AH34">
        <f t="shared" si="0"/>
        <v>-8.5866102321713242</v>
      </c>
    </row>
    <row r="35" spans="1:34">
      <c r="A35" s="289"/>
      <c r="B35" s="400"/>
      <c r="C35" s="287" t="s">
        <v>318</v>
      </c>
      <c r="D35" s="14">
        <f>Resource_Mixer</f>
        <v>1.0976920273227081E-2</v>
      </c>
      <c r="E35" s="14">
        <f>Resource_BF</f>
        <v>0.34074255379728524</v>
      </c>
      <c r="F35" s="289"/>
      <c r="G35" s="289"/>
      <c r="H35" s="289"/>
      <c r="I35" s="289"/>
      <c r="K35" s="293"/>
      <c r="M35" s="289"/>
      <c r="N35" s="289"/>
      <c r="O35" s="289"/>
      <c r="P35" s="289"/>
      <c r="Q35" s="289"/>
      <c r="R35" s="289"/>
      <c r="S35" s="289"/>
      <c r="T35" s="289"/>
      <c r="U35" s="289"/>
      <c r="V35" s="289"/>
      <c r="W35" s="289"/>
      <c r="X35" s="289"/>
      <c r="Y35" s="289"/>
      <c r="Z35" s="289"/>
      <c r="AA35" s="289"/>
      <c r="AC35" s="293"/>
      <c r="AE35">
        <v>33</v>
      </c>
      <c r="AF35">
        <f t="shared" si="1"/>
        <v>3.0303030303030304E-2</v>
      </c>
      <c r="AG35">
        <f t="shared" si="2"/>
        <v>-0.10595477458989334</v>
      </c>
      <c r="AH35">
        <f t="shared" ref="AH35:AH66" si="3">AE35*RT0*AG35</f>
        <v>-8.6628492320776296</v>
      </c>
    </row>
    <row r="36" spans="1:34">
      <c r="A36" s="289"/>
      <c r="B36" s="289"/>
      <c r="C36" s="290"/>
      <c r="D36" s="290"/>
      <c r="E36" s="290"/>
      <c r="F36" s="289"/>
      <c r="G36" s="289"/>
      <c r="H36" s="289"/>
      <c r="I36" s="289"/>
      <c r="K36" s="293"/>
      <c r="M36" s="289"/>
      <c r="N36" s="289"/>
      <c r="O36" s="289"/>
      <c r="P36" s="289"/>
      <c r="Q36" s="289"/>
      <c r="R36" s="289"/>
      <c r="S36" s="289"/>
      <c r="T36" s="289"/>
      <c r="U36" s="289"/>
      <c r="V36" s="289"/>
      <c r="W36" s="289"/>
      <c r="X36" s="289"/>
      <c r="Y36" s="289"/>
      <c r="Z36" s="289"/>
      <c r="AA36" s="289"/>
      <c r="AC36" s="293"/>
      <c r="AE36">
        <v>34</v>
      </c>
      <c r="AF36">
        <f t="shared" si="1"/>
        <v>2.9411764705882353E-2</v>
      </c>
      <c r="AG36">
        <f t="shared" si="2"/>
        <v>-0.1037164860181224</v>
      </c>
      <c r="AH36">
        <f t="shared" si="3"/>
        <v>-8.7368120976943136</v>
      </c>
    </row>
    <row r="37" spans="1:34">
      <c r="A37" s="289"/>
      <c r="B37" s="289"/>
      <c r="C37" s="289"/>
      <c r="D37" s="289"/>
      <c r="E37" s="289"/>
      <c r="F37" s="289"/>
      <c r="G37" s="289"/>
      <c r="H37" s="289"/>
      <c r="I37" s="289"/>
      <c r="K37" s="293"/>
      <c r="M37" s="289"/>
      <c r="N37" s="289"/>
      <c r="O37" s="289"/>
      <c r="P37" s="289"/>
      <c r="Q37" s="289"/>
      <c r="R37" s="289"/>
      <c r="S37" s="289"/>
      <c r="T37" s="289"/>
      <c r="U37" s="289"/>
      <c r="V37" s="289"/>
      <c r="W37" s="289"/>
      <c r="X37" s="289"/>
      <c r="Y37" s="289"/>
      <c r="Z37" s="289"/>
      <c r="AA37" s="289"/>
      <c r="AC37" s="293"/>
      <c r="AE37">
        <v>35</v>
      </c>
      <c r="AF37">
        <f t="shared" si="1"/>
        <v>2.8571428571428571E-2</v>
      </c>
      <c r="AG37">
        <f t="shared" si="2"/>
        <v>-0.10158137318541181</v>
      </c>
      <c r="AH37">
        <f t="shared" si="3"/>
        <v>-8.8086308074004478</v>
      </c>
    </row>
    <row r="38" spans="1:34">
      <c r="A38" s="289"/>
      <c r="B38" s="289"/>
      <c r="C38" s="289"/>
      <c r="D38" s="289"/>
      <c r="E38" s="289"/>
      <c r="F38" s="289"/>
      <c r="G38" s="289"/>
      <c r="H38" s="289"/>
      <c r="I38" s="289"/>
      <c r="K38" s="293"/>
      <c r="M38" s="289"/>
      <c r="N38" s="289"/>
      <c r="O38" s="289"/>
      <c r="P38" s="289"/>
      <c r="Q38" s="289"/>
      <c r="R38" s="289"/>
      <c r="S38" s="289"/>
      <c r="T38" s="289"/>
      <c r="U38" s="289"/>
      <c r="V38" s="289"/>
      <c r="W38" s="289"/>
      <c r="X38" s="289"/>
      <c r="Y38" s="289"/>
      <c r="Z38" s="289"/>
      <c r="AA38" s="289"/>
      <c r="AC38" s="293"/>
      <c r="AE38">
        <v>36</v>
      </c>
      <c r="AF38">
        <f t="shared" si="1"/>
        <v>2.7777777777777776E-2</v>
      </c>
      <c r="AG38">
        <f t="shared" si="2"/>
        <v>-9.9542192734891941E-2</v>
      </c>
      <c r="AH38">
        <f t="shared" si="3"/>
        <v>-8.87842618338858</v>
      </c>
    </row>
    <row r="39" spans="1:34">
      <c r="K39" s="293"/>
      <c r="M39" s="289"/>
      <c r="N39" s="289"/>
      <c r="O39" s="289"/>
      <c r="P39" s="289"/>
      <c r="Q39" s="289"/>
      <c r="R39" s="289"/>
      <c r="S39" s="289"/>
      <c r="T39" s="289"/>
      <c r="U39" s="289"/>
      <c r="V39" s="289"/>
      <c r="W39" s="289"/>
      <c r="X39" s="289"/>
      <c r="Y39" s="289"/>
      <c r="Z39" s="289"/>
      <c r="AA39" s="289"/>
      <c r="AC39" s="293"/>
      <c r="AE39">
        <v>37</v>
      </c>
      <c r="AF39">
        <f t="shared" si="1"/>
        <v>2.7027027027027029E-2</v>
      </c>
      <c r="AG39">
        <f t="shared" si="2"/>
        <v>-9.759237601741147E-2</v>
      </c>
      <c r="AH39">
        <f t="shared" si="3"/>
        <v>-8.9463091146657767</v>
      </c>
    </row>
    <row r="40" spans="1:34">
      <c r="K40" s="293"/>
      <c r="M40" s="289"/>
      <c r="N40" s="289"/>
      <c r="O40" s="289"/>
      <c r="P40" s="289"/>
      <c r="Q40" s="289"/>
      <c r="R40" s="289"/>
      <c r="S40" s="289"/>
      <c r="T40" s="289"/>
      <c r="U40" s="289"/>
      <c r="V40" s="289"/>
      <c r="W40" s="289"/>
      <c r="X40" s="289"/>
      <c r="Y40" s="289"/>
      <c r="Z40" s="289"/>
      <c r="AA40" s="289"/>
      <c r="AC40" s="293"/>
      <c r="AE40">
        <v>38</v>
      </c>
      <c r="AF40">
        <f t="shared" si="1"/>
        <v>2.6315789473684209E-2</v>
      </c>
      <c r="AG40">
        <f t="shared" si="2"/>
        <v>-9.5725951571746987E-2</v>
      </c>
      <c r="AH40">
        <f t="shared" si="3"/>
        <v>-9.0123816169256195</v>
      </c>
    </row>
    <row r="41" spans="1:34" ht="16.95" customHeight="1">
      <c r="C41" s="14" t="s">
        <v>488</v>
      </c>
      <c r="H41" t="s">
        <v>621</v>
      </c>
      <c r="K41" s="293"/>
      <c r="M41" s="289"/>
      <c r="N41" s="289"/>
      <c r="O41" s="289"/>
      <c r="P41" s="289"/>
      <c r="Q41" s="289"/>
      <c r="R41" s="289"/>
      <c r="S41" s="289"/>
      <c r="T41" s="289"/>
      <c r="U41" s="289"/>
      <c r="V41" s="289"/>
      <c r="W41" s="289"/>
      <c r="X41" s="289"/>
      <c r="Y41" s="289"/>
      <c r="Z41" s="289"/>
      <c r="AA41" s="289"/>
      <c r="AC41" s="293"/>
      <c r="AE41">
        <v>39</v>
      </c>
      <c r="AF41">
        <f t="shared" si="1"/>
        <v>2.564102564102564E-2</v>
      </c>
      <c r="AG41">
        <f t="shared" si="2"/>
        <v>-9.3937478105888358E-2</v>
      </c>
      <c r="AH41">
        <f t="shared" si="3"/>
        <v>-9.0767377547247179</v>
      </c>
    </row>
    <row r="42" spans="1:34" ht="18" customHeight="1">
      <c r="B42" s="292" t="s">
        <v>487</v>
      </c>
      <c r="C42" s="14">
        <f>E_tot/(Ore_to_PI!FL126/1000)</f>
        <v>25472106.046493623</v>
      </c>
      <c r="I42" t="s">
        <v>622</v>
      </c>
      <c r="K42" s="293"/>
      <c r="M42" s="289"/>
      <c r="N42" s="289"/>
      <c r="O42" s="289"/>
      <c r="P42" s="289"/>
      <c r="Q42" s="289"/>
      <c r="R42" s="289"/>
      <c r="S42" s="289"/>
      <c r="T42" s="289"/>
      <c r="U42" s="289"/>
      <c r="V42" s="289"/>
      <c r="W42" s="289"/>
      <c r="X42" s="289"/>
      <c r="Y42" s="289"/>
      <c r="Z42" s="289"/>
      <c r="AA42" s="289"/>
      <c r="AC42" s="293"/>
      <c r="AE42">
        <v>40</v>
      </c>
      <c r="AF42">
        <f t="shared" si="1"/>
        <v>2.5000000000000001E-2</v>
      </c>
      <c r="AG42">
        <f t="shared" si="2"/>
        <v>-9.2221986352848409E-2</v>
      </c>
      <c r="AH42">
        <f t="shared" si="3"/>
        <v>-9.139464446887974</v>
      </c>
    </row>
    <row r="43" spans="1:34">
      <c r="I43" t="s">
        <v>623</v>
      </c>
      <c r="K43" s="293"/>
      <c r="AC43" s="293"/>
      <c r="AE43">
        <v>41</v>
      </c>
      <c r="AF43">
        <f t="shared" si="1"/>
        <v>2.4390243902439025E-2</v>
      </c>
      <c r="AG43">
        <f t="shared" si="2"/>
        <v>-9.057492845620263E-2</v>
      </c>
      <c r="AH43">
        <f t="shared" si="3"/>
        <v>-9.200642172448724</v>
      </c>
    </row>
    <row r="44" spans="1:34">
      <c r="I44" t="s">
        <v>624</v>
      </c>
      <c r="K44" s="293"/>
      <c r="AC44" s="293"/>
      <c r="AE44">
        <v>42</v>
      </c>
      <c r="AF44">
        <f t="shared" si="1"/>
        <v>2.3809523809523808E-2</v>
      </c>
      <c r="AG44">
        <f t="shared" si="2"/>
        <v>-8.8992133768651629E-2</v>
      </c>
      <c r="AH44">
        <f t="shared" si="3"/>
        <v>-9.2603455915095605</v>
      </c>
    </row>
    <row r="45" spans="1:34">
      <c r="I45" t="s">
        <v>625</v>
      </c>
      <c r="K45" s="295"/>
      <c r="L45" s="296"/>
      <c r="M45" s="296"/>
      <c r="N45" s="296"/>
      <c r="O45" s="296"/>
      <c r="P45" s="296"/>
      <c r="Q45" s="296"/>
      <c r="R45" s="296"/>
      <c r="S45" s="296"/>
      <c r="T45" s="296"/>
      <c r="U45" s="296"/>
      <c r="V45" s="296"/>
      <c r="W45" s="296"/>
      <c r="X45" s="296"/>
      <c r="Y45" s="296"/>
      <c r="Z45" s="296"/>
      <c r="AA45" s="296"/>
      <c r="AB45" s="297"/>
      <c r="AC45" s="293"/>
      <c r="AE45">
        <v>43</v>
      </c>
      <c r="AF45">
        <f t="shared" si="1"/>
        <v>2.3255813953488372E-2</v>
      </c>
      <c r="AG45">
        <f t="shared" si="2"/>
        <v>-8.746977013240842E-2</v>
      </c>
      <c r="AH45">
        <f t="shared" si="3"/>
        <v>-9.3186440930391292</v>
      </c>
    </row>
    <row r="46" spans="1:34">
      <c r="I46" t="s">
        <v>626</v>
      </c>
      <c r="K46" s="293"/>
      <c r="AC46" s="293"/>
      <c r="AE46">
        <v>44</v>
      </c>
      <c r="AF46">
        <f t="shared" si="1"/>
        <v>2.2727272727272728E-2</v>
      </c>
      <c r="AG46">
        <f t="shared" si="2"/>
        <v>-8.6004309861778663E-2</v>
      </c>
      <c r="AH46">
        <f t="shared" si="3"/>
        <v>-9.3756022796861345</v>
      </c>
    </row>
    <row r="47" spans="1:34">
      <c r="I47" t="s">
        <v>627</v>
      </c>
      <c r="K47" s="293"/>
      <c r="AC47" s="293"/>
      <c r="AE47">
        <v>45</v>
      </c>
      <c r="AF47">
        <f t="shared" si="1"/>
        <v>2.2222222222222223E-2</v>
      </c>
      <c r="AG47">
        <f t="shared" si="2"/>
        <v>-8.4592499772673774E-2</v>
      </c>
      <c r="AH47">
        <f t="shared" si="3"/>
        <v>-9.4312803981052298</v>
      </c>
    </row>
    <row r="48" spans="1:34">
      <c r="I48" t="s">
        <v>628</v>
      </c>
      <c r="K48" s="293"/>
      <c r="AC48" s="293"/>
      <c r="AE48">
        <v>46</v>
      </c>
      <c r="AF48">
        <f t="shared" si="1"/>
        <v>2.1739130434782608E-2</v>
      </c>
      <c r="AG48">
        <f t="shared" si="2"/>
        <v>-8.3231334706284674E-2</v>
      </c>
      <c r="AH48">
        <f t="shared" si="3"/>
        <v>-9.4857347219822792</v>
      </c>
    </row>
    <row r="49" spans="2:34" ht="83.4">
      <c r="D49" s="292"/>
      <c r="E49" s="292"/>
      <c r="K49" s="293"/>
      <c r="AC49" s="293"/>
      <c r="AE49">
        <v>47</v>
      </c>
      <c r="AF49">
        <f t="shared" si="1"/>
        <v>2.1276595744680851E-2</v>
      </c>
      <c r="AG49">
        <f t="shared" si="2"/>
        <v>-8.1918034078937413E-2</v>
      </c>
      <c r="AH49">
        <f t="shared" si="3"/>
        <v>-9.539017893863992</v>
      </c>
    </row>
    <row r="50" spans="2:34">
      <c r="C50" s="134" t="s">
        <v>631</v>
      </c>
      <c r="D50" s="134" t="s">
        <v>632</v>
      </c>
      <c r="K50" s="293"/>
      <c r="M50" s="14" t="s">
        <v>633</v>
      </c>
      <c r="N50" s="14" t="s">
        <v>634</v>
      </c>
      <c r="O50" s="14" t="s">
        <v>635</v>
      </c>
      <c r="P50" s="14" t="s">
        <v>629</v>
      </c>
      <c r="Q50" t="s">
        <v>630</v>
      </c>
      <c r="T50" t="str">
        <f>M50</f>
        <v>$I_{BCC}$ [kJ]</v>
      </c>
      <c r="U50" t="str">
        <f>N50</f>
        <v>$I_{XCC}$ [kJ]</v>
      </c>
      <c r="V50" t="str">
        <f>O50</f>
        <v>$I_{BXCC}$ [kJ]</v>
      </c>
      <c r="Y50" t="str">
        <f t="shared" ref="Y50:Y65" si="4">P50</f>
        <v>$Q_{loss}$ [kJ]</v>
      </c>
      <c r="AB50" t="str">
        <f t="shared" ref="AB50:AB65" si="5">Q50</f>
        <v>$m_{loss}$ [kg]</v>
      </c>
      <c r="AE50">
        <v>48</v>
      </c>
      <c r="AF50">
        <f t="shared" ref="AF50:AF65" si="6">1/AE50</f>
        <v>2.0833333333333332E-2</v>
      </c>
      <c r="AG50">
        <f t="shared" ref="AG50:AG65" si="7">AF50*LN(AF50)</f>
        <v>-8.0650021060581056E-2</v>
      </c>
      <c r="AH50">
        <f t="shared" ref="AH50:AH65" si="8">AE50*RT0*AG50</f>
        <v>-9.5911792309970831</v>
      </c>
    </row>
    <row r="51" spans="2:34">
      <c r="B51" s="134" t="s">
        <v>325</v>
      </c>
      <c r="C51" s="14">
        <f>Rational_IronExtraction</f>
        <v>0.54544989987759507</v>
      </c>
      <c r="D51" s="14">
        <f>Resource_IronExtraction</f>
        <v>0.45121172554462574</v>
      </c>
      <c r="K51" s="293"/>
      <c r="L51" s="134" t="s">
        <v>325</v>
      </c>
      <c r="M51" s="134">
        <f>MCC_B_RUVY_matrices_mat_level!J216</f>
        <v>92026.437429115918</v>
      </c>
      <c r="N51" s="14" t="e">
        <f>#REF!</f>
        <v>#REF!</v>
      </c>
      <c r="O51" s="14">
        <f>MCC_B_RUVY_matrices_mat_level!J216</f>
        <v>92026.437429115918</v>
      </c>
      <c r="P51" s="14">
        <f>'MCC_hM_RUVY_matrices_mat_level '!L145</f>
        <v>123590.55458095018</v>
      </c>
      <c r="Q51">
        <f>mass_bal_IronExt</f>
        <v>0</v>
      </c>
      <c r="S51" t="str">
        <f t="shared" ref="S51:S65" si="9">L51</f>
        <v>Iron ore extraction</v>
      </c>
      <c r="T51">
        <f t="shared" ref="T51:T65" si="10">M51</f>
        <v>92026.437429115918</v>
      </c>
      <c r="U51" t="e">
        <f t="shared" ref="U51:U65" si="11">N51</f>
        <v>#REF!</v>
      </c>
      <c r="V51">
        <f t="shared" ref="V51:V65" si="12">O51</f>
        <v>92026.437429115918</v>
      </c>
      <c r="X51" t="str">
        <f t="shared" ref="X51:X65" si="13">L51</f>
        <v>Iron ore extraction</v>
      </c>
      <c r="Y51">
        <f t="shared" si="4"/>
        <v>123590.55458095018</v>
      </c>
      <c r="AA51" s="134" t="str">
        <f t="shared" ref="AA51:AA65" si="14">L51</f>
        <v>Iron ore extraction</v>
      </c>
      <c r="AB51">
        <f t="shared" si="5"/>
        <v>0</v>
      </c>
      <c r="AE51">
        <v>49</v>
      </c>
      <c r="AF51">
        <f t="shared" si="6"/>
        <v>2.0408163265306121E-2</v>
      </c>
      <c r="AG51">
        <f t="shared" si="7"/>
        <v>-7.9424904043074007E-2</v>
      </c>
      <c r="AH51">
        <f t="shared" si="8"/>
        <v>-9.642264999630541</v>
      </c>
    </row>
    <row r="52" spans="2:34">
      <c r="B52" s="134" t="s">
        <v>326</v>
      </c>
      <c r="C52" s="14">
        <f>Rational_LimeExtraction</f>
        <v>0.98922076974338935</v>
      </c>
      <c r="D52" s="14">
        <f>Resource_LimeExtraction</f>
        <v>0.85952404667389759</v>
      </c>
      <c r="K52" s="293"/>
      <c r="L52" s="134" t="s">
        <v>326</v>
      </c>
      <c r="M52" s="134">
        <f>MCC_B_RUVY_matrices_mat_level!J217</f>
        <v>275.72728743553671</v>
      </c>
      <c r="N52" s="14" t="e">
        <f>#REF!</f>
        <v>#REF!</v>
      </c>
      <c r="O52" s="14">
        <f>MCC_B_RUVY_matrices_mat_level!J217</f>
        <v>275.72728743553671</v>
      </c>
      <c r="P52" s="14">
        <f>'MCC_hM_RUVY_matrices_mat_level '!L146</f>
        <v>346.48689939477481</v>
      </c>
      <c r="Q52">
        <f>mass_bal_LimeExt</f>
        <v>0</v>
      </c>
      <c r="S52" t="str">
        <f t="shared" si="9"/>
        <v>Limestone extraction</v>
      </c>
      <c r="T52">
        <f t="shared" si="10"/>
        <v>275.72728743553671</v>
      </c>
      <c r="U52" t="e">
        <f t="shared" si="11"/>
        <v>#REF!</v>
      </c>
      <c r="V52">
        <f t="shared" si="12"/>
        <v>275.72728743553671</v>
      </c>
      <c r="X52" t="str">
        <f t="shared" si="13"/>
        <v>Limestone extraction</v>
      </c>
      <c r="Y52">
        <f t="shared" si="4"/>
        <v>346.48689939477481</v>
      </c>
      <c r="AA52" s="134" t="str">
        <f t="shared" si="14"/>
        <v>Limestone extraction</v>
      </c>
      <c r="AB52">
        <f t="shared" si="5"/>
        <v>0</v>
      </c>
      <c r="AE52">
        <v>50</v>
      </c>
      <c r="AF52">
        <f t="shared" si="6"/>
        <v>0.02</v>
      </c>
      <c r="AG52">
        <f t="shared" si="7"/>
        <v>-7.824046010856292E-2</v>
      </c>
      <c r="AH52">
        <f t="shared" si="8"/>
        <v>-9.692318661604622</v>
      </c>
    </row>
    <row r="53" spans="2:34">
      <c r="B53" s="134" t="s">
        <v>327</v>
      </c>
      <c r="C53" s="14">
        <f>Rational_CoalExtraction</f>
        <v>0.98899070789782728</v>
      </c>
      <c r="D53" s="14">
        <f>Resource_CoalExtraction</f>
        <v>0.98839112692609699</v>
      </c>
      <c r="K53" s="293"/>
      <c r="L53" s="134" t="s">
        <v>327</v>
      </c>
      <c r="M53" s="134">
        <f>MCC_B_RUVY_matrices_mat_level!J218</f>
        <v>98587.635320095345</v>
      </c>
      <c r="N53" s="14" t="e">
        <f>#REF!</f>
        <v>#REF!</v>
      </c>
      <c r="O53" s="14">
        <f>MCC_B_RUVY_matrices_mat_level!J218</f>
        <v>98587.635320095345</v>
      </c>
      <c r="P53" s="14">
        <f>'MCC_hM_RUVY_matrices_mat_level '!L147</f>
        <v>111215.34939825907</v>
      </c>
      <c r="Q53">
        <f>mass_bal_CoalExt</f>
        <v>0</v>
      </c>
      <c r="S53" t="str">
        <f t="shared" si="9"/>
        <v>Coal extraction</v>
      </c>
      <c r="T53">
        <f t="shared" si="10"/>
        <v>98587.635320095345</v>
      </c>
      <c r="U53" t="e">
        <f t="shared" si="11"/>
        <v>#REF!</v>
      </c>
      <c r="V53">
        <f t="shared" si="12"/>
        <v>98587.635320095345</v>
      </c>
      <c r="X53" t="str">
        <f t="shared" si="13"/>
        <v>Coal extraction</v>
      </c>
      <c r="Y53">
        <f t="shared" si="4"/>
        <v>111215.34939825907</v>
      </c>
      <c r="AA53" s="134" t="str">
        <f t="shared" si="14"/>
        <v>Coal extraction</v>
      </c>
      <c r="AB53">
        <f t="shared" si="5"/>
        <v>0</v>
      </c>
      <c r="AE53">
        <v>51</v>
      </c>
      <c r="AF53">
        <f t="shared" si="6"/>
        <v>1.9607843137254902E-2</v>
      </c>
      <c r="AG53">
        <f t="shared" si="7"/>
        <v>-7.7094620249496579E-2</v>
      </c>
      <c r="AH53">
        <f t="shared" si="8"/>
        <v>-9.7413810965200724</v>
      </c>
    </row>
    <row r="54" spans="2:34">
      <c r="B54" s="134" t="s">
        <v>455</v>
      </c>
      <c r="C54" s="14">
        <f>Rational_IronHauling</f>
        <v>0.15068009543796188</v>
      </c>
      <c r="D54" s="14">
        <f>Resource_IronHauling</f>
        <v>0.12723325256465715</v>
      </c>
      <c r="K54" s="293"/>
      <c r="L54" s="134" t="s">
        <v>455</v>
      </c>
      <c r="M54" s="134">
        <f>MCC_B_RUVY_matrices_mat_level!J219</f>
        <v>609792.2517593482</v>
      </c>
      <c r="N54" s="14" t="e">
        <f>#REF!</f>
        <v>#REF!</v>
      </c>
      <c r="O54" s="14">
        <f>MCC_B_RUVY_matrices_mat_level!J219</f>
        <v>609792.2517593482</v>
      </c>
      <c r="P54" s="14">
        <f>'MCC_hM_RUVY_matrices_mat_level '!L148</f>
        <v>609792.2517593482</v>
      </c>
      <c r="Q54">
        <f>mass_bal_IronHaul</f>
        <v>0</v>
      </c>
      <c r="S54" t="str">
        <f t="shared" si="9"/>
        <v>Iron ore hauling</v>
      </c>
      <c r="T54">
        <f t="shared" si="10"/>
        <v>609792.2517593482</v>
      </c>
      <c r="U54" t="e">
        <f t="shared" si="11"/>
        <v>#REF!</v>
      </c>
      <c r="V54">
        <f t="shared" si="12"/>
        <v>609792.2517593482</v>
      </c>
      <c r="X54" t="str">
        <f t="shared" si="13"/>
        <v>Iron ore hauling</v>
      </c>
      <c r="Y54">
        <f t="shared" si="4"/>
        <v>609792.2517593482</v>
      </c>
      <c r="AA54" s="134" t="str">
        <f t="shared" si="14"/>
        <v>Iron ore hauling</v>
      </c>
      <c r="AB54">
        <f t="shared" si="5"/>
        <v>0</v>
      </c>
      <c r="AE54">
        <v>52</v>
      </c>
      <c r="AF54">
        <f t="shared" si="6"/>
        <v>1.9230769230769232E-2</v>
      </c>
      <c r="AG54">
        <f t="shared" si="7"/>
        <v>-7.5985456126565903E-2</v>
      </c>
      <c r="AH54">
        <f t="shared" si="8"/>
        <v>-9.7894908023332228</v>
      </c>
    </row>
    <row r="55" spans="2:34">
      <c r="B55" s="134" t="s">
        <v>435</v>
      </c>
      <c r="C55" s="14">
        <f>Rational_LimeHauling</f>
        <v>0.89954868347015648</v>
      </c>
      <c r="D55" s="14">
        <f>Resource_LimeHauling</f>
        <v>0.78181642740498758</v>
      </c>
      <c r="K55" s="293"/>
      <c r="L55" s="134" t="s">
        <v>435</v>
      </c>
      <c r="M55" s="134">
        <f>MCC_B_RUVY_matrices_mat_level!J220</f>
        <v>2824.885647744919</v>
      </c>
      <c r="N55" s="14" t="e">
        <f>#REF!</f>
        <v>#REF!</v>
      </c>
      <c r="O55" s="14">
        <f>MCC_B_RUVY_matrices_mat_level!J220</f>
        <v>2824.885647744919</v>
      </c>
      <c r="P55" s="14">
        <f>'MCC_hM_RUVY_matrices_mat_level '!L149</f>
        <v>2824.8856477448717</v>
      </c>
      <c r="Q55">
        <f>mass_bal_LimeHaul</f>
        <v>0</v>
      </c>
      <c r="S55" t="str">
        <f t="shared" si="9"/>
        <v>Limestone hauling</v>
      </c>
      <c r="T55">
        <f t="shared" si="10"/>
        <v>2824.885647744919</v>
      </c>
      <c r="U55" t="e">
        <f t="shared" si="11"/>
        <v>#REF!</v>
      </c>
      <c r="V55">
        <f t="shared" si="12"/>
        <v>2824.885647744919</v>
      </c>
      <c r="X55" t="str">
        <f t="shared" si="13"/>
        <v>Limestone hauling</v>
      </c>
      <c r="Y55">
        <f t="shared" si="4"/>
        <v>2824.8856477448717</v>
      </c>
      <c r="AA55" s="134" t="str">
        <f t="shared" si="14"/>
        <v>Limestone hauling</v>
      </c>
      <c r="AB55">
        <f t="shared" si="5"/>
        <v>0</v>
      </c>
      <c r="AE55">
        <v>53</v>
      </c>
      <c r="AF55">
        <f t="shared" si="6"/>
        <v>1.8867924528301886E-2</v>
      </c>
      <c r="AG55">
        <f t="shared" si="7"/>
        <v>-7.4911168180228707E-2</v>
      </c>
      <c r="AH55">
        <f t="shared" si="8"/>
        <v>-9.8366840768431576</v>
      </c>
    </row>
    <row r="56" spans="2:34">
      <c r="B56" s="134" t="s">
        <v>434</v>
      </c>
      <c r="C56" s="14">
        <f>Rational_CoalHauling</f>
        <v>0.99996814295200787</v>
      </c>
      <c r="D56" s="14">
        <f>Resource_CoalHauling</f>
        <v>0.9994246250143145</v>
      </c>
      <c r="K56" s="293"/>
      <c r="L56" s="134" t="s">
        <v>434</v>
      </c>
      <c r="M56" s="134">
        <f>MCC_B_RUVY_matrices_mat_level!J221</f>
        <v>282.12877103127539</v>
      </c>
      <c r="N56" s="14" t="e">
        <f>#REF!</f>
        <v>#REF!</v>
      </c>
      <c r="O56" s="14">
        <f>MCC_B_RUVY_matrices_mat_level!J221</f>
        <v>282.12877103127539</v>
      </c>
      <c r="P56" s="14">
        <f>'MCC_hM_RUVY_matrices_mat_level '!L150</f>
        <v>282.12877103127539</v>
      </c>
      <c r="Q56">
        <f>mass_bal_CoalHaul</f>
        <v>0</v>
      </c>
      <c r="S56" t="str">
        <f t="shared" si="9"/>
        <v>Coal hauling</v>
      </c>
      <c r="T56">
        <f t="shared" si="10"/>
        <v>282.12877103127539</v>
      </c>
      <c r="U56" t="e">
        <f t="shared" si="11"/>
        <v>#REF!</v>
      </c>
      <c r="V56">
        <f t="shared" si="12"/>
        <v>282.12877103127539</v>
      </c>
      <c r="X56" t="str">
        <f t="shared" si="13"/>
        <v>Coal hauling</v>
      </c>
      <c r="Y56">
        <f t="shared" si="4"/>
        <v>282.12877103127539</v>
      </c>
      <c r="AA56" s="134" t="str">
        <f t="shared" si="14"/>
        <v>Coal hauling</v>
      </c>
      <c r="AB56">
        <f t="shared" si="5"/>
        <v>0</v>
      </c>
      <c r="AE56">
        <v>54</v>
      </c>
      <c r="AF56">
        <f t="shared" si="6"/>
        <v>1.8518518518518517E-2</v>
      </c>
      <c r="AG56">
        <f t="shared" si="7"/>
        <v>-7.3870074936375443E-2</v>
      </c>
      <c r="AH56">
        <f t="shared" si="8"/>
        <v>-9.8829951822143407</v>
      </c>
    </row>
    <row r="57" spans="2:34">
      <c r="B57" s="134" t="s">
        <v>351</v>
      </c>
      <c r="C57" s="14">
        <f>Rational_IronBeneficiation</f>
        <v>0.90881323958376325</v>
      </c>
      <c r="D57" s="14">
        <f>Resource_IronBeneficiation</f>
        <v>0.75805897444773263</v>
      </c>
      <c r="K57" s="293"/>
      <c r="L57" s="134" t="s">
        <v>351</v>
      </c>
      <c r="M57" s="134">
        <f>MCC_B_RUVY_matrices_mat_level!J222</f>
        <v>11016.359928324207</v>
      </c>
      <c r="N57" s="14" t="e">
        <f>#REF!</f>
        <v>#REF!</v>
      </c>
      <c r="O57" s="14">
        <f>MCC_B_RUVY_matrices_mat_level!J222</f>
        <v>11016.359928324207</v>
      </c>
      <c r="P57" s="14">
        <f>'MCC_hM_RUVY_matrices_mat_level '!L151</f>
        <v>2097717.26361016</v>
      </c>
      <c r="Q57">
        <f>mass_bal_IronBenef</f>
        <v>0</v>
      </c>
      <c r="S57" t="str">
        <f t="shared" si="9"/>
        <v>Iron ore beneficiation</v>
      </c>
      <c r="T57">
        <f t="shared" si="10"/>
        <v>11016.359928324207</v>
      </c>
      <c r="U57" t="e">
        <f t="shared" si="11"/>
        <v>#REF!</v>
      </c>
      <c r="V57">
        <f t="shared" si="12"/>
        <v>11016.359928324207</v>
      </c>
      <c r="X57" t="str">
        <f t="shared" si="13"/>
        <v>Iron ore beneficiation</v>
      </c>
      <c r="Y57">
        <f t="shared" si="4"/>
        <v>2097717.26361016</v>
      </c>
      <c r="AA57" s="134" t="str">
        <f t="shared" si="14"/>
        <v>Iron ore beneficiation</v>
      </c>
      <c r="AB57">
        <f t="shared" si="5"/>
        <v>0</v>
      </c>
      <c r="AE57">
        <v>55</v>
      </c>
      <c r="AF57">
        <f t="shared" si="6"/>
        <v>1.8181818181818181E-2</v>
      </c>
      <c r="AG57">
        <f t="shared" si="7"/>
        <v>-7.2860603367863111E-2</v>
      </c>
      <c r="AH57">
        <f t="shared" si="8"/>
        <v>-9.9284564944027842</v>
      </c>
    </row>
    <row r="58" spans="2:34">
      <c r="B58" s="134" t="s">
        <v>348</v>
      </c>
      <c r="C58" s="14">
        <f>Rational_LimeBeneficiation</f>
        <v>0.99884664645418608</v>
      </c>
      <c r="D58" s="14">
        <f>Resource_LimeBeneficiation</f>
        <v>0.86811834757376105</v>
      </c>
      <c r="K58" s="293"/>
      <c r="L58" s="134" t="s">
        <v>348</v>
      </c>
      <c r="M58" s="134">
        <f>MCC_B_RUVY_matrices_mat_level!J223</f>
        <v>34.678095164115803</v>
      </c>
      <c r="N58" s="14" t="e">
        <f>#REF!</f>
        <v>#REF!</v>
      </c>
      <c r="O58" s="14">
        <f>MCC_B_RUVY_matrices_mat_level!J223</f>
        <v>34.678095164115803</v>
      </c>
      <c r="P58" s="14">
        <f>'MCC_hM_RUVY_matrices_mat_level '!L152</f>
        <v>34.678095164010301</v>
      </c>
      <c r="Q58">
        <f>mass_bal_LimeBenef</f>
        <v>0</v>
      </c>
      <c r="S58" t="str">
        <f t="shared" si="9"/>
        <v>Limestone beneficiation</v>
      </c>
      <c r="T58">
        <f t="shared" si="10"/>
        <v>34.678095164115803</v>
      </c>
      <c r="U58" t="e">
        <f t="shared" si="11"/>
        <v>#REF!</v>
      </c>
      <c r="V58">
        <f t="shared" si="12"/>
        <v>34.678095164115803</v>
      </c>
      <c r="X58" t="str">
        <f t="shared" si="13"/>
        <v>Limestone beneficiation</v>
      </c>
      <c r="Y58">
        <f t="shared" si="4"/>
        <v>34.678095164010301</v>
      </c>
      <c r="AA58" s="134" t="str">
        <f t="shared" si="14"/>
        <v>Limestone beneficiation</v>
      </c>
      <c r="AB58">
        <f t="shared" si="5"/>
        <v>0</v>
      </c>
      <c r="AE58">
        <v>56</v>
      </c>
      <c r="AF58">
        <f t="shared" si="6"/>
        <v>1.7857142857142856E-2</v>
      </c>
      <c r="AG58">
        <f t="shared" si="7"/>
        <v>-7.1881280191699093E-2</v>
      </c>
      <c r="AH58">
        <f t="shared" si="8"/>
        <v>-9.9730986391180654</v>
      </c>
    </row>
    <row r="59" spans="2:34">
      <c r="B59" s="134" t="s">
        <v>362</v>
      </c>
      <c r="C59" s="14">
        <f>Rational_Coalbeneficiation</f>
        <v>0.99999431358282376</v>
      </c>
      <c r="D59" s="14">
        <f>Resource_Coalbeneficiation</f>
        <v>0.99945078142046995</v>
      </c>
      <c r="K59" s="293"/>
      <c r="L59" s="134" t="s">
        <v>362</v>
      </c>
      <c r="M59" s="134">
        <f>MCC_B_RUVY_matrices_mat_level!J224</f>
        <v>50.35808415338397</v>
      </c>
      <c r="N59" s="14" t="e">
        <f>#REF!</f>
        <v>#REF!</v>
      </c>
      <c r="O59" s="14">
        <f>MCC_B_RUVY_matrices_mat_level!J224</f>
        <v>50.35808415338397</v>
      </c>
      <c r="P59" s="14">
        <f>'MCC_hM_RUVY_matrices_mat_level '!L153</f>
        <v>50.35808415338397</v>
      </c>
      <c r="Q59">
        <f>Ore_to_PI!BL210</f>
        <v>0</v>
      </c>
      <c r="S59" t="str">
        <f t="shared" si="9"/>
        <v>Coal beneficiation</v>
      </c>
      <c r="T59">
        <f t="shared" si="10"/>
        <v>50.35808415338397</v>
      </c>
      <c r="U59" t="e">
        <f t="shared" si="11"/>
        <v>#REF!</v>
      </c>
      <c r="V59">
        <f t="shared" si="12"/>
        <v>50.35808415338397</v>
      </c>
      <c r="X59" t="str">
        <f t="shared" si="13"/>
        <v>Coal beneficiation</v>
      </c>
      <c r="Y59">
        <f t="shared" si="4"/>
        <v>50.35808415338397</v>
      </c>
      <c r="AA59" s="134" t="str">
        <f t="shared" si="14"/>
        <v>Coal beneficiation</v>
      </c>
      <c r="AB59">
        <f t="shared" si="5"/>
        <v>0</v>
      </c>
      <c r="AE59">
        <v>57</v>
      </c>
      <c r="AF59">
        <f t="shared" si="6"/>
        <v>1.7543859649122806E-2</v>
      </c>
      <c r="AG59">
        <f t="shared" si="7"/>
        <v>-7.0930723997097364E-2</v>
      </c>
      <c r="AH59">
        <f t="shared" si="8"/>
        <v>-10.01695061575138</v>
      </c>
    </row>
    <row r="60" spans="2:34">
      <c r="B60" s="134" t="s">
        <v>349</v>
      </c>
      <c r="C60" s="14">
        <f>Rational_Kiln</f>
        <v>0.17027276068302746</v>
      </c>
      <c r="D60" s="14">
        <f>Resource_Kiln</f>
        <v>0.1222893219234706</v>
      </c>
      <c r="K60" s="293"/>
      <c r="L60" s="134" t="s">
        <v>349</v>
      </c>
      <c r="M60" s="134">
        <f>MCC_B_RUVY_matrices_mat_level!J225</f>
        <v>1642067.5780806448</v>
      </c>
      <c r="N60" s="14" t="e">
        <f>#REF!</f>
        <v>#REF!</v>
      </c>
      <c r="O60" s="14">
        <f>MCC_B_RUVY_matrices_mat_level!J225</f>
        <v>1642067.5780806448</v>
      </c>
      <c r="P60" s="14">
        <f>'MCC_hM_RUVY_matrices_mat_level '!L154</f>
        <v>879425.91463045357</v>
      </c>
      <c r="Q60">
        <f>mass_bal_kiln</f>
        <v>0</v>
      </c>
      <c r="S60" t="str">
        <f t="shared" si="9"/>
        <v>Rotary kiln</v>
      </c>
      <c r="T60">
        <f t="shared" si="10"/>
        <v>1642067.5780806448</v>
      </c>
      <c r="U60" t="e">
        <f t="shared" si="11"/>
        <v>#REF!</v>
      </c>
      <c r="V60">
        <f t="shared" si="12"/>
        <v>1642067.5780806448</v>
      </c>
      <c r="X60" t="str">
        <f t="shared" si="13"/>
        <v>Rotary kiln</v>
      </c>
      <c r="Y60">
        <f t="shared" si="4"/>
        <v>879425.91463045357</v>
      </c>
      <c r="AA60" s="134" t="str">
        <f t="shared" si="14"/>
        <v>Rotary kiln</v>
      </c>
      <c r="AB60">
        <f t="shared" si="5"/>
        <v>0</v>
      </c>
      <c r="AE60">
        <v>58</v>
      </c>
      <c r="AF60">
        <f t="shared" si="6"/>
        <v>1.7241379310344827E-2</v>
      </c>
      <c r="AG60">
        <f t="shared" si="7"/>
        <v>-7.0007638112869294E-2</v>
      </c>
      <c r="AH60">
        <f t="shared" si="8"/>
        <v>-10.060039910525512</v>
      </c>
    </row>
    <row r="61" spans="2:34">
      <c r="B61" s="134" t="s">
        <v>344</v>
      </c>
      <c r="C61" s="14">
        <f>Rational_Cokeoven</f>
        <v>0.60155306227269634</v>
      </c>
      <c r="D61" s="14">
        <f>Resource_Cokeoven</f>
        <v>0.32940597812032246</v>
      </c>
      <c r="K61" s="293"/>
      <c r="L61" s="134" t="s">
        <v>344</v>
      </c>
      <c r="M61" s="134">
        <f>MCC_B_RUVY_matrices_mat_level!J226</f>
        <v>7751416.6310380641</v>
      </c>
      <c r="N61" s="14" t="e">
        <f>#REF!</f>
        <v>#REF!</v>
      </c>
      <c r="O61" s="14">
        <f>MCC_B_RUVY_matrices_mat_level!J226</f>
        <v>7751416.6310380641</v>
      </c>
      <c r="P61" s="14">
        <f>'MCC_hM_RUVY_matrices_mat_level '!L155</f>
        <v>5806523.6972423811</v>
      </c>
      <c r="Q61">
        <f>mass_bal_CokeOven</f>
        <v>0</v>
      </c>
      <c r="S61" t="str">
        <f t="shared" si="9"/>
        <v>Coke oven</v>
      </c>
      <c r="T61">
        <f t="shared" si="10"/>
        <v>7751416.6310380641</v>
      </c>
      <c r="U61" t="e">
        <f t="shared" si="11"/>
        <v>#REF!</v>
      </c>
      <c r="V61">
        <f t="shared" si="12"/>
        <v>7751416.6310380641</v>
      </c>
      <c r="X61" t="str">
        <f t="shared" si="13"/>
        <v>Coke oven</v>
      </c>
      <c r="Y61">
        <f t="shared" si="4"/>
        <v>5806523.6972423811</v>
      </c>
      <c r="AA61" s="134" t="str">
        <f t="shared" si="14"/>
        <v>Coke oven</v>
      </c>
      <c r="AB61">
        <f t="shared" si="5"/>
        <v>0</v>
      </c>
      <c r="AE61">
        <v>59</v>
      </c>
      <c r="AF61">
        <f t="shared" si="6"/>
        <v>1.6949152542372881E-2</v>
      </c>
      <c r="AG61">
        <f t="shared" si="7"/>
        <v>-6.9110804133995243E-2</v>
      </c>
      <c r="AH61">
        <f t="shared" si="8"/>
        <v>-10.102392599972381</v>
      </c>
    </row>
    <row r="62" spans="2:34">
      <c r="B62" s="134" t="s">
        <v>514</v>
      </c>
      <c r="C62" s="14">
        <f>Rational_COGtreatment</f>
        <v>0.9960578434433518</v>
      </c>
      <c r="D62" s="14">
        <f>Resource_COGtreatment</f>
        <v>0.18236833377116268</v>
      </c>
      <c r="K62" s="293"/>
      <c r="L62" s="134" t="s">
        <v>514</v>
      </c>
      <c r="M62" s="134">
        <f>MCC_B_RUVY_matrices_mat_level!J227</f>
        <v>16002.672043499071</v>
      </c>
      <c r="N62" s="14" t="e">
        <f>#REF!</f>
        <v>#REF!</v>
      </c>
      <c r="O62" s="14">
        <f>MCC_B_RUVY_matrices_mat_level!J227</f>
        <v>16002.672043499071</v>
      </c>
      <c r="P62" s="14">
        <f>'MCC_hM_RUVY_matrices_mat_level '!L156</f>
        <v>32556.293627668325</v>
      </c>
      <c r="Q62">
        <f>Ore_to_PI!DA237</f>
        <v>0</v>
      </c>
      <c r="S62" t="str">
        <f t="shared" si="9"/>
        <v>COG treatment</v>
      </c>
      <c r="T62">
        <f t="shared" si="10"/>
        <v>16002.672043499071</v>
      </c>
      <c r="U62" t="e">
        <f t="shared" si="11"/>
        <v>#REF!</v>
      </c>
      <c r="V62">
        <f t="shared" si="12"/>
        <v>16002.672043499071</v>
      </c>
      <c r="X62" t="str">
        <f t="shared" si="13"/>
        <v>COG treatment</v>
      </c>
      <c r="Y62">
        <f t="shared" si="4"/>
        <v>32556.293627668325</v>
      </c>
      <c r="AA62" s="134" t="str">
        <f t="shared" si="14"/>
        <v>COG treatment</v>
      </c>
      <c r="AB62">
        <f t="shared" si="5"/>
        <v>0</v>
      </c>
      <c r="AE62">
        <v>60</v>
      </c>
      <c r="AF62">
        <f t="shared" si="6"/>
        <v>1.6666666666666666E-2</v>
      </c>
      <c r="AG62">
        <f t="shared" si="7"/>
        <v>-6.823907603703501E-2</v>
      </c>
      <c r="AH62">
        <f t="shared" si="8"/>
        <v>-10.144033445713733</v>
      </c>
    </row>
    <row r="63" spans="2:34">
      <c r="B63" s="134" t="s">
        <v>516</v>
      </c>
      <c r="C63" s="14">
        <f>Rational_COGdistribution</f>
        <v>1</v>
      </c>
      <c r="D63" s="14">
        <f>Resource_COGdistribution</f>
        <v>1</v>
      </c>
      <c r="K63" s="293"/>
      <c r="L63" s="134" t="s">
        <v>516</v>
      </c>
      <c r="M63" s="134">
        <f>MCC_B_RUVY_matrices_mat_level!J228</f>
        <v>0</v>
      </c>
      <c r="N63" s="14" t="e">
        <f>#REF!</f>
        <v>#REF!</v>
      </c>
      <c r="O63" s="14">
        <f>MCC_B_RUVY_matrices_mat_level!J228</f>
        <v>0</v>
      </c>
      <c r="P63" s="14">
        <f>'MCC_hM_RUVY_matrices_mat_level '!L157</f>
        <v>0</v>
      </c>
      <c r="Q63">
        <f>Ore_to_PI!DU237</f>
        <v>0</v>
      </c>
      <c r="S63" t="str">
        <f t="shared" si="9"/>
        <v>COG distribution</v>
      </c>
      <c r="T63">
        <f t="shared" si="10"/>
        <v>0</v>
      </c>
      <c r="U63" t="e">
        <f t="shared" si="11"/>
        <v>#REF!</v>
      </c>
      <c r="V63">
        <f t="shared" si="12"/>
        <v>0</v>
      </c>
      <c r="X63" t="str">
        <f t="shared" si="13"/>
        <v>COG distribution</v>
      </c>
      <c r="Y63">
        <f t="shared" si="4"/>
        <v>0</v>
      </c>
      <c r="AA63" s="134" t="str">
        <f t="shared" si="14"/>
        <v>COG distribution</v>
      </c>
      <c r="AB63">
        <f t="shared" si="5"/>
        <v>0</v>
      </c>
      <c r="AE63">
        <v>61</v>
      </c>
      <c r="AF63">
        <f t="shared" si="6"/>
        <v>1.6393442622950821E-2</v>
      </c>
      <c r="AG63">
        <f t="shared" si="7"/>
        <v>-6.7391374822513297E-2</v>
      </c>
      <c r="AH63">
        <f t="shared" si="8"/>
        <v>-10.184985981407598</v>
      </c>
    </row>
    <row r="64" spans="2:34">
      <c r="B64" s="134" t="s">
        <v>76</v>
      </c>
      <c r="C64" s="14">
        <f>Rational_mixer</f>
        <v>0.99174963463121601</v>
      </c>
      <c r="D64" s="14">
        <f>Resource_Mixer</f>
        <v>1.0976920273227081E-2</v>
      </c>
      <c r="K64" s="293"/>
      <c r="L64" s="134" t="s">
        <v>76</v>
      </c>
      <c r="M64" s="134">
        <f>MCC_B_RUVY_matrices_mat_level!J229</f>
        <v>55594.067320963368</v>
      </c>
      <c r="N64" s="14" t="e">
        <f>#REF!</f>
        <v>#REF!</v>
      </c>
      <c r="O64" s="14">
        <f>MCC_B_RUVY_matrices_mat_level!J229</f>
        <v>55594.067320963368</v>
      </c>
      <c r="P64" s="14">
        <f>'MCC_hM_RUVY_matrices_mat_level '!L158</f>
        <v>-5041979.4291295921</v>
      </c>
      <c r="Q64">
        <f>mass_bal_Mixer</f>
        <v>0</v>
      </c>
      <c r="S64" t="str">
        <f t="shared" si="9"/>
        <v>Mixer</v>
      </c>
      <c r="T64">
        <f t="shared" si="10"/>
        <v>55594.067320963368</v>
      </c>
      <c r="U64" t="e">
        <f t="shared" si="11"/>
        <v>#REF!</v>
      </c>
      <c r="V64">
        <f t="shared" si="12"/>
        <v>55594.067320963368</v>
      </c>
      <c r="X64" t="str">
        <f t="shared" si="13"/>
        <v>Mixer</v>
      </c>
      <c r="Y64">
        <f t="shared" si="4"/>
        <v>-5041979.4291295921</v>
      </c>
      <c r="AA64" s="134" t="str">
        <f t="shared" si="14"/>
        <v>Mixer</v>
      </c>
      <c r="AB64">
        <f t="shared" si="5"/>
        <v>0</v>
      </c>
      <c r="AE64">
        <v>62</v>
      </c>
      <c r="AF64">
        <f t="shared" si="6"/>
        <v>1.6129032258064516E-2</v>
      </c>
      <c r="AG64">
        <f t="shared" si="7"/>
        <v>-6.6566683629759538E-2</v>
      </c>
      <c r="AH64">
        <f t="shared" si="8"/>
        <v>-10.225272592624938</v>
      </c>
    </row>
    <row r="65" spans="2:34">
      <c r="B65" s="134" t="s">
        <v>337</v>
      </c>
      <c r="C65" s="14">
        <f>Rational_BF</f>
        <v>0.37943022424115741</v>
      </c>
      <c r="D65" s="14">
        <f>Resource_BF</f>
        <v>0.34074255379728524</v>
      </c>
      <c r="K65" s="293"/>
      <c r="L65" s="134" t="s">
        <v>337</v>
      </c>
      <c r="M65" s="134">
        <f>MCC_B_RUVY_matrices_mat_level!J230</f>
        <v>7572474.0694727181</v>
      </c>
      <c r="N65" s="14" t="e">
        <f>#REF!</f>
        <v>#REF!</v>
      </c>
      <c r="O65" s="14">
        <f>MCC_B_RUVY_matrices_mat_level!J230</f>
        <v>7572474.0694727181</v>
      </c>
      <c r="P65" s="14">
        <f>'MCC_hM_RUVY_matrices_mat_level '!L159</f>
        <v>9363636.6135623064</v>
      </c>
      <c r="Q65">
        <f>mass_bal_BF</f>
        <v>0</v>
      </c>
      <c r="S65" t="str">
        <f t="shared" si="9"/>
        <v>Blast furnace</v>
      </c>
      <c r="T65">
        <f t="shared" si="10"/>
        <v>7572474.0694727181</v>
      </c>
      <c r="U65" t="e">
        <f t="shared" si="11"/>
        <v>#REF!</v>
      </c>
      <c r="V65">
        <f t="shared" si="12"/>
        <v>7572474.0694727181</v>
      </c>
      <c r="X65" t="str">
        <f t="shared" si="13"/>
        <v>Blast furnace</v>
      </c>
      <c r="Y65">
        <f t="shared" si="4"/>
        <v>9363636.6135623064</v>
      </c>
      <c r="AA65" s="134" t="str">
        <f t="shared" si="14"/>
        <v>Blast furnace</v>
      </c>
      <c r="AB65">
        <f t="shared" si="5"/>
        <v>0</v>
      </c>
      <c r="AE65">
        <v>63</v>
      </c>
      <c r="AF65">
        <f t="shared" si="6"/>
        <v>1.5873015873015872E-2</v>
      </c>
      <c r="AG65">
        <f t="shared" si="7"/>
        <v>-6.5764043276056075E-2</v>
      </c>
      <c r="AH65">
        <f t="shared" si="8"/>
        <v>-10.264914590335321</v>
      </c>
    </row>
    <row r="66" spans="2:34">
      <c r="K66" s="293"/>
      <c r="AC66" s="293"/>
      <c r="AE66">
        <v>64</v>
      </c>
      <c r="AF66">
        <f t="shared" si="1"/>
        <v>1.5625E-2</v>
      </c>
      <c r="AG66">
        <f t="shared" si="2"/>
        <v>-6.4982548177494867E-2</v>
      </c>
      <c r="AH66">
        <f t="shared" si="3"/>
        <v>-10.303932278605588</v>
      </c>
    </row>
    <row r="67" spans="2:34">
      <c r="K67" s="293"/>
      <c r="AC67" s="293"/>
      <c r="AE67">
        <v>65</v>
      </c>
      <c r="AF67">
        <f t="shared" si="1"/>
        <v>1.5384615384615385E-2</v>
      </c>
      <c r="AG67">
        <f t="shared" si="2"/>
        <v>-6.4221342613779028E-2</v>
      </c>
      <c r="AH67">
        <f t="shared" ref="AH67:AH98" si="15">AE67*RT0*AG67</f>
        <v>-10.342345017049873</v>
      </c>
    </row>
    <row r="68" spans="2:34">
      <c r="K68" s="293"/>
      <c r="AC68" s="293"/>
      <c r="AE68">
        <v>66</v>
      </c>
      <c r="AF68">
        <f t="shared" ref="AF68:AF111" si="16">1/AE68</f>
        <v>1.5151515151515152E-2</v>
      </c>
      <c r="AG68">
        <f t="shared" ref="AG68:AG111" si="17">AF68*LN(AF68)</f>
        <v>-6.3479617303430685E-2</v>
      </c>
      <c r="AH68">
        <f t="shared" si="15"/>
        <v>-10.380171278511893</v>
      </c>
    </row>
    <row r="69" spans="2:34">
      <c r="AC69" s="293"/>
      <c r="AE69">
        <v>67</v>
      </c>
      <c r="AF69">
        <f t="shared" si="16"/>
        <v>1.4925373134328358E-2</v>
      </c>
      <c r="AG69">
        <f t="shared" si="17"/>
        <v>-6.2756606259566652E-2</v>
      </c>
      <c r="AH69">
        <f t="shared" si="15"/>
        <v>-10.417428702409714</v>
      </c>
    </row>
    <row r="70" spans="2:34">
      <c r="AC70" s="293"/>
      <c r="AE70">
        <v>68</v>
      </c>
      <c r="AF70">
        <f t="shared" si="16"/>
        <v>1.4705882352941176E-2</v>
      </c>
      <c r="AG70">
        <f t="shared" si="17"/>
        <v>-6.2051583899648634E-2</v>
      </c>
      <c r="AH70">
        <f t="shared" si="15"/>
        <v>-10.454134144128577</v>
      </c>
    </row>
    <row r="71" spans="2:34">
      <c r="AC71" s="293"/>
      <c r="AE71">
        <v>69</v>
      </c>
      <c r="AF71">
        <f t="shared" si="16"/>
        <v>1.4492753623188406E-2</v>
      </c>
      <c r="AG71">
        <f t="shared" si="17"/>
        <v>-6.1363862385467531E-2</v>
      </c>
      <c r="AH71">
        <f t="shared" si="15"/>
        <v>-10.49030372080804</v>
      </c>
    </row>
    <row r="72" spans="2:34">
      <c r="AC72" s="293"/>
      <c r="AE72">
        <v>70</v>
      </c>
      <c r="AF72">
        <f t="shared" si="16"/>
        <v>1.4285714285714285E-2</v>
      </c>
      <c r="AG72">
        <f t="shared" si="17"/>
        <v>-6.06927891721337E-2</v>
      </c>
      <c r="AH72">
        <f t="shared" si="15"/>
        <v>-10.525952853834713</v>
      </c>
    </row>
    <row r="73" spans="2:34">
      <c r="AE73">
        <v>71</v>
      </c>
      <c r="AF73">
        <f t="shared" si="16"/>
        <v>1.4084507042253521E-2</v>
      </c>
      <c r="AG73">
        <f t="shared" si="17"/>
        <v>-6.0037744747060785E-2</v>
      </c>
      <c r="AH73">
        <f t="shared" si="15"/>
        <v>-10.561096308321007</v>
      </c>
    </row>
    <row r="74" spans="2:34">
      <c r="AE74">
        <v>72</v>
      </c>
      <c r="AF74">
        <f t="shared" si="16"/>
        <v>1.3888888888888888E-2</v>
      </c>
      <c r="AG74">
        <f t="shared" si="17"/>
        <v>-5.9398140541889653E-2</v>
      </c>
      <c r="AH74">
        <f t="shared" si="15"/>
        <v>-10.595748229822844</v>
      </c>
    </row>
    <row r="75" spans="2:34">
      <c r="AE75">
        <v>73</v>
      </c>
      <c r="AF75">
        <f t="shared" si="16"/>
        <v>1.3698630136986301E-2</v>
      </c>
      <c r="AG75">
        <f t="shared" si="17"/>
        <v>-5.877341700203275E-2</v>
      </c>
      <c r="AH75">
        <f t="shared" si="15"/>
        <v>-10.6299221785249</v>
      </c>
    </row>
    <row r="76" spans="2:34">
      <c r="AE76">
        <v>74</v>
      </c>
      <c r="AF76">
        <f t="shared" si="16"/>
        <v>1.3513513513513514E-2</v>
      </c>
      <c r="AG76">
        <f t="shared" si="17"/>
        <v>-5.8163041800056346E-2</v>
      </c>
      <c r="AH76">
        <f t="shared" si="15"/>
        <v>-10.663631161100041</v>
      </c>
    </row>
    <row r="77" spans="2:34">
      <c r="AE77">
        <v>75</v>
      </c>
      <c r="AF77">
        <f t="shared" si="16"/>
        <v>1.3333333333333334E-2</v>
      </c>
      <c r="AG77">
        <f t="shared" si="17"/>
        <v>-5.7566508180484137E-2</v>
      </c>
      <c r="AH77">
        <f t="shared" si="15"/>
        <v>-10.696887660430383</v>
      </c>
    </row>
    <row r="78" spans="2:34">
      <c r="AE78">
        <v>76</v>
      </c>
      <c r="AF78">
        <f t="shared" si="16"/>
        <v>1.3157894736842105E-2</v>
      </c>
      <c r="AG78">
        <f t="shared" si="17"/>
        <v>-5.6983333424820141E-2</v>
      </c>
      <c r="AH78">
        <f t="shared" si="15"/>
        <v>-10.729703663359885</v>
      </c>
    </row>
    <row r="79" spans="2:34">
      <c r="AE79">
        <v>77</v>
      </c>
      <c r="AF79">
        <f t="shared" si="16"/>
        <v>1.2987012987012988E-2</v>
      </c>
      <c r="AG79">
        <f t="shared" si="17"/>
        <v>-5.6413057426671229E-2</v>
      </c>
      <c r="AH79">
        <f t="shared" si="15"/>
        <v>-10.762090686632877</v>
      </c>
    </row>
    <row r="80" spans="2:34">
      <c r="AE80">
        <v>78</v>
      </c>
      <c r="AF80">
        <f t="shared" si="16"/>
        <v>1.282051282051282E-2</v>
      </c>
      <c r="AG80">
        <f t="shared" si="17"/>
        <v>-5.5855241367815278E-2</v>
      </c>
      <c r="AH80">
        <f t="shared" si="15"/>
        <v>-10.794059801158983</v>
      </c>
    </row>
    <row r="81" spans="31:34">
      <c r="AE81">
        <v>79</v>
      </c>
      <c r="AF81">
        <f t="shared" si="16"/>
        <v>1.2658227848101266E-2</v>
      </c>
      <c r="AG81">
        <f t="shared" si="17"/>
        <v>-5.5309466486924322E-2</v>
      </c>
      <c r="AH81">
        <f t="shared" si="15"/>
        <v>-10.825621654732423</v>
      </c>
    </row>
    <row r="82" spans="31:34">
      <c r="AE82">
        <v>80</v>
      </c>
      <c r="AF82">
        <f t="shared" si="16"/>
        <v>1.2500000000000001E-2</v>
      </c>
      <c r="AG82">
        <f t="shared" si="17"/>
        <v>-5.4775332933423515E-2</v>
      </c>
      <c r="AH82">
        <f t="shared" si="15"/>
        <v>-10.856786493322238</v>
      </c>
    </row>
    <row r="83" spans="31:34">
      <c r="AE83">
        <v>81</v>
      </c>
      <c r="AF83">
        <f t="shared" si="16"/>
        <v>1.2345679012345678E-2</v>
      </c>
      <c r="AG83">
        <f t="shared" si="17"/>
        <v>-5.4252458699659736E-2</v>
      </c>
      <c r="AH83">
        <f t="shared" si="15"/>
        <v>-10.887564181040101</v>
      </c>
    </row>
    <row r="84" spans="31:34">
      <c r="AE84">
        <v>82</v>
      </c>
      <c r="AF84">
        <f t="shared" si="16"/>
        <v>1.2195121951219513E-2</v>
      </c>
      <c r="AG84">
        <f t="shared" si="17"/>
        <v>-5.3740478625173824E-2</v>
      </c>
      <c r="AH84">
        <f t="shared" si="15"/>
        <v>-10.917964218882991</v>
      </c>
    </row>
    <row r="85" spans="31:34">
      <c r="AE85">
        <v>83</v>
      </c>
      <c r="AF85">
        <f t="shared" si="16"/>
        <v>1.2048192771084338E-2</v>
      </c>
      <c r="AG85">
        <f t="shared" si="17"/>
        <v>-5.3239043467428901E-2</v>
      </c>
      <c r="AH85">
        <f t="shared" si="15"/>
        <v>-10.947995762339835</v>
      </c>
    </row>
    <row r="86" spans="31:34">
      <c r="AE86">
        <v>84</v>
      </c>
      <c r="AF86">
        <f t="shared" si="16"/>
        <v>1.1904761904761904E-2</v>
      </c>
      <c r="AG86">
        <f t="shared" si="17"/>
        <v>-5.2747819033848967E-2</v>
      </c>
      <c r="AH86">
        <f t="shared" si="15"/>
        <v>-10.977667637943824</v>
      </c>
    </row>
    <row r="87" spans="31:34">
      <c r="AE87">
        <v>85</v>
      </c>
      <c r="AF87">
        <f t="shared" si="16"/>
        <v>1.1764705882352941E-2</v>
      </c>
      <c r="AG87">
        <f t="shared" si="17"/>
        <v>-5.2266485370474312E-2</v>
      </c>
      <c r="AH87">
        <f t="shared" si="15"/>
        <v>-11.006988358845225</v>
      </c>
    </row>
    <row r="88" spans="31:34">
      <c r="AE88">
        <v>86</v>
      </c>
      <c r="AF88">
        <f t="shared" si="16"/>
        <v>1.1627906976744186E-2</v>
      </c>
      <c r="AG88">
        <f t="shared" si="17"/>
        <v>-5.1794736002947761E-2</v>
      </c>
      <c r="AH88">
        <f t="shared" si="15"/>
        <v>-11.035966139473395</v>
      </c>
    </row>
    <row r="89" spans="31:34">
      <c r="AE89">
        <v>87</v>
      </c>
      <c r="AF89">
        <f t="shared" si="16"/>
        <v>1.1494252873563218E-2</v>
      </c>
      <c r="AG89">
        <f t="shared" si="17"/>
        <v>-5.1332277225914755E-2</v>
      </c>
      <c r="AH89">
        <f t="shared" si="15"/>
        <v>-11.064608909351273</v>
      </c>
    </row>
    <row r="90" spans="31:34">
      <c r="AE90">
        <v>88</v>
      </c>
      <c r="AF90">
        <f t="shared" si="16"/>
        <v>1.1363636363636364E-2</v>
      </c>
      <c r="AG90">
        <f t="shared" si="17"/>
        <v>-5.0878827437252354E-2</v>
      </c>
      <c r="AH90">
        <f t="shared" si="15"/>
        <v>-11.0929243261204</v>
      </c>
    </row>
    <row r="91" spans="31:34">
      <c r="AE91">
        <v>89</v>
      </c>
      <c r="AF91">
        <f t="shared" si="16"/>
        <v>1.1235955056179775E-2</v>
      </c>
      <c r="AG91">
        <f t="shared" si="17"/>
        <v>-5.0434116513844267E-2</v>
      </c>
      <c r="AH91">
        <f t="shared" si="15"/>
        <v>-11.120919787829997</v>
      </c>
    </row>
    <row r="92" spans="31:34">
      <c r="AE92">
        <v>90</v>
      </c>
      <c r="AF92">
        <f t="shared" si="16"/>
        <v>1.1111111111111112E-2</v>
      </c>
      <c r="AG92">
        <f t="shared" si="17"/>
        <v>-4.9997885225891839E-2</v>
      </c>
      <c r="AH92">
        <f t="shared" si="15"/>
        <v>-11.148602444539495</v>
      </c>
    </row>
    <row r="93" spans="31:34">
      <c r="AE93">
        <v>91</v>
      </c>
      <c r="AF93">
        <f t="shared" si="16"/>
        <v>1.098901098901099E-2</v>
      </c>
      <c r="AG93">
        <f t="shared" si="17"/>
        <v>-4.9569884686998356E-2</v>
      </c>
      <c r="AH93">
        <f t="shared" si="15"/>
        <v>-11.175979209279966</v>
      </c>
    </row>
    <row r="94" spans="31:34">
      <c r="AE94">
        <v>92</v>
      </c>
      <c r="AF94">
        <f t="shared" si="16"/>
        <v>1.0869565217391304E-2</v>
      </c>
      <c r="AG94">
        <f t="shared" si="17"/>
        <v>-4.9149875837489566E-2</v>
      </c>
      <c r="AH94">
        <f t="shared" si="15"/>
        <v>-11.203056768416545</v>
      </c>
    </row>
    <row r="95" spans="31:34">
      <c r="AE95">
        <v>93</v>
      </c>
      <c r="AF95">
        <f t="shared" si="16"/>
        <v>1.0752688172043012E-2</v>
      </c>
      <c r="AG95">
        <f t="shared" si="17"/>
        <v>-4.8737628958637168E-2</v>
      </c>
      <c r="AH95">
        <f t="shared" si="15"/>
        <v>-11.229841591450699</v>
      </c>
    </row>
    <row r="96" spans="31:34">
      <c r="AE96">
        <v>94</v>
      </c>
      <c r="AF96">
        <f t="shared" si="16"/>
        <v>1.0638297872340425E-2</v>
      </c>
      <c r="AG96">
        <f t="shared" si="17"/>
        <v>-4.833292321563834E-2</v>
      </c>
      <c r="AH96">
        <f t="shared" si="15"/>
        <v>-11.256339940298258</v>
      </c>
    </row>
    <row r="97" spans="31:34">
      <c r="AE97">
        <v>95</v>
      </c>
      <c r="AF97">
        <f t="shared" si="16"/>
        <v>1.0526315789473684E-2</v>
      </c>
      <c r="AG97">
        <f t="shared" si="17"/>
        <v>-4.7935546227374115E-2</v>
      </c>
      <c r="AH97">
        <f t="shared" si="15"/>
        <v>-11.282557878076535</v>
      </c>
    </row>
    <row r="98" spans="31:34">
      <c r="AE98">
        <v>96</v>
      </c>
      <c r="AF98">
        <f t="shared" si="16"/>
        <v>1.0416666666666666E-2</v>
      </c>
      <c r="AG98">
        <f t="shared" si="17"/>
        <v>-4.754529366112329E-2</v>
      </c>
      <c r="AH98">
        <f t="shared" si="15"/>
        <v>-11.308501277431349</v>
      </c>
    </row>
    <row r="99" spans="31:34">
      <c r="AE99">
        <v>97</v>
      </c>
      <c r="AF99">
        <f t="shared" si="16"/>
        <v>1.0309278350515464E-2</v>
      </c>
      <c r="AG99">
        <f t="shared" si="17"/>
        <v>-4.7161968850550337E-2</v>
      </c>
      <c r="AH99">
        <f t="shared" ref="AH99:AH111" si="18">AE99*RT0*AG99</f>
        <v>-11.334175828432581</v>
      </c>
    </row>
    <row r="100" spans="31:34">
      <c r="AE100">
        <v>98</v>
      </c>
      <c r="AF100">
        <f t="shared" si="16"/>
        <v>1.020408163265306E-2</v>
      </c>
      <c r="AG100">
        <f t="shared" si="17"/>
        <v>-4.6785382435413997E-2</v>
      </c>
      <c r="AH100">
        <f t="shared" si="18"/>
        <v>-11.359587046064805</v>
      </c>
    </row>
    <row r="101" spans="31:34">
      <c r="AE101">
        <v>99</v>
      </c>
      <c r="AF101">
        <f t="shared" si="16"/>
        <v>1.0101010101010102E-2</v>
      </c>
      <c r="AG101">
        <f t="shared" si="17"/>
        <v>-4.6415352021561516E-2</v>
      </c>
      <c r="AH101">
        <f t="shared" si="18"/>
        <v>-11.384740277337658</v>
      </c>
    </row>
    <row r="102" spans="31:34">
      <c r="AE102">
        <v>100</v>
      </c>
      <c r="AF102">
        <f t="shared" si="16"/>
        <v>0.01</v>
      </c>
      <c r="AG102">
        <f t="shared" si="17"/>
        <v>-4.605170185988091E-2</v>
      </c>
      <c r="AH102">
        <f t="shared" si="18"/>
        <v>-11.409640708038886</v>
      </c>
    </row>
    <row r="103" spans="31:34">
      <c r="AE103">
        <v>150</v>
      </c>
      <c r="AF103">
        <f t="shared" si="16"/>
        <v>6.6666666666666671E-3</v>
      </c>
      <c r="AG103">
        <f t="shared" si="17"/>
        <v>-3.3404235293975036E-2</v>
      </c>
      <c r="AH103">
        <f t="shared" si="18"/>
        <v>-12.414209706864646</v>
      </c>
    </row>
    <row r="104" spans="31:34">
      <c r="AE104">
        <v>200</v>
      </c>
      <c r="AF104">
        <f t="shared" si="16"/>
        <v>5.0000000000000001E-3</v>
      </c>
      <c r="AG104">
        <f t="shared" si="17"/>
        <v>-2.6491586832740183E-2</v>
      </c>
      <c r="AH104">
        <f t="shared" si="18"/>
        <v>-13.126962754473151</v>
      </c>
    </row>
    <row r="105" spans="31:34">
      <c r="AE105">
        <v>300</v>
      </c>
      <c r="AF105">
        <f t="shared" si="16"/>
        <v>3.3333333333333335E-3</v>
      </c>
      <c r="AG105">
        <f t="shared" si="17"/>
        <v>-1.9012608248854004E-2</v>
      </c>
      <c r="AH105">
        <f t="shared" si="18"/>
        <v>-14.131531753298912</v>
      </c>
    </row>
    <row r="106" spans="31:34">
      <c r="AE106">
        <v>500</v>
      </c>
      <c r="AF106">
        <f t="shared" si="16"/>
        <v>2E-3</v>
      </c>
      <c r="AG106">
        <f t="shared" si="17"/>
        <v>-1.2429216196844383E-2</v>
      </c>
      <c r="AH106">
        <f t="shared" si="18"/>
        <v>-15.397139015624063</v>
      </c>
    </row>
    <row r="107" spans="31:34">
      <c r="AE107">
        <v>700</v>
      </c>
      <c r="AF107">
        <f t="shared" si="16"/>
        <v>1.4285714285714286E-3</v>
      </c>
      <c r="AG107">
        <f t="shared" si="17"/>
        <v>-9.3586861929191491E-3</v>
      </c>
      <c r="AH107">
        <f t="shared" si="18"/>
        <v>-16.230773207854156</v>
      </c>
    </row>
    <row r="108" spans="31:34">
      <c r="AE108">
        <v>1000</v>
      </c>
      <c r="AF108">
        <f t="shared" si="16"/>
        <v>1E-3</v>
      </c>
      <c r="AG108">
        <f t="shared" si="17"/>
        <v>-6.9077552789821367E-3</v>
      </c>
      <c r="AH108">
        <f t="shared" si="18"/>
        <v>-17.114461062058329</v>
      </c>
    </row>
    <row r="109" spans="31:34">
      <c r="AE109">
        <v>2000</v>
      </c>
      <c r="AF109">
        <f t="shared" si="16"/>
        <v>5.0000000000000001E-4</v>
      </c>
      <c r="AG109">
        <f t="shared" si="17"/>
        <v>-3.800451229771041E-3</v>
      </c>
      <c r="AH109">
        <f t="shared" si="18"/>
        <v>-18.831783108492594</v>
      </c>
    </row>
    <row r="110" spans="31:34">
      <c r="AE110">
        <v>5000</v>
      </c>
      <c r="AF110">
        <f t="shared" si="16"/>
        <v>2.0000000000000001E-4</v>
      </c>
      <c r="AG110">
        <f t="shared" si="17"/>
        <v>-1.7034386382832477E-3</v>
      </c>
      <c r="AH110">
        <f t="shared" si="18"/>
        <v>-21.101959369643509</v>
      </c>
    </row>
    <row r="111" spans="31:34">
      <c r="AE111">
        <v>10000</v>
      </c>
      <c r="AF111">
        <f t="shared" si="16"/>
        <v>1E-4</v>
      </c>
      <c r="AG111">
        <f t="shared" si="17"/>
        <v>-9.2103403719761819E-4</v>
      </c>
      <c r="AH111">
        <f t="shared" si="18"/>
        <v>-22.819281416077771</v>
      </c>
    </row>
  </sheetData>
  <mergeCells count="18"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  <mergeCell ref="T30:T31"/>
    <mergeCell ref="S4:U4"/>
    <mergeCell ref="X21:X22"/>
    <mergeCell ref="S21:U23"/>
    <mergeCell ref="P11:P12"/>
    <mergeCell ref="P21:P22"/>
    <mergeCell ref="P30:P31"/>
    <mergeCell ref="T13:T14"/>
  </mergeCells>
  <pageMargins left="0.7" right="0.7" top="0.75" bottom="0.75" header="0.3" footer="0.3"/>
  <pageSetup orientation="portrait" horizontalDpi="0" verticalDpi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:V59"/>
  <sheetViews>
    <sheetView topLeftCell="B1" zoomScale="111" workbookViewId="0">
      <selection activeCell="F61" sqref="F61"/>
    </sheetView>
  </sheetViews>
  <sheetFormatPr defaultColWidth="11.5546875" defaultRowHeight="14.4"/>
  <cols>
    <col min="9" max="9" width="12.109375" customWidth="1"/>
  </cols>
  <sheetData>
    <row r="2" spans="2:22">
      <c r="C2" s="390" t="s">
        <v>612</v>
      </c>
      <c r="D2" s="390"/>
      <c r="E2" s="390"/>
      <c r="F2" s="390"/>
      <c r="G2" s="390"/>
      <c r="H2" s="390"/>
      <c r="I2" s="390"/>
      <c r="J2" s="390"/>
      <c r="K2" s="390"/>
      <c r="L2" s="390"/>
      <c r="M2" s="390"/>
      <c r="N2" s="390"/>
    </row>
    <row r="3" spans="2:22" ht="18" customHeight="1">
      <c r="B3" s="21"/>
      <c r="C3" s="1" t="s">
        <v>449</v>
      </c>
      <c r="D3" s="1" t="s">
        <v>450</v>
      </c>
      <c r="E3" s="1" t="s">
        <v>579</v>
      </c>
      <c r="F3" s="1" t="s">
        <v>79</v>
      </c>
      <c r="G3" s="1" t="s">
        <v>509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48</v>
      </c>
      <c r="M3" s="1" t="s">
        <v>451</v>
      </c>
      <c r="N3" s="1" t="s">
        <v>49</v>
      </c>
    </row>
    <row r="4" spans="2:22" ht="18" customHeight="1">
      <c r="B4" s="21" t="s">
        <v>40</v>
      </c>
      <c r="C4" s="1" t="s">
        <v>82</v>
      </c>
      <c r="D4" s="21" t="s">
        <v>213</v>
      </c>
      <c r="E4" s="139" t="s">
        <v>84</v>
      </c>
      <c r="F4" s="139" t="s">
        <v>80</v>
      </c>
      <c r="G4" s="1" t="s">
        <v>89</v>
      </c>
      <c r="H4" s="139" t="s">
        <v>89</v>
      </c>
      <c r="I4" s="139" t="s">
        <v>24</v>
      </c>
      <c r="J4" s="139" t="s">
        <v>91</v>
      </c>
      <c r="K4" s="139" t="s">
        <v>89</v>
      </c>
      <c r="L4" s="139" t="s">
        <v>89</v>
      </c>
      <c r="M4" s="139" t="s">
        <v>88</v>
      </c>
      <c r="N4" s="139" t="s">
        <v>86</v>
      </c>
      <c r="R4" s="370" t="s">
        <v>349</v>
      </c>
      <c r="S4" s="370"/>
      <c r="T4" s="370"/>
      <c r="U4" s="370"/>
      <c r="V4" s="370"/>
    </row>
    <row r="5" spans="2:22" ht="19.05" customHeight="1">
      <c r="B5" s="144" t="s">
        <v>254</v>
      </c>
      <c r="C5" s="144">
        <f>Limestone_for_BF</f>
        <v>198.12782320839224</v>
      </c>
      <c r="D5" s="144">
        <v>0.95</v>
      </c>
      <c r="E5" s="144">
        <f>MW_CaCO3</f>
        <v>0.1000872</v>
      </c>
      <c r="F5" s="144">
        <f>C5/E5</f>
        <v>1979.5520626852608</v>
      </c>
      <c r="G5" s="144">
        <f>h_CaCO3</f>
        <v>-1207.5999999999999</v>
      </c>
      <c r="H5" s="144">
        <f>b_ch_CaCO3</f>
        <v>11.256799999999885</v>
      </c>
      <c r="I5" s="144">
        <f>F5/F7</f>
        <v>0.94119632891260407</v>
      </c>
      <c r="J5" s="144">
        <f>LN(I5)</f>
        <v>-6.0603522569383693E-2</v>
      </c>
      <c r="K5" s="144">
        <f>RT0*J5</f>
        <v>-0.15014959061927308</v>
      </c>
      <c r="L5" s="144">
        <f>K5+H5</f>
        <v>11.106650409380611</v>
      </c>
      <c r="M5" s="144">
        <f>L5*I5</f>
        <v>10.453538591824703</v>
      </c>
      <c r="N5" s="144">
        <f>M5*F7</f>
        <v>21986.192727413487</v>
      </c>
      <c r="R5" s="370"/>
      <c r="S5" s="370"/>
      <c r="T5" s="370"/>
      <c r="U5" s="370"/>
      <c r="V5" s="370"/>
    </row>
    <row r="6" spans="2:22" ht="18" customHeight="1">
      <c r="B6" s="27" t="s">
        <v>257</v>
      </c>
      <c r="C6" s="27">
        <f>(C5*D6)/D5</f>
        <v>10.427780168862752</v>
      </c>
      <c r="D6" s="27">
        <v>0.05</v>
      </c>
      <c r="E6" s="27">
        <f>MW_MgCO3</f>
        <v>8.4314200000000006E-2</v>
      </c>
      <c r="F6" s="27">
        <f>C6/E6</f>
        <v>123.6776268868441</v>
      </c>
      <c r="G6" s="27">
        <f>h_MgCO3</f>
        <v>-1095.8</v>
      </c>
      <c r="H6" s="27">
        <f>b_ch_MgCO3</f>
        <v>33.790400000000034</v>
      </c>
      <c r="I6" s="27">
        <f>F6/F7</f>
        <v>5.880367108739603E-2</v>
      </c>
      <c r="J6" s="27">
        <f>LN(I6)</f>
        <v>-2.8335509925673268</v>
      </c>
      <c r="K6" s="27">
        <f>RT0*J6</f>
        <v>-7.0203265997570163</v>
      </c>
      <c r="L6" s="27">
        <f>K6+H6</f>
        <v>26.770073400243017</v>
      </c>
      <c r="M6" s="27">
        <f>L6*I6</f>
        <v>1.5741785912133399</v>
      </c>
      <c r="N6" s="27">
        <f>M6*F7</f>
        <v>3310.8591497286861</v>
      </c>
      <c r="T6" s="200" t="s">
        <v>265</v>
      </c>
    </row>
    <row r="7" spans="2:22" ht="16.05" customHeight="1">
      <c r="B7" s="144" t="s">
        <v>18</v>
      </c>
      <c r="C7" s="144">
        <f>SUM(C5:C6)</f>
        <v>208.55560337725498</v>
      </c>
      <c r="D7" s="144">
        <f>SUM(D5:D6)</f>
        <v>1</v>
      </c>
      <c r="E7" s="144">
        <f>SUM(E5:E6)</f>
        <v>0.18440139999999999</v>
      </c>
      <c r="F7" s="144">
        <f>SUM(F5:F6)</f>
        <v>2103.2296895721047</v>
      </c>
      <c r="G7" s="18">
        <f t="array" ref="G7">SUM(C5:C6*G5:G6) / C7</f>
        <v>-1202.01</v>
      </c>
      <c r="H7" s="144"/>
      <c r="I7" s="144">
        <f>SUM(I5:I6)</f>
        <v>1</v>
      </c>
      <c r="J7" s="215"/>
      <c r="K7" s="215"/>
      <c r="L7" s="215"/>
      <c r="M7" s="144">
        <f>SUM(M5:M6)</f>
        <v>12.027717183038042</v>
      </c>
      <c r="N7" s="144">
        <f>SUM(N5:N6)</f>
        <v>25297.051877142174</v>
      </c>
      <c r="T7" s="216" t="s">
        <v>62</v>
      </c>
    </row>
    <row r="8" spans="2:22" ht="19.05" customHeight="1">
      <c r="B8" s="27"/>
      <c r="C8" s="27" t="s">
        <v>252</v>
      </c>
      <c r="D8" s="27"/>
      <c r="E8" s="203" t="s">
        <v>258</v>
      </c>
      <c r="F8" s="203" t="s">
        <v>259</v>
      </c>
      <c r="G8" s="1" t="s">
        <v>510</v>
      </c>
      <c r="H8" s="27"/>
      <c r="I8" s="27"/>
      <c r="J8" s="203"/>
      <c r="K8" s="203"/>
      <c r="L8" s="203"/>
      <c r="M8" s="203" t="s">
        <v>260</v>
      </c>
      <c r="N8" s="27" t="s">
        <v>253</v>
      </c>
      <c r="T8" s="217">
        <v>1173.1500000000001</v>
      </c>
    </row>
    <row r="15" spans="2:22" ht="21" customHeight="1">
      <c r="C15" s="401" t="s">
        <v>611</v>
      </c>
      <c r="D15" s="401"/>
      <c r="E15" s="401"/>
      <c r="F15" s="401"/>
    </row>
    <row r="16" spans="2:22" ht="18" customHeight="1">
      <c r="B16" s="14"/>
      <c r="C16" s="298" t="s">
        <v>581</v>
      </c>
      <c r="D16" s="298" t="s">
        <v>582</v>
      </c>
      <c r="E16" s="14" t="s">
        <v>583</v>
      </c>
      <c r="F16" s="1" t="s">
        <v>584</v>
      </c>
    </row>
    <row r="17" spans="2:9" ht="16.95" customHeight="1">
      <c r="B17" s="14"/>
      <c r="C17" s="298" t="s">
        <v>57</v>
      </c>
      <c r="D17" s="298" t="s">
        <v>57</v>
      </c>
      <c r="E17" s="14" t="s">
        <v>62</v>
      </c>
      <c r="F17" s="298" t="s">
        <v>57</v>
      </c>
    </row>
    <row r="18" spans="2:9" ht="18" customHeight="1">
      <c r="B18" s="144" t="s">
        <v>254</v>
      </c>
      <c r="C18" s="18">
        <f>cp_CaCO3*(T8-Constants!N5)</f>
        <v>66.569397940800016</v>
      </c>
      <c r="D18" s="18">
        <f>cp_CaCO3*LN(T8/T_0)</f>
        <v>0.10423773768759552</v>
      </c>
      <c r="E18" s="18">
        <f>T_0</f>
        <v>298</v>
      </c>
      <c r="F18" s="18">
        <f>C18- D18*E18</f>
        <v>35.506552109896546</v>
      </c>
    </row>
    <row r="19" spans="2:9" ht="18" customHeight="1">
      <c r="B19" s="27" t="s">
        <v>257</v>
      </c>
      <c r="C19" s="14">
        <f>cp_MgCO3*(T8-T_0)</f>
        <v>5.6218751205847006</v>
      </c>
      <c r="D19" s="14">
        <f>cp_MgCO3*LN(T8/T_0)</f>
        <v>8.8030170357416473E-3</v>
      </c>
      <c r="E19" s="14">
        <f>T_0</f>
        <v>298</v>
      </c>
      <c r="F19" s="14">
        <f>C19- D19*E19</f>
        <v>2.9985760439336899</v>
      </c>
    </row>
    <row r="20" spans="2:9">
      <c r="B20" s="299"/>
      <c r="C20" s="299"/>
      <c r="D20" s="299"/>
      <c r="E20" s="299"/>
      <c r="F20" s="299"/>
    </row>
    <row r="22" spans="2:9" ht="21" customHeight="1">
      <c r="C22" s="300" t="s">
        <v>610</v>
      </c>
    </row>
    <row r="23" spans="2:9" ht="18" customHeight="1">
      <c r="C23" s="139" t="s">
        <v>89</v>
      </c>
    </row>
    <row r="24" spans="2:9" ht="18" customHeight="1">
      <c r="B24" s="144" t="s">
        <v>254</v>
      </c>
      <c r="C24" s="144">
        <f>b_ch_CaCO3</f>
        <v>11.256799999999885</v>
      </c>
    </row>
    <row r="25" spans="2:9" ht="18" customHeight="1">
      <c r="B25" s="27" t="s">
        <v>257</v>
      </c>
      <c r="C25" s="27">
        <f>b_ch_MgCO3</f>
        <v>33.790400000000034</v>
      </c>
    </row>
    <row r="26" spans="2:9">
      <c r="B26" s="299"/>
      <c r="C26" s="299"/>
    </row>
    <row r="28" spans="2:9" ht="21" customHeight="1">
      <c r="C28" s="401" t="s">
        <v>613</v>
      </c>
      <c r="D28" s="401"/>
      <c r="E28" s="401"/>
      <c r="F28" s="401"/>
      <c r="G28" s="401"/>
      <c r="H28" s="401"/>
      <c r="I28" s="401"/>
    </row>
    <row r="29" spans="2:9" ht="18" customHeight="1">
      <c r="C29" s="1" t="s">
        <v>449</v>
      </c>
      <c r="D29" s="1" t="s">
        <v>450</v>
      </c>
      <c r="E29" s="1" t="s">
        <v>579</v>
      </c>
      <c r="F29" s="1" t="s">
        <v>79</v>
      </c>
      <c r="G29" s="1" t="s">
        <v>7</v>
      </c>
      <c r="H29" s="1" t="s">
        <v>8</v>
      </c>
      <c r="I29" s="1" t="s">
        <v>9</v>
      </c>
    </row>
    <row r="30" spans="2:9" ht="18" customHeight="1">
      <c r="C30" s="1" t="s">
        <v>82</v>
      </c>
      <c r="D30" s="21" t="s">
        <v>213</v>
      </c>
      <c r="E30" s="139" t="s">
        <v>84</v>
      </c>
      <c r="F30" s="139" t="s">
        <v>80</v>
      </c>
      <c r="G30" s="139" t="s">
        <v>24</v>
      </c>
      <c r="H30" s="139" t="s">
        <v>91</v>
      </c>
      <c r="I30" s="139" t="s">
        <v>89</v>
      </c>
    </row>
    <row r="31" spans="2:9" ht="18" customHeight="1">
      <c r="B31" s="144" t="s">
        <v>254</v>
      </c>
      <c r="C31" s="144">
        <f>Limestone_for_BF</f>
        <v>198.12782320839224</v>
      </c>
      <c r="D31" s="144">
        <v>0.95</v>
      </c>
      <c r="E31" s="144">
        <f>MW_CaCO3</f>
        <v>0.1000872</v>
      </c>
      <c r="F31" s="144">
        <f>C31/E31</f>
        <v>1979.5520626852608</v>
      </c>
      <c r="G31" s="144">
        <f>D31/D33</f>
        <v>0.95</v>
      </c>
      <c r="H31" s="144">
        <f>LN(G31)</f>
        <v>-5.1293294387550578E-2</v>
      </c>
      <c r="I31" s="144">
        <f>RT0*H31</f>
        <v>-0.12708282996235246</v>
      </c>
    </row>
    <row r="32" spans="2:9" ht="18" customHeight="1">
      <c r="B32" s="27" t="s">
        <v>257</v>
      </c>
      <c r="C32" s="27">
        <f>(C31*D32)/D31</f>
        <v>10.427780168862752</v>
      </c>
      <c r="D32" s="27">
        <v>0.05</v>
      </c>
      <c r="E32" s="27">
        <f>MW_MgCO3</f>
        <v>8.4314200000000006E-2</v>
      </c>
      <c r="F32" s="27">
        <f>C32/E32</f>
        <v>123.6776268868441</v>
      </c>
      <c r="G32" s="27">
        <f>D32/D33</f>
        <v>0.05</v>
      </c>
      <c r="H32" s="27">
        <f>LN(G32)</f>
        <v>-2.9957322735539909</v>
      </c>
      <c r="I32" s="27">
        <f>RT0*H32</f>
        <v>-7.4221424004537075</v>
      </c>
    </row>
    <row r="33" spans="2:9" ht="16.05" customHeight="1">
      <c r="B33" s="299"/>
      <c r="C33" s="144">
        <f>SUM(C31:C32)</f>
        <v>208.55560337725498</v>
      </c>
      <c r="D33" s="144">
        <f>SUM(D31:D32)</f>
        <v>1</v>
      </c>
      <c r="E33" s="144">
        <f>SUM(E31:E32)</f>
        <v>0.18440139999999999</v>
      </c>
      <c r="F33" s="144">
        <f>SUM(F31:F32)</f>
        <v>2103.2296895721047</v>
      </c>
      <c r="G33" s="144">
        <f>SUM(G31:G32)</f>
        <v>1</v>
      </c>
      <c r="H33" s="215"/>
      <c r="I33" s="215"/>
    </row>
    <row r="34" spans="2:9" ht="18" customHeight="1">
      <c r="C34" s="27" t="s">
        <v>252</v>
      </c>
      <c r="D34" s="27"/>
      <c r="E34" s="203" t="s">
        <v>258</v>
      </c>
      <c r="F34" s="203" t="s">
        <v>259</v>
      </c>
    </row>
    <row r="40" spans="2:9" ht="21" customHeight="1">
      <c r="C40" s="401" t="s">
        <v>614</v>
      </c>
      <c r="D40" s="401"/>
      <c r="E40" s="401"/>
      <c r="F40" s="401"/>
      <c r="G40" s="401"/>
      <c r="H40" s="401"/>
      <c r="I40" s="401"/>
    </row>
    <row r="41" spans="2:9" ht="16.95" customHeight="1">
      <c r="B41" s="14"/>
      <c r="C41" s="14" t="s">
        <v>585</v>
      </c>
      <c r="D41" s="14" t="s">
        <v>587</v>
      </c>
      <c r="E41" s="14" t="s">
        <v>588</v>
      </c>
      <c r="F41" s="14" t="s">
        <v>591</v>
      </c>
      <c r="G41" s="14" t="s">
        <v>591</v>
      </c>
      <c r="H41" s="14" t="s">
        <v>590</v>
      </c>
      <c r="I41" s="14" t="s">
        <v>590</v>
      </c>
    </row>
    <row r="42" spans="2:9" ht="18" customHeight="1">
      <c r="B42" s="14"/>
      <c r="C42" s="14" t="s">
        <v>91</v>
      </c>
      <c r="D42" s="14" t="s">
        <v>593</v>
      </c>
      <c r="E42" s="14" t="s">
        <v>586</v>
      </c>
      <c r="F42" s="14" t="s">
        <v>589</v>
      </c>
      <c r="G42" s="14" t="s">
        <v>592</v>
      </c>
      <c r="H42" s="14" t="s">
        <v>271</v>
      </c>
      <c r="I42" s="1" t="s">
        <v>89</v>
      </c>
    </row>
    <row r="43" spans="2:9" ht="18" customHeight="1">
      <c r="B43" s="144" t="s">
        <v>254</v>
      </c>
      <c r="C43" s="18">
        <v>1.373</v>
      </c>
      <c r="D43" s="18">
        <f>0.025*0.001</f>
        <v>2.5000000000000001E-5</v>
      </c>
      <c r="E43" s="18">
        <v>6</v>
      </c>
      <c r="F43" s="18">
        <v>1E-3</v>
      </c>
      <c r="G43" s="18">
        <f>1/1000</f>
        <v>1E-3</v>
      </c>
      <c r="H43" s="18">
        <f>((E43*C43)/D43)*F43*G43</f>
        <v>0.32951999999999992</v>
      </c>
      <c r="I43" s="18">
        <f>H43*MW_CaCO3</f>
        <v>3.298073414399999E-2</v>
      </c>
    </row>
    <row r="44" spans="2:9" ht="18" customHeight="1">
      <c r="B44" s="27" t="s">
        <v>257</v>
      </c>
      <c r="C44" s="14">
        <v>1.373</v>
      </c>
      <c r="D44" s="14">
        <v>1.5475E-3</v>
      </c>
      <c r="E44" s="14">
        <v>6</v>
      </c>
      <c r="F44" s="14">
        <v>1E-3</v>
      </c>
      <c r="G44" s="14">
        <v>1E-3</v>
      </c>
      <c r="H44" s="14">
        <f>((E44*C44)/D44)*F44*G44</f>
        <v>5.3234248788368334E-3</v>
      </c>
      <c r="I44" s="14">
        <f>H44*MW_MgCO3</f>
        <v>4.4884030991922455E-4</v>
      </c>
    </row>
    <row r="45" spans="2:9">
      <c r="B45" s="18"/>
      <c r="C45" s="18"/>
      <c r="D45" s="18"/>
      <c r="E45" s="18"/>
      <c r="F45" s="18"/>
      <c r="G45" s="18"/>
      <c r="H45" s="18"/>
      <c r="I45" s="18"/>
    </row>
    <row r="48" spans="2:9" ht="21" customHeight="1">
      <c r="C48" s="401" t="s">
        <v>615</v>
      </c>
      <c r="D48" s="401"/>
      <c r="E48" s="401"/>
      <c r="F48" s="401"/>
      <c r="G48" s="401"/>
      <c r="H48" s="401"/>
      <c r="I48" s="301"/>
    </row>
    <row r="49" spans="2:8" ht="18" customHeight="1">
      <c r="C49" s="1" t="s">
        <v>7</v>
      </c>
      <c r="D49" s="1" t="s">
        <v>594</v>
      </c>
      <c r="E49" s="1" t="s">
        <v>595</v>
      </c>
      <c r="F49" s="1" t="s">
        <v>596</v>
      </c>
      <c r="G49" s="1" t="s">
        <v>597</v>
      </c>
      <c r="H49" s="1" t="s">
        <v>598</v>
      </c>
    </row>
    <row r="50" spans="2:8" ht="18" customHeight="1">
      <c r="C50" s="139" t="s">
        <v>24</v>
      </c>
      <c r="D50" s="139" t="s">
        <v>88</v>
      </c>
      <c r="E50" s="139" t="s">
        <v>88</v>
      </c>
      <c r="F50" s="139" t="s">
        <v>88</v>
      </c>
      <c r="G50" s="139" t="s">
        <v>88</v>
      </c>
      <c r="H50" s="139" t="s">
        <v>88</v>
      </c>
    </row>
    <row r="51" spans="2:8" ht="18" customHeight="1">
      <c r="B51" s="144" t="s">
        <v>254</v>
      </c>
      <c r="C51" s="144">
        <f>I5</f>
        <v>0.94119632891260407</v>
      </c>
      <c r="D51">
        <f>b_ph_CaCO3*C51</f>
        <v>33.418636498178707</v>
      </c>
      <c r="E51">
        <f>C24*C51</f>
        <v>10.594858835303294</v>
      </c>
      <c r="F51">
        <f>I31*C51</f>
        <v>-0.11960989302839081</v>
      </c>
      <c r="G51">
        <f>I43*C51</f>
        <v>3.1041345901175365E-2</v>
      </c>
      <c r="H51">
        <f>D51+E51+F51+G51</f>
        <v>43.924926786354781</v>
      </c>
    </row>
    <row r="52" spans="2:8" ht="18" customHeight="1">
      <c r="B52" s="27" t="s">
        <v>257</v>
      </c>
      <c r="C52" s="27">
        <f>I6</f>
        <v>5.880367108739603E-2</v>
      </c>
      <c r="D52">
        <f>b_ph_CaCO3*C52</f>
        <v>2.0879156117178441</v>
      </c>
      <c r="E52">
        <f>C25*C52</f>
        <v>1.9869995675115488</v>
      </c>
      <c r="F52">
        <f>I32*C52</f>
        <v>-0.43644922048009582</v>
      </c>
      <c r="G52">
        <f>I44*C52</f>
        <v>2.6393457955254979E-5</v>
      </c>
      <c r="H52">
        <f>D52+E52+F52+G52</f>
        <v>3.6384923522072521</v>
      </c>
    </row>
    <row r="53" spans="2:8" ht="16.05" customHeight="1">
      <c r="B53" s="299"/>
      <c r="C53" s="144">
        <f>SUM(C51:C52)</f>
        <v>1</v>
      </c>
      <c r="D53" s="144">
        <f t="shared" ref="D53:F53" si="0">SUM(D51:D52)</f>
        <v>35.506552109896553</v>
      </c>
      <c r="E53" s="144">
        <f t="shared" si="0"/>
        <v>12.581858402814841</v>
      </c>
      <c r="F53" s="144">
        <f t="shared" si="0"/>
        <v>-0.55605911350848669</v>
      </c>
      <c r="G53" s="299">
        <f>G51+G52</f>
        <v>3.1067739359130622E-2</v>
      </c>
      <c r="H53" s="299">
        <f>H51+H52</f>
        <v>47.563419138562033</v>
      </c>
    </row>
    <row r="55" spans="2:8">
      <c r="C55" s="313"/>
      <c r="D55" s="313"/>
      <c r="E55" s="313"/>
    </row>
    <row r="56" spans="2:8" ht="18" customHeight="1">
      <c r="C56" s="1" t="s">
        <v>599</v>
      </c>
      <c r="D56" s="1" t="s">
        <v>598</v>
      </c>
      <c r="E56" s="1" t="s">
        <v>620</v>
      </c>
    </row>
    <row r="57" spans="2:8" ht="18" customHeight="1">
      <c r="C57" s="139" t="s">
        <v>88</v>
      </c>
      <c r="D57" s="139" t="s">
        <v>88</v>
      </c>
      <c r="E57" s="14" t="s">
        <v>91</v>
      </c>
    </row>
    <row r="58" spans="2:8">
      <c r="B58" s="19" t="s">
        <v>19</v>
      </c>
      <c r="C58" s="14">
        <f>G53</f>
        <v>3.1067739359130622E-2</v>
      </c>
      <c r="D58" s="14">
        <f>H53</f>
        <v>47.563419138562033</v>
      </c>
      <c r="E58" s="19">
        <f>(C58/D58)</f>
        <v>6.5318557668497086E-4</v>
      </c>
    </row>
    <row r="59" spans="2:8">
      <c r="C59" s="299"/>
      <c r="D59" s="299"/>
      <c r="E59" s="299"/>
    </row>
  </sheetData>
  <mergeCells count="7">
    <mergeCell ref="C48:H48"/>
    <mergeCell ref="C55:E55"/>
    <mergeCell ref="R4:V5"/>
    <mergeCell ref="C15:F15"/>
    <mergeCell ref="C2:N2"/>
    <mergeCell ref="C28:I28"/>
    <mergeCell ref="C40:I40"/>
  </mergeCells>
  <pageMargins left="0.7" right="0.7" top="0.75" bottom="0.75" header="0.3" footer="0.3"/>
  <pageSetup paperSize="9" orientation="portrait" horizontalDpi="300" verticalDpi="30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U145"/>
  <sheetViews>
    <sheetView workbookViewId="0"/>
  </sheetViews>
  <sheetFormatPr defaultColWidth="11.5546875" defaultRowHeight="14.4"/>
  <cols>
    <col min="2" max="37" width="7.6640625" customWidth="1"/>
    <col min="41" max="55" width="7.6640625" customWidth="1"/>
    <col min="59" max="73" width="7.6640625" customWidth="1"/>
  </cols>
  <sheetData>
    <row r="1" spans="1:73" ht="109.8">
      <c r="A1" s="303" t="s">
        <v>641</v>
      </c>
      <c r="B1" s="234" t="s">
        <v>706</v>
      </c>
      <c r="AN1" s="303" t="s">
        <v>641</v>
      </c>
      <c r="AO1" s="234" t="s">
        <v>683</v>
      </c>
      <c r="AP1" s="234" t="s">
        <v>684</v>
      </c>
      <c r="AQ1" s="234" t="s">
        <v>685</v>
      </c>
      <c r="AR1" s="234" t="s">
        <v>686</v>
      </c>
      <c r="AS1" s="234" t="s">
        <v>687</v>
      </c>
      <c r="AT1" s="234" t="s">
        <v>688</v>
      </c>
      <c r="AU1" s="234" t="s">
        <v>689</v>
      </c>
      <c r="AV1" s="234" t="s">
        <v>690</v>
      </c>
      <c r="AW1" s="234" t="s">
        <v>691</v>
      </c>
      <c r="AX1" s="234" t="s">
        <v>692</v>
      </c>
      <c r="AY1" s="234" t="s">
        <v>693</v>
      </c>
      <c r="AZ1" s="234" t="s">
        <v>694</v>
      </c>
      <c r="BA1" s="234" t="s">
        <v>695</v>
      </c>
      <c r="BB1" s="234" t="s">
        <v>696</v>
      </c>
      <c r="BC1" s="234" t="s">
        <v>697</v>
      </c>
      <c r="BF1" s="303" t="s">
        <v>641</v>
      </c>
      <c r="BG1" s="234" t="s">
        <v>683</v>
      </c>
      <c r="BH1" s="234" t="s">
        <v>684</v>
      </c>
      <c r="BI1" s="234" t="s">
        <v>685</v>
      </c>
      <c r="BJ1" s="234" t="s">
        <v>686</v>
      </c>
      <c r="BK1" s="234" t="s">
        <v>687</v>
      </c>
      <c r="BL1" s="234" t="s">
        <v>688</v>
      </c>
      <c r="BM1" s="234" t="s">
        <v>689</v>
      </c>
      <c r="BN1" s="234" t="s">
        <v>690</v>
      </c>
      <c r="BO1" s="234" t="s">
        <v>691</v>
      </c>
      <c r="BP1" s="234" t="s">
        <v>692</v>
      </c>
      <c r="BQ1" s="234" t="s">
        <v>693</v>
      </c>
      <c r="BR1" s="234" t="s">
        <v>694</v>
      </c>
      <c r="BS1" s="234" t="s">
        <v>695</v>
      </c>
      <c r="BT1" s="234" t="s">
        <v>696</v>
      </c>
      <c r="BU1" s="234" t="s">
        <v>697</v>
      </c>
    </row>
    <row r="2" spans="1:73">
      <c r="A2" s="304" t="s">
        <v>642</v>
      </c>
      <c r="B2" s="306">
        <v>1</v>
      </c>
      <c r="AN2" s="304" t="s">
        <v>642</v>
      </c>
      <c r="AO2" s="306">
        <v>0</v>
      </c>
      <c r="AP2" s="306">
        <v>0</v>
      </c>
      <c r="AQ2" s="306">
        <v>0</v>
      </c>
      <c r="AR2" s="306">
        <v>0</v>
      </c>
      <c r="AS2" s="306">
        <v>0</v>
      </c>
      <c r="AT2" s="306">
        <v>0</v>
      </c>
      <c r="AU2" s="306">
        <v>0</v>
      </c>
      <c r="AV2" s="306">
        <v>0</v>
      </c>
      <c r="AW2" s="306">
        <v>0</v>
      </c>
      <c r="AX2" s="306">
        <v>0</v>
      </c>
      <c r="AY2" s="306">
        <v>0</v>
      </c>
      <c r="AZ2" s="306">
        <v>0</v>
      </c>
      <c r="BA2" s="306">
        <v>0</v>
      </c>
      <c r="BB2" s="306">
        <v>0</v>
      </c>
      <c r="BC2" s="306">
        <v>0</v>
      </c>
      <c r="BF2" s="304" t="s">
        <v>642</v>
      </c>
      <c r="BG2" s="306">
        <v>0</v>
      </c>
      <c r="BH2" s="306">
        <v>0</v>
      </c>
      <c r="BI2" s="306">
        <v>0</v>
      </c>
      <c r="BJ2" s="306">
        <v>0</v>
      </c>
      <c r="BK2" s="306">
        <v>0</v>
      </c>
      <c r="BL2" s="306">
        <v>0</v>
      </c>
      <c r="BM2" s="306">
        <v>0</v>
      </c>
      <c r="BN2" s="306">
        <v>0</v>
      </c>
      <c r="BO2" s="306">
        <v>0</v>
      </c>
      <c r="BP2" s="306">
        <v>0</v>
      </c>
      <c r="BQ2" s="306">
        <v>0</v>
      </c>
      <c r="BR2" s="306">
        <v>0</v>
      </c>
      <c r="BS2" s="306">
        <v>0</v>
      </c>
      <c r="BT2" s="306">
        <v>0</v>
      </c>
      <c r="BU2" s="306">
        <v>0</v>
      </c>
    </row>
    <row r="3" spans="1:73">
      <c r="A3" s="304" t="s">
        <v>643</v>
      </c>
      <c r="B3" s="306">
        <v>1</v>
      </c>
      <c r="AN3" s="304" t="s">
        <v>643</v>
      </c>
      <c r="AO3" s="306">
        <v>0</v>
      </c>
      <c r="AP3" s="306">
        <v>0</v>
      </c>
      <c r="AQ3" s="306">
        <v>0</v>
      </c>
      <c r="AR3" s="306">
        <v>0</v>
      </c>
      <c r="AS3" s="306">
        <v>0</v>
      </c>
      <c r="AT3" s="306">
        <v>0</v>
      </c>
      <c r="AU3" s="306">
        <v>0</v>
      </c>
      <c r="AV3" s="306">
        <v>0</v>
      </c>
      <c r="AW3" s="306">
        <v>0</v>
      </c>
      <c r="AX3" s="306">
        <v>0</v>
      </c>
      <c r="AY3" s="306">
        <v>0</v>
      </c>
      <c r="AZ3" s="306">
        <v>0</v>
      </c>
      <c r="BA3" s="306">
        <v>0</v>
      </c>
      <c r="BB3" s="306">
        <v>0</v>
      </c>
      <c r="BC3" s="306">
        <v>0</v>
      </c>
      <c r="BF3" s="304" t="s">
        <v>643</v>
      </c>
      <c r="BG3" s="306">
        <v>0</v>
      </c>
      <c r="BH3" s="306">
        <v>0</v>
      </c>
      <c r="BI3" s="306">
        <v>0</v>
      </c>
      <c r="BJ3" s="306">
        <v>0</v>
      </c>
      <c r="BK3" s="306">
        <v>0</v>
      </c>
      <c r="BL3" s="306">
        <v>0</v>
      </c>
      <c r="BM3" s="306">
        <v>0</v>
      </c>
      <c r="BN3" s="306">
        <v>0</v>
      </c>
      <c r="BO3" s="306">
        <v>0</v>
      </c>
      <c r="BP3" s="306">
        <v>0</v>
      </c>
      <c r="BQ3" s="306">
        <v>0</v>
      </c>
      <c r="BR3" s="306">
        <v>0</v>
      </c>
      <c r="BS3" s="306">
        <v>0</v>
      </c>
      <c r="BT3" s="306">
        <v>0</v>
      </c>
      <c r="BU3" s="306">
        <v>0</v>
      </c>
    </row>
    <row r="4" spans="1:73">
      <c r="A4" s="304" t="s">
        <v>644</v>
      </c>
      <c r="B4" s="306">
        <v>1</v>
      </c>
      <c r="AN4" s="304" t="s">
        <v>644</v>
      </c>
      <c r="AO4" s="306">
        <v>0</v>
      </c>
      <c r="AP4" s="306">
        <v>0</v>
      </c>
      <c r="AQ4" s="306">
        <v>0</v>
      </c>
      <c r="AR4" s="306">
        <v>0</v>
      </c>
      <c r="AS4" s="306">
        <v>0</v>
      </c>
      <c r="AT4" s="306">
        <v>0</v>
      </c>
      <c r="AU4" s="306">
        <v>0</v>
      </c>
      <c r="AV4" s="306">
        <v>0</v>
      </c>
      <c r="AW4" s="306">
        <v>0</v>
      </c>
      <c r="AX4" s="306">
        <v>0</v>
      </c>
      <c r="AY4" s="306">
        <v>0</v>
      </c>
      <c r="AZ4" s="306">
        <v>0</v>
      </c>
      <c r="BA4" s="306">
        <v>0</v>
      </c>
      <c r="BB4" s="306">
        <v>0</v>
      </c>
      <c r="BC4" s="306">
        <v>0</v>
      </c>
      <c r="BF4" s="304" t="s">
        <v>644</v>
      </c>
      <c r="BG4" s="306">
        <v>0</v>
      </c>
      <c r="BH4" s="306">
        <v>0</v>
      </c>
      <c r="BI4" s="306">
        <v>0</v>
      </c>
      <c r="BJ4" s="306">
        <v>0</v>
      </c>
      <c r="BK4" s="306">
        <v>0</v>
      </c>
      <c r="BL4" s="306">
        <v>0</v>
      </c>
      <c r="BM4" s="306">
        <v>0</v>
      </c>
      <c r="BN4" s="306">
        <v>0</v>
      </c>
      <c r="BO4" s="306">
        <v>0</v>
      </c>
      <c r="BP4" s="306">
        <v>0</v>
      </c>
      <c r="BQ4" s="306">
        <v>0</v>
      </c>
      <c r="BR4" s="306">
        <v>0</v>
      </c>
      <c r="BS4" s="306">
        <v>0</v>
      </c>
      <c r="BT4" s="306">
        <v>0</v>
      </c>
      <c r="BU4" s="306">
        <v>0</v>
      </c>
    </row>
    <row r="5" spans="1:73">
      <c r="A5" s="304" t="s">
        <v>645</v>
      </c>
      <c r="B5" s="306">
        <v>1</v>
      </c>
      <c r="AN5" s="304" t="s">
        <v>645</v>
      </c>
      <c r="AO5" s="306">
        <v>0</v>
      </c>
      <c r="AP5" s="306">
        <v>0</v>
      </c>
      <c r="AQ5" s="306">
        <v>0</v>
      </c>
      <c r="AR5" s="306">
        <v>0</v>
      </c>
      <c r="AS5" s="306">
        <v>0</v>
      </c>
      <c r="AT5" s="306">
        <v>0</v>
      </c>
      <c r="AU5" s="306">
        <v>0</v>
      </c>
      <c r="AV5" s="306">
        <v>0</v>
      </c>
      <c r="AW5" s="306">
        <v>0</v>
      </c>
      <c r="AX5" s="306">
        <v>0</v>
      </c>
      <c r="AY5" s="306">
        <v>0</v>
      </c>
      <c r="AZ5" s="306">
        <v>0</v>
      </c>
      <c r="BA5" s="306">
        <v>0</v>
      </c>
      <c r="BB5" s="306">
        <v>0</v>
      </c>
      <c r="BC5" s="306">
        <v>0</v>
      </c>
      <c r="BF5" s="304" t="s">
        <v>645</v>
      </c>
      <c r="BG5" s="306">
        <v>0</v>
      </c>
      <c r="BH5" s="306">
        <v>0</v>
      </c>
      <c r="BI5" s="306">
        <v>0</v>
      </c>
      <c r="BJ5" s="306">
        <v>0</v>
      </c>
      <c r="BK5" s="306">
        <v>0</v>
      </c>
      <c r="BL5" s="306">
        <v>0</v>
      </c>
      <c r="BM5" s="306">
        <v>0</v>
      </c>
      <c r="BN5" s="306">
        <v>0</v>
      </c>
      <c r="BO5" s="306">
        <v>0</v>
      </c>
      <c r="BP5" s="306">
        <v>0</v>
      </c>
      <c r="BQ5" s="306">
        <v>0</v>
      </c>
      <c r="BR5" s="306">
        <v>0</v>
      </c>
      <c r="BS5" s="306">
        <v>0</v>
      </c>
      <c r="BT5" s="306">
        <v>0</v>
      </c>
      <c r="BU5" s="306">
        <v>0</v>
      </c>
    </row>
    <row r="6" spans="1:73">
      <c r="A6" s="304" t="s">
        <v>646</v>
      </c>
      <c r="B6" s="306">
        <v>1</v>
      </c>
      <c r="AN6" s="304" t="s">
        <v>646</v>
      </c>
      <c r="AO6" s="306">
        <v>0</v>
      </c>
      <c r="AP6" s="306">
        <v>0</v>
      </c>
      <c r="AQ6" s="306">
        <v>0</v>
      </c>
      <c r="AR6" s="306">
        <v>0</v>
      </c>
      <c r="AS6" s="306">
        <v>0</v>
      </c>
      <c r="AT6" s="306">
        <v>0</v>
      </c>
      <c r="AU6" s="306">
        <v>0</v>
      </c>
      <c r="AV6" s="306">
        <v>0</v>
      </c>
      <c r="AW6" s="306">
        <v>0</v>
      </c>
      <c r="AX6" s="306">
        <v>0</v>
      </c>
      <c r="AY6" s="306">
        <v>0</v>
      </c>
      <c r="AZ6" s="306">
        <v>0</v>
      </c>
      <c r="BA6" s="306">
        <v>0</v>
      </c>
      <c r="BB6" s="306">
        <v>0</v>
      </c>
      <c r="BC6" s="306">
        <v>0</v>
      </c>
      <c r="BF6" s="304" t="s">
        <v>646</v>
      </c>
      <c r="BG6" s="306">
        <v>0</v>
      </c>
      <c r="BH6" s="306">
        <v>0</v>
      </c>
      <c r="BI6" s="306">
        <v>0</v>
      </c>
      <c r="BJ6" s="306">
        <v>0</v>
      </c>
      <c r="BK6" s="306">
        <v>0</v>
      </c>
      <c r="BL6" s="306">
        <v>0</v>
      </c>
      <c r="BM6" s="306">
        <v>0</v>
      </c>
      <c r="BN6" s="306">
        <v>0</v>
      </c>
      <c r="BO6" s="306">
        <v>0</v>
      </c>
      <c r="BP6" s="306">
        <v>0</v>
      </c>
      <c r="BQ6" s="306">
        <v>0</v>
      </c>
      <c r="BR6" s="306">
        <v>0</v>
      </c>
      <c r="BS6" s="306">
        <v>0</v>
      </c>
      <c r="BT6" s="306">
        <v>0</v>
      </c>
      <c r="BU6" s="306">
        <v>0</v>
      </c>
    </row>
    <row r="7" spans="1:73">
      <c r="A7" s="304" t="s">
        <v>647</v>
      </c>
      <c r="B7" s="306">
        <v>1</v>
      </c>
      <c r="AN7" s="304" t="s">
        <v>647</v>
      </c>
      <c r="AO7" s="306">
        <v>0</v>
      </c>
      <c r="AP7" s="306">
        <v>0</v>
      </c>
      <c r="AQ7" s="306">
        <v>0</v>
      </c>
      <c r="AR7" s="306">
        <v>0</v>
      </c>
      <c r="AS7" s="306">
        <v>0</v>
      </c>
      <c r="AT7" s="306">
        <v>0</v>
      </c>
      <c r="AU7" s="306">
        <v>0</v>
      </c>
      <c r="AV7" s="306">
        <v>0</v>
      </c>
      <c r="AW7" s="306">
        <v>0</v>
      </c>
      <c r="AX7" s="306">
        <v>0</v>
      </c>
      <c r="AY7" s="306">
        <v>0</v>
      </c>
      <c r="AZ7" s="306">
        <v>0</v>
      </c>
      <c r="BA7" s="306">
        <v>0</v>
      </c>
      <c r="BB7" s="306">
        <v>0</v>
      </c>
      <c r="BC7" s="306">
        <v>0</v>
      </c>
      <c r="BF7" s="304" t="s">
        <v>647</v>
      </c>
      <c r="BG7" s="306">
        <v>0</v>
      </c>
      <c r="BH7" s="306">
        <v>0</v>
      </c>
      <c r="BI7" s="306">
        <v>0</v>
      </c>
      <c r="BJ7" s="306">
        <v>0</v>
      </c>
      <c r="BK7" s="306">
        <v>0</v>
      </c>
      <c r="BL7" s="306">
        <v>0</v>
      </c>
      <c r="BM7" s="306">
        <v>0</v>
      </c>
      <c r="BN7" s="306">
        <v>0</v>
      </c>
      <c r="BO7" s="306">
        <v>0</v>
      </c>
      <c r="BP7" s="306">
        <v>0</v>
      </c>
      <c r="BQ7" s="306">
        <v>0</v>
      </c>
      <c r="BR7" s="306">
        <v>0</v>
      </c>
      <c r="BS7" s="306">
        <v>0</v>
      </c>
      <c r="BT7" s="306">
        <v>0</v>
      </c>
      <c r="BU7" s="306">
        <v>0</v>
      </c>
    </row>
    <row r="8" spans="1:73">
      <c r="A8" s="304" t="s">
        <v>648</v>
      </c>
      <c r="B8" s="306">
        <v>1</v>
      </c>
      <c r="AN8" s="304" t="s">
        <v>648</v>
      </c>
      <c r="AO8" s="306">
        <v>0</v>
      </c>
      <c r="AP8" s="306">
        <v>0</v>
      </c>
      <c r="AQ8" s="306">
        <v>0</v>
      </c>
      <c r="AR8" s="306">
        <v>0</v>
      </c>
      <c r="AS8" s="306">
        <v>0</v>
      </c>
      <c r="AT8" s="306">
        <v>0</v>
      </c>
      <c r="AU8" s="306">
        <v>0</v>
      </c>
      <c r="AV8" s="306">
        <v>0</v>
      </c>
      <c r="AW8" s="306">
        <v>0</v>
      </c>
      <c r="AX8" s="306">
        <v>0</v>
      </c>
      <c r="AY8" s="306">
        <v>0</v>
      </c>
      <c r="AZ8" s="306">
        <v>0</v>
      </c>
      <c r="BA8" s="306">
        <v>0</v>
      </c>
      <c r="BB8" s="306">
        <v>0</v>
      </c>
      <c r="BC8" s="306">
        <v>0</v>
      </c>
      <c r="BF8" s="304" t="s">
        <v>648</v>
      </c>
      <c r="BG8" s="306">
        <v>0</v>
      </c>
      <c r="BH8" s="306">
        <v>0</v>
      </c>
      <c r="BI8" s="306">
        <v>0</v>
      </c>
      <c r="BJ8" s="306">
        <v>0</v>
      </c>
      <c r="BK8" s="306">
        <v>0</v>
      </c>
      <c r="BL8" s="306">
        <v>0</v>
      </c>
      <c r="BM8" s="306">
        <v>0</v>
      </c>
      <c r="BN8" s="306">
        <v>0</v>
      </c>
      <c r="BO8" s="306">
        <v>0</v>
      </c>
      <c r="BP8" s="306">
        <v>0</v>
      </c>
      <c r="BQ8" s="306">
        <v>0</v>
      </c>
      <c r="BR8" s="306">
        <v>0</v>
      </c>
      <c r="BS8" s="306">
        <v>0</v>
      </c>
      <c r="BT8" s="306">
        <v>0</v>
      </c>
      <c r="BU8" s="306">
        <v>0</v>
      </c>
    </row>
    <row r="9" spans="1:73">
      <c r="A9" s="304" t="s">
        <v>649</v>
      </c>
      <c r="B9" s="306">
        <v>1</v>
      </c>
      <c r="AN9" s="304" t="s">
        <v>649</v>
      </c>
      <c r="AO9" s="306">
        <v>0</v>
      </c>
      <c r="AP9" s="306">
        <v>0</v>
      </c>
      <c r="AQ9" s="306">
        <v>0</v>
      </c>
      <c r="AR9" s="306">
        <v>0</v>
      </c>
      <c r="AS9" s="306">
        <v>0</v>
      </c>
      <c r="AT9" s="306">
        <v>0</v>
      </c>
      <c r="AU9" s="306">
        <v>0</v>
      </c>
      <c r="AV9" s="306">
        <v>0</v>
      </c>
      <c r="AW9" s="306">
        <v>0</v>
      </c>
      <c r="AX9" s="306">
        <v>0</v>
      </c>
      <c r="AY9" s="306">
        <v>0</v>
      </c>
      <c r="AZ9" s="306">
        <v>0</v>
      </c>
      <c r="BA9" s="306">
        <v>0</v>
      </c>
      <c r="BB9" s="306">
        <v>0</v>
      </c>
      <c r="BC9" s="306">
        <v>0</v>
      </c>
      <c r="BF9" s="304" t="s">
        <v>649</v>
      </c>
      <c r="BG9" s="306">
        <v>0</v>
      </c>
      <c r="BH9" s="306">
        <v>0</v>
      </c>
      <c r="BI9" s="306">
        <v>0</v>
      </c>
      <c r="BJ9" s="306">
        <v>0</v>
      </c>
      <c r="BK9" s="306">
        <v>0</v>
      </c>
      <c r="BL9" s="306">
        <v>0</v>
      </c>
      <c r="BM9" s="306">
        <v>0</v>
      </c>
      <c r="BN9" s="306">
        <v>0</v>
      </c>
      <c r="BO9" s="306">
        <v>0</v>
      </c>
      <c r="BP9" s="306">
        <v>0</v>
      </c>
      <c r="BQ9" s="306">
        <v>0</v>
      </c>
      <c r="BR9" s="306">
        <v>0</v>
      </c>
      <c r="BS9" s="306">
        <v>0</v>
      </c>
      <c r="BT9" s="306">
        <v>0</v>
      </c>
      <c r="BU9" s="306">
        <v>0</v>
      </c>
    </row>
    <row r="10" spans="1:73">
      <c r="A10" s="304" t="s">
        <v>650</v>
      </c>
      <c r="B10" s="306">
        <v>1</v>
      </c>
      <c r="AN10" s="304" t="s">
        <v>650</v>
      </c>
      <c r="AO10" s="306">
        <v>0</v>
      </c>
      <c r="AP10" s="306">
        <v>0</v>
      </c>
      <c r="AQ10" s="306">
        <v>0</v>
      </c>
      <c r="AR10" s="306">
        <v>0</v>
      </c>
      <c r="AS10" s="306">
        <v>0</v>
      </c>
      <c r="AT10" s="306">
        <v>0</v>
      </c>
      <c r="AU10" s="306">
        <v>0</v>
      </c>
      <c r="AV10" s="306">
        <v>0</v>
      </c>
      <c r="AW10" s="306">
        <v>0</v>
      </c>
      <c r="AX10" s="306">
        <v>0</v>
      </c>
      <c r="AY10" s="306">
        <v>0</v>
      </c>
      <c r="AZ10" s="306">
        <v>0</v>
      </c>
      <c r="BA10" s="306">
        <v>0</v>
      </c>
      <c r="BB10" s="306">
        <v>0</v>
      </c>
      <c r="BC10" s="306">
        <v>0</v>
      </c>
      <c r="BF10" s="304" t="s">
        <v>650</v>
      </c>
      <c r="BG10" s="306">
        <v>0</v>
      </c>
      <c r="BH10" s="306">
        <v>0</v>
      </c>
      <c r="BI10" s="306">
        <v>0</v>
      </c>
      <c r="BJ10" s="306">
        <v>0</v>
      </c>
      <c r="BK10" s="306">
        <v>0</v>
      </c>
      <c r="BL10" s="306">
        <v>0</v>
      </c>
      <c r="BM10" s="306">
        <v>0</v>
      </c>
      <c r="BN10" s="306">
        <v>0</v>
      </c>
      <c r="BO10" s="306">
        <v>0</v>
      </c>
      <c r="BP10" s="306">
        <v>0</v>
      </c>
      <c r="BQ10" s="306">
        <v>0</v>
      </c>
      <c r="BR10" s="306">
        <v>0</v>
      </c>
      <c r="BS10" s="306">
        <v>0</v>
      </c>
      <c r="BT10" s="306">
        <v>0</v>
      </c>
      <c r="BU10" s="306">
        <v>0</v>
      </c>
    </row>
    <row r="11" spans="1:73">
      <c r="A11" s="304" t="s">
        <v>651</v>
      </c>
      <c r="B11" s="306">
        <v>1</v>
      </c>
      <c r="AN11" s="304" t="s">
        <v>651</v>
      </c>
      <c r="AO11" s="306">
        <v>0</v>
      </c>
      <c r="AP11" s="306">
        <v>0</v>
      </c>
      <c r="AQ11" s="306">
        <v>0</v>
      </c>
      <c r="AR11" s="306">
        <v>0</v>
      </c>
      <c r="AS11" s="306">
        <v>0</v>
      </c>
      <c r="AT11" s="306">
        <v>0</v>
      </c>
      <c r="AU11" s="306">
        <v>0</v>
      </c>
      <c r="AV11" s="306">
        <v>0</v>
      </c>
      <c r="AW11" s="306">
        <v>0</v>
      </c>
      <c r="AX11" s="306">
        <v>0</v>
      </c>
      <c r="AY11" s="306">
        <v>0</v>
      </c>
      <c r="AZ11" s="306">
        <v>0</v>
      </c>
      <c r="BA11" s="306">
        <v>0</v>
      </c>
      <c r="BB11" s="306">
        <v>0</v>
      </c>
      <c r="BC11" s="306">
        <v>0</v>
      </c>
      <c r="BF11" s="304" t="s">
        <v>651</v>
      </c>
      <c r="BG11" s="306">
        <v>0</v>
      </c>
      <c r="BH11" s="306">
        <v>0</v>
      </c>
      <c r="BI11" s="306">
        <v>0</v>
      </c>
      <c r="BJ11" s="306">
        <v>0</v>
      </c>
      <c r="BK11" s="306">
        <v>0</v>
      </c>
      <c r="BL11" s="306">
        <v>0</v>
      </c>
      <c r="BM11" s="306">
        <v>0</v>
      </c>
      <c r="BN11" s="306">
        <v>0</v>
      </c>
      <c r="BO11" s="306">
        <v>0</v>
      </c>
      <c r="BP11" s="306">
        <v>0</v>
      </c>
      <c r="BQ11" s="306">
        <v>0</v>
      </c>
      <c r="BR11" s="306">
        <v>0</v>
      </c>
      <c r="BS11" s="306">
        <v>0</v>
      </c>
      <c r="BT11" s="306">
        <v>0</v>
      </c>
      <c r="BU11" s="306">
        <v>0</v>
      </c>
    </row>
    <row r="12" spans="1:73">
      <c r="A12" s="304" t="s">
        <v>652</v>
      </c>
      <c r="B12" s="306">
        <v>1</v>
      </c>
      <c r="AN12" s="304" t="s">
        <v>652</v>
      </c>
      <c r="AO12" s="306">
        <v>0</v>
      </c>
      <c r="AP12" s="306">
        <v>0</v>
      </c>
      <c r="AQ12" s="306">
        <v>0</v>
      </c>
      <c r="AR12" s="306">
        <v>0</v>
      </c>
      <c r="AS12" s="306">
        <v>0</v>
      </c>
      <c r="AT12" s="306">
        <v>0</v>
      </c>
      <c r="AU12" s="306">
        <v>0</v>
      </c>
      <c r="AV12" s="306">
        <v>0</v>
      </c>
      <c r="AW12" s="306">
        <v>0</v>
      </c>
      <c r="AX12" s="306">
        <v>0</v>
      </c>
      <c r="AY12" s="306">
        <v>0</v>
      </c>
      <c r="AZ12" s="306">
        <v>0</v>
      </c>
      <c r="BA12" s="306">
        <v>0</v>
      </c>
      <c r="BB12" s="306">
        <v>0</v>
      </c>
      <c r="BC12" s="306">
        <v>0</v>
      </c>
      <c r="BF12" s="304" t="s">
        <v>652</v>
      </c>
      <c r="BG12" s="306">
        <v>0</v>
      </c>
      <c r="BH12" s="306">
        <v>0</v>
      </c>
      <c r="BI12" s="306">
        <v>0</v>
      </c>
      <c r="BJ12" s="306">
        <v>0</v>
      </c>
      <c r="BK12" s="306">
        <v>0</v>
      </c>
      <c r="BL12" s="306">
        <v>0</v>
      </c>
      <c r="BM12" s="306">
        <v>0</v>
      </c>
      <c r="BN12" s="306">
        <v>0</v>
      </c>
      <c r="BO12" s="306">
        <v>0</v>
      </c>
      <c r="BP12" s="306">
        <v>0</v>
      </c>
      <c r="BQ12" s="306">
        <v>0</v>
      </c>
      <c r="BR12" s="306">
        <v>0</v>
      </c>
      <c r="BS12" s="306">
        <v>0</v>
      </c>
      <c r="BT12" s="306">
        <v>0</v>
      </c>
      <c r="BU12" s="306">
        <v>0</v>
      </c>
    </row>
    <row r="13" spans="1:73">
      <c r="A13" s="304" t="s">
        <v>653</v>
      </c>
      <c r="B13" s="306">
        <v>1</v>
      </c>
      <c r="AN13" s="304" t="s">
        <v>653</v>
      </c>
      <c r="AO13" s="306">
        <v>0</v>
      </c>
      <c r="AP13" s="306">
        <v>0</v>
      </c>
      <c r="AQ13" s="306">
        <v>0</v>
      </c>
      <c r="AR13" s="306">
        <v>0</v>
      </c>
      <c r="AS13" s="306">
        <v>0</v>
      </c>
      <c r="AT13" s="306">
        <v>0</v>
      </c>
      <c r="AU13" s="306">
        <v>0</v>
      </c>
      <c r="AV13" s="306">
        <v>0</v>
      </c>
      <c r="AW13" s="306">
        <v>0</v>
      </c>
      <c r="AX13" s="306">
        <v>0</v>
      </c>
      <c r="AY13" s="306">
        <v>0</v>
      </c>
      <c r="AZ13" s="306">
        <v>0</v>
      </c>
      <c r="BA13" s="306">
        <v>0</v>
      </c>
      <c r="BB13" s="306">
        <v>0</v>
      </c>
      <c r="BC13" s="306">
        <v>0</v>
      </c>
      <c r="BF13" s="304" t="s">
        <v>653</v>
      </c>
      <c r="BG13" s="306">
        <v>0</v>
      </c>
      <c r="BH13" s="306">
        <v>0</v>
      </c>
      <c r="BI13" s="306">
        <v>0</v>
      </c>
      <c r="BJ13" s="306">
        <v>0</v>
      </c>
      <c r="BK13" s="306">
        <v>0</v>
      </c>
      <c r="BL13" s="306">
        <v>0</v>
      </c>
      <c r="BM13" s="306">
        <v>0</v>
      </c>
      <c r="BN13" s="306">
        <v>0</v>
      </c>
      <c r="BO13" s="306">
        <v>0</v>
      </c>
      <c r="BP13" s="306">
        <v>0</v>
      </c>
      <c r="BQ13" s="306">
        <v>0</v>
      </c>
      <c r="BR13" s="306">
        <v>0</v>
      </c>
      <c r="BS13" s="306">
        <v>0</v>
      </c>
      <c r="BT13" s="306">
        <v>0</v>
      </c>
      <c r="BU13" s="306">
        <v>0</v>
      </c>
    </row>
    <row r="14" spans="1:73">
      <c r="A14" s="304" t="s">
        <v>654</v>
      </c>
      <c r="B14" s="306">
        <v>1</v>
      </c>
      <c r="AN14" s="304" t="s">
        <v>654</v>
      </c>
      <c r="AO14" s="306">
        <v>0</v>
      </c>
      <c r="AP14" s="306">
        <v>0</v>
      </c>
      <c r="AQ14" s="306">
        <v>0</v>
      </c>
      <c r="AR14" s="306">
        <v>0</v>
      </c>
      <c r="AS14" s="306">
        <v>0</v>
      </c>
      <c r="AT14" s="306">
        <v>0</v>
      </c>
      <c r="AU14" s="306">
        <v>0</v>
      </c>
      <c r="AV14" s="306">
        <v>0</v>
      </c>
      <c r="AW14" s="306">
        <v>0</v>
      </c>
      <c r="AX14" s="306">
        <v>0</v>
      </c>
      <c r="AY14" s="306">
        <v>0</v>
      </c>
      <c r="AZ14" s="306">
        <v>0</v>
      </c>
      <c r="BA14" s="306">
        <v>0</v>
      </c>
      <c r="BB14" s="306">
        <v>0</v>
      </c>
      <c r="BC14" s="306">
        <v>0</v>
      </c>
      <c r="BF14" s="304" t="s">
        <v>654</v>
      </c>
      <c r="BG14" s="306">
        <v>0</v>
      </c>
      <c r="BH14" s="306">
        <v>0</v>
      </c>
      <c r="BI14" s="306">
        <v>0</v>
      </c>
      <c r="BJ14" s="306">
        <v>0</v>
      </c>
      <c r="BK14" s="306">
        <v>0</v>
      </c>
      <c r="BL14" s="306">
        <v>0</v>
      </c>
      <c r="BM14" s="306">
        <v>0</v>
      </c>
      <c r="BN14" s="306">
        <v>0</v>
      </c>
      <c r="BO14" s="306">
        <v>0</v>
      </c>
      <c r="BP14" s="306">
        <v>0</v>
      </c>
      <c r="BQ14" s="306">
        <v>0</v>
      </c>
      <c r="BR14" s="306">
        <v>0</v>
      </c>
      <c r="BS14" s="306">
        <v>0</v>
      </c>
      <c r="BT14" s="306">
        <v>0</v>
      </c>
      <c r="BU14" s="306">
        <v>0</v>
      </c>
    </row>
    <row r="15" spans="1:73">
      <c r="A15" s="304" t="s">
        <v>655</v>
      </c>
      <c r="B15" s="306">
        <v>1</v>
      </c>
      <c r="AN15" s="304" t="s">
        <v>655</v>
      </c>
      <c r="AO15" s="306">
        <v>0</v>
      </c>
      <c r="AP15" s="306">
        <v>0</v>
      </c>
      <c r="AQ15" s="306">
        <v>0</v>
      </c>
      <c r="AR15" s="306">
        <v>0</v>
      </c>
      <c r="AS15" s="306">
        <v>0</v>
      </c>
      <c r="AT15" s="306">
        <v>0</v>
      </c>
      <c r="AU15" s="306">
        <v>0</v>
      </c>
      <c r="AV15" s="306">
        <v>0</v>
      </c>
      <c r="AW15" s="306">
        <v>0</v>
      </c>
      <c r="AX15" s="306">
        <v>0</v>
      </c>
      <c r="AY15" s="306">
        <v>0</v>
      </c>
      <c r="AZ15" s="306">
        <v>0</v>
      </c>
      <c r="BA15" s="306">
        <v>0</v>
      </c>
      <c r="BB15" s="306">
        <v>0</v>
      </c>
      <c r="BC15" s="306">
        <v>0</v>
      </c>
      <c r="BF15" s="304" t="s">
        <v>655</v>
      </c>
      <c r="BG15" s="306">
        <v>0</v>
      </c>
      <c r="BH15" s="306">
        <v>0</v>
      </c>
      <c r="BI15" s="306">
        <v>0</v>
      </c>
      <c r="BJ15" s="306">
        <v>0</v>
      </c>
      <c r="BK15" s="306">
        <v>0</v>
      </c>
      <c r="BL15" s="306">
        <v>0</v>
      </c>
      <c r="BM15" s="306">
        <v>0</v>
      </c>
      <c r="BN15" s="306">
        <v>0</v>
      </c>
      <c r="BO15" s="306">
        <v>0</v>
      </c>
      <c r="BP15" s="306">
        <v>0</v>
      </c>
      <c r="BQ15" s="306">
        <v>0</v>
      </c>
      <c r="BR15" s="306">
        <v>0</v>
      </c>
      <c r="BS15" s="306">
        <v>0</v>
      </c>
      <c r="BT15" s="306">
        <v>0</v>
      </c>
      <c r="BU15" s="306">
        <v>0</v>
      </c>
    </row>
    <row r="16" spans="1:73">
      <c r="A16" s="304" t="s">
        <v>656</v>
      </c>
      <c r="B16" s="306">
        <v>1</v>
      </c>
      <c r="AN16" s="304" t="s">
        <v>656</v>
      </c>
      <c r="AO16" s="306">
        <v>0</v>
      </c>
      <c r="AP16" s="306">
        <v>0</v>
      </c>
      <c r="AQ16" s="306">
        <v>0</v>
      </c>
      <c r="AR16" s="306">
        <v>0</v>
      </c>
      <c r="AS16" s="306">
        <v>0</v>
      </c>
      <c r="AT16" s="306">
        <v>0</v>
      </c>
      <c r="AU16" s="306">
        <v>0</v>
      </c>
      <c r="AV16" s="306">
        <v>0</v>
      </c>
      <c r="AW16" s="306">
        <v>0</v>
      </c>
      <c r="AX16" s="306">
        <v>0</v>
      </c>
      <c r="AY16" s="306">
        <v>0</v>
      </c>
      <c r="AZ16" s="306">
        <v>0</v>
      </c>
      <c r="BA16" s="306">
        <v>0</v>
      </c>
      <c r="BB16" s="306">
        <v>0</v>
      </c>
      <c r="BC16" s="306">
        <v>0</v>
      </c>
      <c r="BF16" s="304" t="s">
        <v>656</v>
      </c>
      <c r="BG16" s="306">
        <v>0</v>
      </c>
      <c r="BH16" s="306">
        <v>0</v>
      </c>
      <c r="BI16" s="306">
        <v>0</v>
      </c>
      <c r="BJ16" s="306">
        <v>0</v>
      </c>
      <c r="BK16" s="306">
        <v>0</v>
      </c>
      <c r="BL16" s="306">
        <v>0</v>
      </c>
      <c r="BM16" s="306">
        <v>0</v>
      </c>
      <c r="BN16" s="306">
        <v>0</v>
      </c>
      <c r="BO16" s="306">
        <v>0</v>
      </c>
      <c r="BP16" s="306">
        <v>0</v>
      </c>
      <c r="BQ16" s="306">
        <v>0</v>
      </c>
      <c r="BR16" s="306">
        <v>0</v>
      </c>
      <c r="BS16" s="306">
        <v>0</v>
      </c>
      <c r="BT16" s="306">
        <v>0</v>
      </c>
      <c r="BU16" s="306">
        <v>0</v>
      </c>
    </row>
    <row r="17" spans="1:73">
      <c r="A17" s="304" t="s">
        <v>657</v>
      </c>
      <c r="B17" s="306">
        <v>1</v>
      </c>
      <c r="AN17" s="304" t="s">
        <v>657</v>
      </c>
      <c r="AO17" s="306">
        <v>0</v>
      </c>
      <c r="AP17" s="306">
        <v>0</v>
      </c>
      <c r="AQ17" s="306">
        <v>0</v>
      </c>
      <c r="AR17" s="306">
        <v>0</v>
      </c>
      <c r="AS17" s="306">
        <v>0</v>
      </c>
      <c r="AT17" s="306">
        <v>0</v>
      </c>
      <c r="AU17" s="306">
        <v>0</v>
      </c>
      <c r="AV17" s="306">
        <v>0</v>
      </c>
      <c r="AW17" s="306">
        <v>0</v>
      </c>
      <c r="AX17" s="306">
        <v>0</v>
      </c>
      <c r="AY17" s="306">
        <v>0</v>
      </c>
      <c r="AZ17" s="306">
        <v>0</v>
      </c>
      <c r="BA17" s="306">
        <v>0</v>
      </c>
      <c r="BB17" s="306">
        <v>0</v>
      </c>
      <c r="BC17" s="306">
        <v>0</v>
      </c>
      <c r="BF17" s="304" t="s">
        <v>657</v>
      </c>
      <c r="BG17" s="306">
        <v>0</v>
      </c>
      <c r="BH17" s="306">
        <v>0</v>
      </c>
      <c r="BI17" s="306">
        <v>0</v>
      </c>
      <c r="BJ17" s="306">
        <v>0</v>
      </c>
      <c r="BK17" s="306">
        <v>0</v>
      </c>
      <c r="BL17" s="306">
        <v>0</v>
      </c>
      <c r="BM17" s="306">
        <v>0</v>
      </c>
      <c r="BN17" s="306">
        <v>0</v>
      </c>
      <c r="BO17" s="306">
        <v>0</v>
      </c>
      <c r="BP17" s="306">
        <v>0</v>
      </c>
      <c r="BQ17" s="306">
        <v>0</v>
      </c>
      <c r="BR17" s="306">
        <v>0</v>
      </c>
      <c r="BS17" s="306">
        <v>0</v>
      </c>
      <c r="BT17" s="306">
        <v>0</v>
      </c>
      <c r="BU17" s="306">
        <v>0</v>
      </c>
    </row>
    <row r="18" spans="1:73">
      <c r="A18" s="304" t="s">
        <v>658</v>
      </c>
      <c r="B18" s="306">
        <v>1</v>
      </c>
      <c r="AN18" s="304" t="s">
        <v>658</v>
      </c>
      <c r="AO18" s="306">
        <v>0</v>
      </c>
      <c r="AP18" s="306">
        <v>0</v>
      </c>
      <c r="AQ18" s="306">
        <v>0</v>
      </c>
      <c r="AR18" s="306">
        <v>0</v>
      </c>
      <c r="AS18" s="306">
        <v>0</v>
      </c>
      <c r="AT18" s="306">
        <v>0</v>
      </c>
      <c r="AU18" s="306">
        <v>0</v>
      </c>
      <c r="AV18" s="306">
        <v>0</v>
      </c>
      <c r="AW18" s="306">
        <v>0</v>
      </c>
      <c r="AX18" s="306">
        <v>0</v>
      </c>
      <c r="AY18" s="306">
        <v>0</v>
      </c>
      <c r="AZ18" s="306">
        <v>0</v>
      </c>
      <c r="BA18" s="306">
        <v>0</v>
      </c>
      <c r="BB18" s="306">
        <v>0</v>
      </c>
      <c r="BC18" s="306">
        <v>0</v>
      </c>
      <c r="BF18" s="304" t="s">
        <v>658</v>
      </c>
      <c r="BG18" s="306">
        <v>0</v>
      </c>
      <c r="BH18" s="306">
        <v>0</v>
      </c>
      <c r="BI18" s="306">
        <v>0</v>
      </c>
      <c r="BJ18" s="306">
        <v>0</v>
      </c>
      <c r="BK18" s="306">
        <v>0</v>
      </c>
      <c r="BL18" s="306">
        <v>0</v>
      </c>
      <c r="BM18" s="306">
        <v>0</v>
      </c>
      <c r="BN18" s="306">
        <v>0</v>
      </c>
      <c r="BO18" s="306">
        <v>0</v>
      </c>
      <c r="BP18" s="306">
        <v>0</v>
      </c>
      <c r="BQ18" s="306">
        <v>0</v>
      </c>
      <c r="BR18" s="306">
        <v>0</v>
      </c>
      <c r="BS18" s="306">
        <v>0</v>
      </c>
      <c r="BT18" s="306">
        <v>0</v>
      </c>
      <c r="BU18" s="306">
        <v>0</v>
      </c>
    </row>
    <row r="19" spans="1:73">
      <c r="A19" s="304" t="s">
        <v>659</v>
      </c>
      <c r="B19" s="306">
        <v>1</v>
      </c>
      <c r="AN19" s="304" t="s">
        <v>659</v>
      </c>
      <c r="AO19" s="306">
        <v>0</v>
      </c>
      <c r="AP19" s="306">
        <v>0</v>
      </c>
      <c r="AQ19" s="306">
        <v>0</v>
      </c>
      <c r="AR19" s="306">
        <v>0</v>
      </c>
      <c r="AS19" s="306">
        <v>0</v>
      </c>
      <c r="AT19" s="306">
        <v>0</v>
      </c>
      <c r="AU19" s="306">
        <v>0</v>
      </c>
      <c r="AV19" s="306">
        <v>0</v>
      </c>
      <c r="AW19" s="306">
        <v>0</v>
      </c>
      <c r="AX19" s="306">
        <v>0</v>
      </c>
      <c r="AY19" s="306">
        <v>0</v>
      </c>
      <c r="AZ19" s="306">
        <v>0</v>
      </c>
      <c r="BA19" s="306">
        <v>0</v>
      </c>
      <c r="BB19" s="306">
        <v>0</v>
      </c>
      <c r="BC19" s="306">
        <v>0</v>
      </c>
      <c r="BF19" s="304" t="s">
        <v>659</v>
      </c>
      <c r="BG19" s="306">
        <v>0</v>
      </c>
      <c r="BH19" s="306">
        <v>0</v>
      </c>
      <c r="BI19" s="306">
        <v>0</v>
      </c>
      <c r="BJ19" s="306">
        <v>0</v>
      </c>
      <c r="BK19" s="306">
        <v>0</v>
      </c>
      <c r="BL19" s="306">
        <v>0</v>
      </c>
      <c r="BM19" s="306">
        <v>0</v>
      </c>
      <c r="BN19" s="306">
        <v>0</v>
      </c>
      <c r="BO19" s="306">
        <v>0</v>
      </c>
      <c r="BP19" s="306">
        <v>0</v>
      </c>
      <c r="BQ19" s="306">
        <v>0</v>
      </c>
      <c r="BR19" s="306">
        <v>0</v>
      </c>
      <c r="BS19" s="306">
        <v>0</v>
      </c>
      <c r="BT19" s="306">
        <v>0</v>
      </c>
      <c r="BU19" s="306">
        <v>0</v>
      </c>
    </row>
    <row r="20" spans="1:73">
      <c r="A20" s="304" t="s">
        <v>660</v>
      </c>
      <c r="B20" s="306">
        <v>1</v>
      </c>
      <c r="AN20" s="304" t="s">
        <v>660</v>
      </c>
      <c r="AO20" s="306">
        <v>0</v>
      </c>
      <c r="AP20" s="306">
        <v>0</v>
      </c>
      <c r="AQ20" s="306">
        <v>0</v>
      </c>
      <c r="AR20" s="306">
        <v>0</v>
      </c>
      <c r="AS20" s="306">
        <v>0</v>
      </c>
      <c r="AT20" s="306">
        <v>0</v>
      </c>
      <c r="AU20" s="306">
        <v>0</v>
      </c>
      <c r="AV20" s="306">
        <v>0</v>
      </c>
      <c r="AW20" s="306">
        <v>0</v>
      </c>
      <c r="AX20" s="306">
        <v>0</v>
      </c>
      <c r="AY20" s="306">
        <v>0</v>
      </c>
      <c r="AZ20" s="306">
        <v>0</v>
      </c>
      <c r="BA20" s="306">
        <v>0</v>
      </c>
      <c r="BB20" s="306">
        <v>0</v>
      </c>
      <c r="BC20" s="306">
        <v>0</v>
      </c>
      <c r="BF20" s="304" t="s">
        <v>660</v>
      </c>
      <c r="BG20" s="306">
        <v>0</v>
      </c>
      <c r="BH20" s="306">
        <v>0</v>
      </c>
      <c r="BI20" s="306">
        <v>0</v>
      </c>
      <c r="BJ20" s="306">
        <v>0</v>
      </c>
      <c r="BK20" s="306">
        <v>0</v>
      </c>
      <c r="BL20" s="306">
        <v>0</v>
      </c>
      <c r="BM20" s="306">
        <v>0</v>
      </c>
      <c r="BN20" s="306">
        <v>0</v>
      </c>
      <c r="BO20" s="306">
        <v>0</v>
      </c>
      <c r="BP20" s="306">
        <v>0</v>
      </c>
      <c r="BQ20" s="306">
        <v>0</v>
      </c>
      <c r="BR20" s="306">
        <v>0</v>
      </c>
      <c r="BS20" s="306">
        <v>0</v>
      </c>
      <c r="BT20" s="306">
        <v>0</v>
      </c>
      <c r="BU20" s="306">
        <v>0</v>
      </c>
    </row>
    <row r="21" spans="1:73">
      <c r="A21" s="304" t="s">
        <v>661</v>
      </c>
      <c r="B21" s="306">
        <v>1</v>
      </c>
      <c r="AN21" s="304" t="s">
        <v>661</v>
      </c>
      <c r="AO21" s="306">
        <v>0</v>
      </c>
      <c r="AP21" s="306">
        <v>0</v>
      </c>
      <c r="AQ21" s="306">
        <v>0</v>
      </c>
      <c r="AR21" s="306">
        <v>0</v>
      </c>
      <c r="AS21" s="306">
        <v>0</v>
      </c>
      <c r="AT21" s="306">
        <v>0</v>
      </c>
      <c r="AU21" s="306">
        <v>0</v>
      </c>
      <c r="AV21" s="306">
        <v>0</v>
      </c>
      <c r="AW21" s="306">
        <v>0</v>
      </c>
      <c r="AX21" s="306">
        <v>0</v>
      </c>
      <c r="AY21" s="306">
        <v>0</v>
      </c>
      <c r="AZ21" s="306">
        <v>0</v>
      </c>
      <c r="BA21" s="306">
        <v>0</v>
      </c>
      <c r="BB21" s="306">
        <v>0</v>
      </c>
      <c r="BC21" s="306">
        <v>0</v>
      </c>
      <c r="BF21" s="304" t="s">
        <v>661</v>
      </c>
      <c r="BG21" s="306">
        <v>0</v>
      </c>
      <c r="BH21" s="306">
        <v>0</v>
      </c>
      <c r="BI21" s="306">
        <v>0</v>
      </c>
      <c r="BJ21" s="306">
        <v>0</v>
      </c>
      <c r="BK21" s="306">
        <v>0</v>
      </c>
      <c r="BL21" s="306">
        <v>0</v>
      </c>
      <c r="BM21" s="306">
        <v>0</v>
      </c>
      <c r="BN21" s="306">
        <v>0</v>
      </c>
      <c r="BO21" s="306">
        <v>0</v>
      </c>
      <c r="BP21" s="306">
        <v>0</v>
      </c>
      <c r="BQ21" s="306">
        <v>0</v>
      </c>
      <c r="BR21" s="306">
        <v>0</v>
      </c>
      <c r="BS21" s="306">
        <v>0</v>
      </c>
      <c r="BT21" s="306">
        <v>0</v>
      </c>
      <c r="BU21" s="306">
        <v>0</v>
      </c>
    </row>
    <row r="22" spans="1:73">
      <c r="A22" s="304" t="s">
        <v>662</v>
      </c>
      <c r="B22" s="306">
        <v>1</v>
      </c>
      <c r="AN22" s="304" t="s">
        <v>662</v>
      </c>
      <c r="AO22" s="306">
        <v>0</v>
      </c>
      <c r="AP22" s="306">
        <v>0</v>
      </c>
      <c r="AQ22" s="306">
        <v>0</v>
      </c>
      <c r="AR22" s="306">
        <v>0</v>
      </c>
      <c r="AS22" s="306">
        <v>0</v>
      </c>
      <c r="AT22" s="306">
        <v>0</v>
      </c>
      <c r="AU22" s="306">
        <v>0</v>
      </c>
      <c r="AV22" s="306">
        <v>0</v>
      </c>
      <c r="AW22" s="306">
        <v>0</v>
      </c>
      <c r="AX22" s="306">
        <v>0</v>
      </c>
      <c r="AY22" s="306">
        <v>0</v>
      </c>
      <c r="AZ22" s="306">
        <v>0</v>
      </c>
      <c r="BA22" s="306">
        <v>0</v>
      </c>
      <c r="BB22" s="306">
        <v>0</v>
      </c>
      <c r="BC22" s="306">
        <v>0</v>
      </c>
      <c r="BF22" s="304" t="s">
        <v>662</v>
      </c>
      <c r="BG22" s="306">
        <v>0</v>
      </c>
      <c r="BH22" s="306">
        <v>0</v>
      </c>
      <c r="BI22" s="306">
        <v>0</v>
      </c>
      <c r="BJ22" s="306">
        <v>0</v>
      </c>
      <c r="BK22" s="306">
        <v>0</v>
      </c>
      <c r="BL22" s="306">
        <v>0</v>
      </c>
      <c r="BM22" s="306">
        <v>0</v>
      </c>
      <c r="BN22" s="306">
        <v>0</v>
      </c>
      <c r="BO22" s="306">
        <v>0</v>
      </c>
      <c r="BP22" s="306">
        <v>0</v>
      </c>
      <c r="BQ22" s="306">
        <v>0</v>
      </c>
      <c r="BR22" s="306">
        <v>0</v>
      </c>
      <c r="BS22" s="306">
        <v>0</v>
      </c>
      <c r="BT22" s="306">
        <v>0</v>
      </c>
      <c r="BU22" s="306">
        <v>0</v>
      </c>
    </row>
    <row r="23" spans="1:73">
      <c r="A23" s="304" t="s">
        <v>663</v>
      </c>
      <c r="B23" s="306">
        <v>1</v>
      </c>
      <c r="AN23" s="304" t="s">
        <v>663</v>
      </c>
      <c r="AO23" s="306">
        <v>0</v>
      </c>
      <c r="AP23" s="306">
        <v>0</v>
      </c>
      <c r="AQ23" s="306">
        <v>0</v>
      </c>
      <c r="AR23" s="306">
        <v>0</v>
      </c>
      <c r="AS23" s="306">
        <v>0</v>
      </c>
      <c r="AT23" s="306">
        <v>0</v>
      </c>
      <c r="AU23" s="306">
        <v>0</v>
      </c>
      <c r="AV23" s="306">
        <v>0</v>
      </c>
      <c r="AW23" s="306">
        <v>0</v>
      </c>
      <c r="AX23" s="306">
        <v>0</v>
      </c>
      <c r="AY23" s="306">
        <v>0</v>
      </c>
      <c r="AZ23" s="306">
        <v>0</v>
      </c>
      <c r="BA23" s="306">
        <v>0</v>
      </c>
      <c r="BB23" s="306">
        <v>0</v>
      </c>
      <c r="BC23" s="306">
        <v>0</v>
      </c>
      <c r="BF23" s="304" t="s">
        <v>663</v>
      </c>
      <c r="BG23" s="306">
        <v>0</v>
      </c>
      <c r="BH23" s="306">
        <v>0</v>
      </c>
      <c r="BI23" s="306">
        <v>0</v>
      </c>
      <c r="BJ23" s="306">
        <v>0</v>
      </c>
      <c r="BK23" s="306">
        <v>0</v>
      </c>
      <c r="BL23" s="306">
        <v>0</v>
      </c>
      <c r="BM23" s="306">
        <v>0</v>
      </c>
      <c r="BN23" s="306">
        <v>0</v>
      </c>
      <c r="BO23" s="306">
        <v>0</v>
      </c>
      <c r="BP23" s="306">
        <v>0</v>
      </c>
      <c r="BQ23" s="306">
        <v>0</v>
      </c>
      <c r="BR23" s="306">
        <v>0</v>
      </c>
      <c r="BS23" s="306">
        <v>0</v>
      </c>
      <c r="BT23" s="306">
        <v>0</v>
      </c>
      <c r="BU23" s="306">
        <v>0</v>
      </c>
    </row>
    <row r="24" spans="1:73">
      <c r="A24" s="304" t="s">
        <v>664</v>
      </c>
      <c r="B24" s="306">
        <v>1</v>
      </c>
      <c r="AN24" s="304" t="s">
        <v>664</v>
      </c>
      <c r="AO24" s="306">
        <v>0</v>
      </c>
      <c r="AP24" s="306">
        <v>0</v>
      </c>
      <c r="AQ24" s="306">
        <v>0</v>
      </c>
      <c r="AR24" s="306">
        <v>0</v>
      </c>
      <c r="AS24" s="306">
        <v>0</v>
      </c>
      <c r="AT24" s="306">
        <v>0</v>
      </c>
      <c r="AU24" s="306">
        <v>0</v>
      </c>
      <c r="AV24" s="306">
        <v>0</v>
      </c>
      <c r="AW24" s="306">
        <v>0</v>
      </c>
      <c r="AX24" s="306">
        <v>0</v>
      </c>
      <c r="AY24" s="306">
        <v>0</v>
      </c>
      <c r="AZ24" s="306">
        <v>0</v>
      </c>
      <c r="BA24" s="306">
        <v>0</v>
      </c>
      <c r="BB24" s="306">
        <v>0</v>
      </c>
      <c r="BC24" s="306">
        <v>0</v>
      </c>
      <c r="BF24" s="304" t="s">
        <v>664</v>
      </c>
      <c r="BG24" s="306">
        <v>0</v>
      </c>
      <c r="BH24" s="306">
        <v>0</v>
      </c>
      <c r="BI24" s="306">
        <v>0</v>
      </c>
      <c r="BJ24" s="306">
        <v>0</v>
      </c>
      <c r="BK24" s="306">
        <v>0</v>
      </c>
      <c r="BL24" s="306">
        <v>0</v>
      </c>
      <c r="BM24" s="306">
        <v>0</v>
      </c>
      <c r="BN24" s="306">
        <v>0</v>
      </c>
      <c r="BO24" s="306">
        <v>0</v>
      </c>
      <c r="BP24" s="306">
        <v>0</v>
      </c>
      <c r="BQ24" s="306">
        <v>0</v>
      </c>
      <c r="BR24" s="306">
        <v>0</v>
      </c>
      <c r="BS24" s="306">
        <v>0</v>
      </c>
      <c r="BT24" s="306">
        <v>0</v>
      </c>
      <c r="BU24" s="306">
        <v>0</v>
      </c>
    </row>
    <row r="25" spans="1:73">
      <c r="A25" s="304" t="s">
        <v>665</v>
      </c>
      <c r="B25" s="306">
        <v>1</v>
      </c>
      <c r="AN25" s="304" t="s">
        <v>665</v>
      </c>
      <c r="AO25" s="306">
        <v>0</v>
      </c>
      <c r="AP25" s="306">
        <v>0</v>
      </c>
      <c r="AQ25" s="306">
        <v>0</v>
      </c>
      <c r="AR25" s="306">
        <v>0</v>
      </c>
      <c r="AS25" s="306">
        <v>0</v>
      </c>
      <c r="AT25" s="306">
        <v>0</v>
      </c>
      <c r="AU25" s="306">
        <v>0</v>
      </c>
      <c r="AV25" s="306">
        <v>0</v>
      </c>
      <c r="AW25" s="306">
        <v>0</v>
      </c>
      <c r="AX25" s="306">
        <v>0</v>
      </c>
      <c r="AY25" s="306">
        <v>0</v>
      </c>
      <c r="AZ25" s="306">
        <v>0</v>
      </c>
      <c r="BA25" s="306">
        <v>0</v>
      </c>
      <c r="BB25" s="306">
        <v>0</v>
      </c>
      <c r="BC25" s="306">
        <v>0</v>
      </c>
      <c r="BF25" s="304" t="s">
        <v>665</v>
      </c>
      <c r="BG25" s="306">
        <v>0</v>
      </c>
      <c r="BH25" s="306">
        <v>0</v>
      </c>
      <c r="BI25" s="306">
        <v>0</v>
      </c>
      <c r="BJ25" s="306">
        <v>0</v>
      </c>
      <c r="BK25" s="306">
        <v>0</v>
      </c>
      <c r="BL25" s="306">
        <v>0</v>
      </c>
      <c r="BM25" s="306">
        <v>0</v>
      </c>
      <c r="BN25" s="306">
        <v>0</v>
      </c>
      <c r="BO25" s="306">
        <v>0</v>
      </c>
      <c r="BP25" s="306">
        <v>0</v>
      </c>
      <c r="BQ25" s="306">
        <v>0</v>
      </c>
      <c r="BR25" s="306">
        <v>0</v>
      </c>
      <c r="BS25" s="306">
        <v>0</v>
      </c>
      <c r="BT25" s="306">
        <v>0</v>
      </c>
      <c r="BU25" s="306">
        <v>0</v>
      </c>
    </row>
    <row r="26" spans="1:73">
      <c r="A26" s="304" t="s">
        <v>666</v>
      </c>
      <c r="B26" s="306">
        <v>1</v>
      </c>
      <c r="AN26" s="304" t="s">
        <v>666</v>
      </c>
      <c r="AO26" s="306">
        <v>0</v>
      </c>
      <c r="AP26" s="306">
        <v>0</v>
      </c>
      <c r="AQ26" s="306">
        <v>0</v>
      </c>
      <c r="AR26" s="306">
        <v>0</v>
      </c>
      <c r="AS26" s="306">
        <v>0</v>
      </c>
      <c r="AT26" s="306">
        <v>0</v>
      </c>
      <c r="AU26" s="306">
        <v>0</v>
      </c>
      <c r="AV26" s="306">
        <v>0</v>
      </c>
      <c r="AW26" s="306">
        <v>0</v>
      </c>
      <c r="AX26" s="306">
        <v>0</v>
      </c>
      <c r="AY26" s="306">
        <v>0</v>
      </c>
      <c r="AZ26" s="306">
        <v>0</v>
      </c>
      <c r="BA26" s="306">
        <v>0</v>
      </c>
      <c r="BB26" s="306">
        <v>0</v>
      </c>
      <c r="BC26" s="306">
        <v>0</v>
      </c>
      <c r="BF26" s="304" t="s">
        <v>666</v>
      </c>
      <c r="BG26" s="306">
        <v>0</v>
      </c>
      <c r="BH26" s="306">
        <v>0</v>
      </c>
      <c r="BI26" s="306">
        <v>0</v>
      </c>
      <c r="BJ26" s="306">
        <v>0</v>
      </c>
      <c r="BK26" s="306">
        <v>0</v>
      </c>
      <c r="BL26" s="306">
        <v>0</v>
      </c>
      <c r="BM26" s="306">
        <v>0</v>
      </c>
      <c r="BN26" s="306">
        <v>0</v>
      </c>
      <c r="BO26" s="306">
        <v>0</v>
      </c>
      <c r="BP26" s="306">
        <v>0</v>
      </c>
      <c r="BQ26" s="306">
        <v>0</v>
      </c>
      <c r="BR26" s="306">
        <v>0</v>
      </c>
      <c r="BS26" s="306">
        <v>0</v>
      </c>
      <c r="BT26" s="306">
        <v>0</v>
      </c>
      <c r="BU26" s="306">
        <v>0</v>
      </c>
    </row>
    <row r="27" spans="1:73">
      <c r="A27" s="304" t="s">
        <v>667</v>
      </c>
      <c r="B27" s="306">
        <v>1</v>
      </c>
      <c r="AN27" s="304" t="s">
        <v>667</v>
      </c>
      <c r="AO27" s="306">
        <v>0</v>
      </c>
      <c r="AP27" s="306">
        <v>0</v>
      </c>
      <c r="AQ27" s="306">
        <v>0</v>
      </c>
      <c r="AR27" s="306">
        <v>0</v>
      </c>
      <c r="AS27" s="306">
        <v>0</v>
      </c>
      <c r="AT27" s="306">
        <v>0</v>
      </c>
      <c r="AU27" s="306">
        <v>0</v>
      </c>
      <c r="AV27" s="306">
        <v>0</v>
      </c>
      <c r="AW27" s="306">
        <v>0</v>
      </c>
      <c r="AX27" s="306">
        <v>0</v>
      </c>
      <c r="AY27" s="306">
        <v>0</v>
      </c>
      <c r="AZ27" s="306">
        <v>0</v>
      </c>
      <c r="BA27" s="306">
        <v>0</v>
      </c>
      <c r="BB27" s="306">
        <v>0</v>
      </c>
      <c r="BC27" s="306">
        <v>0</v>
      </c>
      <c r="BF27" s="304" t="s">
        <v>667</v>
      </c>
      <c r="BG27" s="306">
        <v>0</v>
      </c>
      <c r="BH27" s="306">
        <v>0</v>
      </c>
      <c r="BI27" s="306">
        <v>0</v>
      </c>
      <c r="BJ27" s="306">
        <v>0</v>
      </c>
      <c r="BK27" s="306">
        <v>0</v>
      </c>
      <c r="BL27" s="306">
        <v>0</v>
      </c>
      <c r="BM27" s="306">
        <v>0</v>
      </c>
      <c r="BN27" s="306">
        <v>0</v>
      </c>
      <c r="BO27" s="306">
        <v>0</v>
      </c>
      <c r="BP27" s="306">
        <v>0</v>
      </c>
      <c r="BQ27" s="306">
        <v>0</v>
      </c>
      <c r="BR27" s="306">
        <v>0</v>
      </c>
      <c r="BS27" s="306">
        <v>0</v>
      </c>
      <c r="BT27" s="306">
        <v>0</v>
      </c>
      <c r="BU27" s="306">
        <v>0</v>
      </c>
    </row>
    <row r="28" spans="1:73">
      <c r="A28" s="304" t="s">
        <v>668</v>
      </c>
      <c r="B28" s="306">
        <v>1</v>
      </c>
      <c r="AN28" s="304" t="s">
        <v>668</v>
      </c>
      <c r="AO28" s="306">
        <v>0</v>
      </c>
      <c r="AP28" s="306">
        <v>0</v>
      </c>
      <c r="AQ28" s="306">
        <v>0</v>
      </c>
      <c r="AR28" s="306">
        <v>0</v>
      </c>
      <c r="AS28" s="306">
        <v>0</v>
      </c>
      <c r="AT28" s="306">
        <v>0</v>
      </c>
      <c r="AU28" s="306">
        <v>0</v>
      </c>
      <c r="AV28" s="306">
        <v>0</v>
      </c>
      <c r="AW28" s="306">
        <v>0</v>
      </c>
      <c r="AX28" s="306">
        <v>0</v>
      </c>
      <c r="AY28" s="306">
        <v>0</v>
      </c>
      <c r="AZ28" s="306">
        <v>0</v>
      </c>
      <c r="BA28" s="306">
        <v>0</v>
      </c>
      <c r="BB28" s="306">
        <v>0</v>
      </c>
      <c r="BC28" s="306">
        <v>0</v>
      </c>
      <c r="BF28" s="304" t="s">
        <v>668</v>
      </c>
      <c r="BG28" s="306">
        <v>0</v>
      </c>
      <c r="BH28" s="306">
        <v>0</v>
      </c>
      <c r="BI28" s="306">
        <v>0</v>
      </c>
      <c r="BJ28" s="306">
        <v>0</v>
      </c>
      <c r="BK28" s="306">
        <v>0</v>
      </c>
      <c r="BL28" s="306">
        <v>0</v>
      </c>
      <c r="BM28" s="306">
        <v>0</v>
      </c>
      <c r="BN28" s="306">
        <v>0</v>
      </c>
      <c r="BO28" s="306">
        <v>0</v>
      </c>
      <c r="BP28" s="306">
        <v>0</v>
      </c>
      <c r="BQ28" s="306">
        <v>0</v>
      </c>
      <c r="BR28" s="306">
        <v>0</v>
      </c>
      <c r="BS28" s="306">
        <v>0</v>
      </c>
      <c r="BT28" s="306">
        <v>0</v>
      </c>
      <c r="BU28" s="306">
        <v>0</v>
      </c>
    </row>
    <row r="29" spans="1:73">
      <c r="A29" s="304" t="s">
        <v>669</v>
      </c>
      <c r="B29" s="306">
        <v>1</v>
      </c>
      <c r="AN29" s="304" t="s">
        <v>669</v>
      </c>
      <c r="AO29" s="306">
        <v>0</v>
      </c>
      <c r="AP29" s="306">
        <v>0</v>
      </c>
      <c r="AQ29" s="306">
        <v>0</v>
      </c>
      <c r="AR29" s="306">
        <v>0</v>
      </c>
      <c r="AS29" s="306">
        <v>0</v>
      </c>
      <c r="AT29" s="306">
        <v>0</v>
      </c>
      <c r="AU29" s="306">
        <v>0</v>
      </c>
      <c r="AV29" s="306">
        <v>0</v>
      </c>
      <c r="AW29" s="306">
        <v>0</v>
      </c>
      <c r="AX29" s="306">
        <v>0</v>
      </c>
      <c r="AY29" s="306">
        <v>0</v>
      </c>
      <c r="AZ29" s="306">
        <v>0</v>
      </c>
      <c r="BA29" s="306">
        <v>0</v>
      </c>
      <c r="BB29" s="306">
        <v>0</v>
      </c>
      <c r="BC29" s="306">
        <v>0</v>
      </c>
      <c r="BF29" s="304" t="s">
        <v>669</v>
      </c>
      <c r="BG29" s="306">
        <v>0</v>
      </c>
      <c r="BH29" s="306">
        <v>0</v>
      </c>
      <c r="BI29" s="306">
        <v>0</v>
      </c>
      <c r="BJ29" s="306">
        <v>0</v>
      </c>
      <c r="BK29" s="306">
        <v>0</v>
      </c>
      <c r="BL29" s="306">
        <v>0</v>
      </c>
      <c r="BM29" s="306">
        <v>0</v>
      </c>
      <c r="BN29" s="306">
        <v>0</v>
      </c>
      <c r="BO29" s="306">
        <v>0</v>
      </c>
      <c r="BP29" s="306">
        <v>0</v>
      </c>
      <c r="BQ29" s="306">
        <v>0</v>
      </c>
      <c r="BR29" s="306">
        <v>0</v>
      </c>
      <c r="BS29" s="306">
        <v>0</v>
      </c>
      <c r="BT29" s="306">
        <v>0</v>
      </c>
      <c r="BU29" s="306">
        <v>0</v>
      </c>
    </row>
    <row r="30" spans="1:73">
      <c r="A30" s="304" t="s">
        <v>670</v>
      </c>
      <c r="B30" s="306">
        <v>1</v>
      </c>
      <c r="AN30" s="304" t="s">
        <v>670</v>
      </c>
      <c r="AO30" s="306">
        <v>0</v>
      </c>
      <c r="AP30" s="306">
        <v>0</v>
      </c>
      <c r="AQ30" s="306">
        <v>0</v>
      </c>
      <c r="AR30" s="306">
        <v>0</v>
      </c>
      <c r="AS30" s="306">
        <v>0</v>
      </c>
      <c r="AT30" s="306">
        <v>0</v>
      </c>
      <c r="AU30" s="306">
        <v>0</v>
      </c>
      <c r="AV30" s="306">
        <v>0</v>
      </c>
      <c r="AW30" s="306">
        <v>0</v>
      </c>
      <c r="AX30" s="306">
        <v>0</v>
      </c>
      <c r="AY30" s="306">
        <v>0</v>
      </c>
      <c r="AZ30" s="306">
        <v>0</v>
      </c>
      <c r="BA30" s="306">
        <v>0</v>
      </c>
      <c r="BB30" s="306">
        <v>0</v>
      </c>
      <c r="BC30" s="306">
        <v>0</v>
      </c>
      <c r="BF30" s="304" t="s">
        <v>670</v>
      </c>
      <c r="BG30" s="306">
        <v>0</v>
      </c>
      <c r="BH30" s="306">
        <v>0</v>
      </c>
      <c r="BI30" s="306">
        <v>0</v>
      </c>
      <c r="BJ30" s="306">
        <v>0</v>
      </c>
      <c r="BK30" s="306">
        <v>0</v>
      </c>
      <c r="BL30" s="306">
        <v>0</v>
      </c>
      <c r="BM30" s="306">
        <v>0</v>
      </c>
      <c r="BN30" s="306">
        <v>0</v>
      </c>
      <c r="BO30" s="306">
        <v>0</v>
      </c>
      <c r="BP30" s="306">
        <v>0</v>
      </c>
      <c r="BQ30" s="306">
        <v>0</v>
      </c>
      <c r="BR30" s="306">
        <v>0</v>
      </c>
      <c r="BS30" s="306">
        <v>0</v>
      </c>
      <c r="BT30" s="306">
        <v>0</v>
      </c>
      <c r="BU30" s="306">
        <v>0</v>
      </c>
    </row>
    <row r="31" spans="1:73">
      <c r="A31" s="304" t="s">
        <v>671</v>
      </c>
      <c r="B31" s="306">
        <v>1</v>
      </c>
      <c r="AN31" s="304" t="s">
        <v>671</v>
      </c>
      <c r="AO31" s="306">
        <v>0</v>
      </c>
      <c r="AP31" s="306">
        <v>0</v>
      </c>
      <c r="AQ31" s="306">
        <v>0</v>
      </c>
      <c r="AR31" s="306">
        <v>0</v>
      </c>
      <c r="AS31" s="306">
        <v>0</v>
      </c>
      <c r="AT31" s="306">
        <v>0</v>
      </c>
      <c r="AU31" s="306">
        <v>0</v>
      </c>
      <c r="AV31" s="306">
        <v>0</v>
      </c>
      <c r="AW31" s="306">
        <v>0</v>
      </c>
      <c r="AX31" s="306">
        <v>0</v>
      </c>
      <c r="AY31" s="306">
        <v>0</v>
      </c>
      <c r="AZ31" s="306">
        <v>0</v>
      </c>
      <c r="BA31" s="306">
        <v>0</v>
      </c>
      <c r="BB31" s="306">
        <v>0</v>
      </c>
      <c r="BC31" s="306">
        <v>0</v>
      </c>
      <c r="BF31" s="304" t="s">
        <v>671</v>
      </c>
      <c r="BG31" s="306">
        <v>0</v>
      </c>
      <c r="BH31" s="306">
        <v>0</v>
      </c>
      <c r="BI31" s="306">
        <v>0</v>
      </c>
      <c r="BJ31" s="306">
        <v>0</v>
      </c>
      <c r="BK31" s="306">
        <v>0</v>
      </c>
      <c r="BL31" s="306">
        <v>0</v>
      </c>
      <c r="BM31" s="306">
        <v>0</v>
      </c>
      <c r="BN31" s="306">
        <v>0</v>
      </c>
      <c r="BO31" s="306">
        <v>0</v>
      </c>
      <c r="BP31" s="306">
        <v>0</v>
      </c>
      <c r="BQ31" s="306">
        <v>0</v>
      </c>
      <c r="BR31" s="306">
        <v>0</v>
      </c>
      <c r="BS31" s="306">
        <v>0</v>
      </c>
      <c r="BT31" s="306">
        <v>0</v>
      </c>
      <c r="BU31" s="306">
        <v>0</v>
      </c>
    </row>
    <row r="32" spans="1:73">
      <c r="A32" s="304" t="s">
        <v>672</v>
      </c>
      <c r="B32" s="306">
        <v>1</v>
      </c>
      <c r="AN32" s="304" t="s">
        <v>672</v>
      </c>
      <c r="AO32" s="306">
        <v>0</v>
      </c>
      <c r="AP32" s="306">
        <v>0</v>
      </c>
      <c r="AQ32" s="306">
        <v>0</v>
      </c>
      <c r="AR32" s="306">
        <v>0</v>
      </c>
      <c r="AS32" s="306">
        <v>0</v>
      </c>
      <c r="AT32" s="306">
        <v>0</v>
      </c>
      <c r="AU32" s="306">
        <v>0</v>
      </c>
      <c r="AV32" s="306">
        <v>0</v>
      </c>
      <c r="AW32" s="306">
        <v>0</v>
      </c>
      <c r="AX32" s="306">
        <v>0</v>
      </c>
      <c r="AY32" s="306">
        <v>0</v>
      </c>
      <c r="AZ32" s="306">
        <v>0</v>
      </c>
      <c r="BA32" s="306">
        <v>0</v>
      </c>
      <c r="BB32" s="306">
        <v>0</v>
      </c>
      <c r="BC32" s="306">
        <v>0</v>
      </c>
      <c r="BF32" s="304" t="s">
        <v>672</v>
      </c>
      <c r="BG32" s="306">
        <v>0</v>
      </c>
      <c r="BH32" s="306">
        <v>0</v>
      </c>
      <c r="BI32" s="306">
        <v>0</v>
      </c>
      <c r="BJ32" s="306">
        <v>0</v>
      </c>
      <c r="BK32" s="306">
        <v>0</v>
      </c>
      <c r="BL32" s="306">
        <v>0</v>
      </c>
      <c r="BM32" s="306">
        <v>0</v>
      </c>
      <c r="BN32" s="306">
        <v>0</v>
      </c>
      <c r="BO32" s="306">
        <v>0</v>
      </c>
      <c r="BP32" s="306">
        <v>0</v>
      </c>
      <c r="BQ32" s="306">
        <v>0</v>
      </c>
      <c r="BR32" s="306">
        <v>0</v>
      </c>
      <c r="BS32" s="306">
        <v>0</v>
      </c>
      <c r="BT32" s="306">
        <v>0</v>
      </c>
      <c r="BU32" s="306">
        <v>0</v>
      </c>
    </row>
    <row r="33" spans="1:73">
      <c r="A33" s="304" t="s">
        <v>673</v>
      </c>
      <c r="B33" s="306">
        <v>1</v>
      </c>
      <c r="AN33" s="304" t="s">
        <v>673</v>
      </c>
      <c r="AO33" s="306">
        <v>0</v>
      </c>
      <c r="AP33" s="306">
        <v>0</v>
      </c>
      <c r="AQ33" s="306">
        <v>0</v>
      </c>
      <c r="AR33" s="306">
        <v>0</v>
      </c>
      <c r="AS33" s="306">
        <v>0</v>
      </c>
      <c r="AT33" s="306">
        <v>0</v>
      </c>
      <c r="AU33" s="306">
        <v>0</v>
      </c>
      <c r="AV33" s="306">
        <v>0</v>
      </c>
      <c r="AW33" s="306">
        <v>0</v>
      </c>
      <c r="AX33" s="306">
        <v>0</v>
      </c>
      <c r="AY33" s="306">
        <v>0</v>
      </c>
      <c r="AZ33" s="306">
        <v>0</v>
      </c>
      <c r="BA33" s="306">
        <v>0</v>
      </c>
      <c r="BB33" s="306">
        <v>0</v>
      </c>
      <c r="BC33" s="306">
        <v>0</v>
      </c>
      <c r="BF33" s="304" t="s">
        <v>673</v>
      </c>
      <c r="BG33" s="306">
        <v>0</v>
      </c>
      <c r="BH33" s="306">
        <v>0</v>
      </c>
      <c r="BI33" s="306">
        <v>0</v>
      </c>
      <c r="BJ33" s="306">
        <v>0</v>
      </c>
      <c r="BK33" s="306">
        <v>0</v>
      </c>
      <c r="BL33" s="306">
        <v>0</v>
      </c>
      <c r="BM33" s="306">
        <v>0</v>
      </c>
      <c r="BN33" s="306">
        <v>0</v>
      </c>
      <c r="BO33" s="306">
        <v>0</v>
      </c>
      <c r="BP33" s="306">
        <v>0</v>
      </c>
      <c r="BQ33" s="306">
        <v>0</v>
      </c>
      <c r="BR33" s="306">
        <v>0</v>
      </c>
      <c r="BS33" s="306">
        <v>0</v>
      </c>
      <c r="BT33" s="306">
        <v>0</v>
      </c>
      <c r="BU33" s="306">
        <v>0</v>
      </c>
    </row>
    <row r="34" spans="1:73">
      <c r="A34" s="304" t="s">
        <v>674</v>
      </c>
      <c r="B34" s="306">
        <v>1</v>
      </c>
      <c r="AN34" s="304" t="s">
        <v>674</v>
      </c>
      <c r="AO34" s="306">
        <v>0</v>
      </c>
      <c r="AP34" s="306">
        <v>0</v>
      </c>
      <c r="AQ34" s="306">
        <v>0</v>
      </c>
      <c r="AR34" s="306">
        <v>0</v>
      </c>
      <c r="AS34" s="306">
        <v>0</v>
      </c>
      <c r="AT34" s="306">
        <v>0</v>
      </c>
      <c r="AU34" s="306">
        <v>0</v>
      </c>
      <c r="AV34" s="306">
        <v>0</v>
      </c>
      <c r="AW34" s="306">
        <v>0</v>
      </c>
      <c r="AX34" s="306">
        <v>0</v>
      </c>
      <c r="AY34" s="306">
        <v>0</v>
      </c>
      <c r="AZ34" s="306">
        <v>0</v>
      </c>
      <c r="BA34" s="306">
        <v>0</v>
      </c>
      <c r="BB34" s="306">
        <v>0</v>
      </c>
      <c r="BC34" s="306">
        <v>0</v>
      </c>
      <c r="BF34" s="304" t="s">
        <v>674</v>
      </c>
      <c r="BG34" s="306">
        <v>0</v>
      </c>
      <c r="BH34" s="306">
        <v>0</v>
      </c>
      <c r="BI34" s="306">
        <v>0</v>
      </c>
      <c r="BJ34" s="306">
        <v>0</v>
      </c>
      <c r="BK34" s="306">
        <v>0</v>
      </c>
      <c r="BL34" s="306">
        <v>0</v>
      </c>
      <c r="BM34" s="306">
        <v>0</v>
      </c>
      <c r="BN34" s="306">
        <v>0</v>
      </c>
      <c r="BO34" s="306">
        <v>0</v>
      </c>
      <c r="BP34" s="306">
        <v>0</v>
      </c>
      <c r="BQ34" s="306">
        <v>0</v>
      </c>
      <c r="BR34" s="306">
        <v>0</v>
      </c>
      <c r="BS34" s="306">
        <v>0</v>
      </c>
      <c r="BT34" s="306">
        <v>0</v>
      </c>
      <c r="BU34" s="306">
        <v>0</v>
      </c>
    </row>
    <row r="35" spans="1:73">
      <c r="A35" s="304" t="s">
        <v>675</v>
      </c>
      <c r="B35" s="306">
        <v>1</v>
      </c>
      <c r="AN35" s="304" t="s">
        <v>675</v>
      </c>
      <c r="AO35" s="306">
        <v>0</v>
      </c>
      <c r="AP35" s="306">
        <v>0</v>
      </c>
      <c r="AQ35" s="306">
        <v>0</v>
      </c>
      <c r="AR35" s="306">
        <v>0</v>
      </c>
      <c r="AS35" s="306">
        <v>0</v>
      </c>
      <c r="AT35" s="306">
        <v>0</v>
      </c>
      <c r="AU35" s="306">
        <v>0</v>
      </c>
      <c r="AV35" s="306">
        <v>0</v>
      </c>
      <c r="AW35" s="306">
        <v>0</v>
      </c>
      <c r="AX35" s="306">
        <v>0</v>
      </c>
      <c r="AY35" s="306">
        <v>0</v>
      </c>
      <c r="AZ35" s="306">
        <v>0</v>
      </c>
      <c r="BA35" s="306">
        <v>0</v>
      </c>
      <c r="BB35" s="306">
        <v>0</v>
      </c>
      <c r="BC35" s="306">
        <v>0</v>
      </c>
      <c r="BF35" s="304" t="s">
        <v>675</v>
      </c>
      <c r="BG35" s="306">
        <v>0</v>
      </c>
      <c r="BH35" s="306">
        <v>0</v>
      </c>
      <c r="BI35" s="306">
        <v>0</v>
      </c>
      <c r="BJ35" s="306">
        <v>0</v>
      </c>
      <c r="BK35" s="306">
        <v>0</v>
      </c>
      <c r="BL35" s="306">
        <v>0</v>
      </c>
      <c r="BM35" s="306">
        <v>0</v>
      </c>
      <c r="BN35" s="306">
        <v>0</v>
      </c>
      <c r="BO35" s="306">
        <v>0</v>
      </c>
      <c r="BP35" s="306">
        <v>0</v>
      </c>
      <c r="BQ35" s="306">
        <v>0</v>
      </c>
      <c r="BR35" s="306">
        <v>0</v>
      </c>
      <c r="BS35" s="306">
        <v>0</v>
      </c>
      <c r="BT35" s="306">
        <v>0</v>
      </c>
      <c r="BU35" s="306">
        <v>0</v>
      </c>
    </row>
    <row r="36" spans="1:73">
      <c r="A36" s="304" t="s">
        <v>676</v>
      </c>
      <c r="B36" s="306">
        <v>1</v>
      </c>
      <c r="AN36" s="304" t="s">
        <v>676</v>
      </c>
      <c r="AO36" s="306">
        <v>0</v>
      </c>
      <c r="AP36" s="306">
        <v>0</v>
      </c>
      <c r="AQ36" s="306">
        <v>0</v>
      </c>
      <c r="AR36" s="306">
        <v>0</v>
      </c>
      <c r="AS36" s="306">
        <v>0</v>
      </c>
      <c r="AT36" s="306">
        <v>0</v>
      </c>
      <c r="AU36" s="306">
        <v>0</v>
      </c>
      <c r="AV36" s="306">
        <v>0</v>
      </c>
      <c r="AW36" s="306">
        <v>0</v>
      </c>
      <c r="AX36" s="306">
        <v>0</v>
      </c>
      <c r="AY36" s="306">
        <v>0</v>
      </c>
      <c r="AZ36" s="306">
        <v>0</v>
      </c>
      <c r="BA36" s="306">
        <v>0</v>
      </c>
      <c r="BB36" s="306">
        <v>0</v>
      </c>
      <c r="BC36" s="306">
        <v>0</v>
      </c>
      <c r="BF36" s="304" t="s">
        <v>676</v>
      </c>
      <c r="BG36" s="306">
        <v>0</v>
      </c>
      <c r="BH36" s="306">
        <v>0</v>
      </c>
      <c r="BI36" s="306">
        <v>0</v>
      </c>
      <c r="BJ36" s="306">
        <v>0</v>
      </c>
      <c r="BK36" s="306">
        <v>0</v>
      </c>
      <c r="BL36" s="306">
        <v>0</v>
      </c>
      <c r="BM36" s="306">
        <v>0</v>
      </c>
      <c r="BN36" s="306">
        <v>0</v>
      </c>
      <c r="BO36" s="306">
        <v>0</v>
      </c>
      <c r="BP36" s="306">
        <v>0</v>
      </c>
      <c r="BQ36" s="306">
        <v>0</v>
      </c>
      <c r="BR36" s="306">
        <v>0</v>
      </c>
      <c r="BS36" s="306">
        <v>0</v>
      </c>
      <c r="BT36" s="306">
        <v>0</v>
      </c>
      <c r="BU36" s="306">
        <v>0</v>
      </c>
    </row>
    <row r="37" spans="1:73">
      <c r="A37" s="304" t="s">
        <v>677</v>
      </c>
      <c r="B37" s="306">
        <v>1</v>
      </c>
      <c r="AN37" s="304" t="s">
        <v>677</v>
      </c>
      <c r="AO37" s="306">
        <v>0</v>
      </c>
      <c r="AP37" s="306">
        <v>0</v>
      </c>
      <c r="AQ37" s="306">
        <v>0</v>
      </c>
      <c r="AR37" s="306">
        <v>0</v>
      </c>
      <c r="AS37" s="306">
        <v>0</v>
      </c>
      <c r="AT37" s="306">
        <v>0</v>
      </c>
      <c r="AU37" s="306">
        <v>0</v>
      </c>
      <c r="AV37" s="306">
        <v>0</v>
      </c>
      <c r="AW37" s="306">
        <v>0</v>
      </c>
      <c r="AX37" s="306">
        <v>0</v>
      </c>
      <c r="AY37" s="306">
        <v>0</v>
      </c>
      <c r="AZ37" s="306">
        <v>0</v>
      </c>
      <c r="BA37" s="306">
        <v>0</v>
      </c>
      <c r="BB37" s="306">
        <v>0</v>
      </c>
      <c r="BC37" s="306">
        <v>0</v>
      </c>
      <c r="BF37" s="304" t="s">
        <v>677</v>
      </c>
      <c r="BG37" s="306">
        <v>0</v>
      </c>
      <c r="BH37" s="306">
        <v>0</v>
      </c>
      <c r="BI37" s="306">
        <v>0</v>
      </c>
      <c r="BJ37" s="306">
        <v>0</v>
      </c>
      <c r="BK37" s="306">
        <v>0</v>
      </c>
      <c r="BL37" s="306">
        <v>0</v>
      </c>
      <c r="BM37" s="306">
        <v>0</v>
      </c>
      <c r="BN37" s="306">
        <v>0</v>
      </c>
      <c r="BO37" s="306">
        <v>0</v>
      </c>
      <c r="BP37" s="306">
        <v>0</v>
      </c>
      <c r="BQ37" s="306">
        <v>0</v>
      </c>
      <c r="BR37" s="306">
        <v>0</v>
      </c>
      <c r="BS37" s="306">
        <v>0</v>
      </c>
      <c r="BT37" s="306">
        <v>0</v>
      </c>
      <c r="BU37" s="306">
        <v>0</v>
      </c>
    </row>
    <row r="38" spans="1:73">
      <c r="A38" s="304"/>
      <c r="B38" s="390" t="s">
        <v>707</v>
      </c>
      <c r="AN38" s="304"/>
      <c r="AO38" s="390" t="s">
        <v>704</v>
      </c>
      <c r="AP38" s="402"/>
      <c r="AQ38" s="402"/>
      <c r="AR38" s="402"/>
      <c r="AS38" s="402"/>
      <c r="AT38" s="402"/>
      <c r="AU38" s="402"/>
      <c r="AV38" s="402"/>
      <c r="AW38" s="402"/>
      <c r="AX38" s="402"/>
      <c r="AY38" s="402"/>
      <c r="AZ38" s="402"/>
      <c r="BA38" s="402"/>
      <c r="BB38" s="402"/>
      <c r="BC38" s="402"/>
      <c r="BF38" s="304"/>
      <c r="BG38" s="390" t="s">
        <v>703</v>
      </c>
      <c r="BH38" s="402"/>
      <c r="BI38" s="402"/>
      <c r="BJ38" s="402"/>
      <c r="BK38" s="402"/>
      <c r="BL38" s="402"/>
      <c r="BM38" s="402"/>
      <c r="BN38" s="402"/>
      <c r="BO38" s="402"/>
      <c r="BP38" s="402"/>
      <c r="BQ38" s="402"/>
      <c r="BR38" s="402"/>
      <c r="BS38" s="402"/>
      <c r="BT38" s="402"/>
      <c r="BU38" s="402"/>
    </row>
    <row r="41" spans="1:73" ht="109.8">
      <c r="AN41" s="303" t="s">
        <v>641</v>
      </c>
      <c r="AO41" s="234" t="s">
        <v>683</v>
      </c>
      <c r="AP41" s="234" t="s">
        <v>684</v>
      </c>
      <c r="AQ41" s="234" t="s">
        <v>685</v>
      </c>
      <c r="AR41" s="234" t="s">
        <v>686</v>
      </c>
      <c r="AS41" s="234" t="s">
        <v>687</v>
      </c>
      <c r="AT41" s="234" t="s">
        <v>688</v>
      </c>
      <c r="AU41" s="234" t="s">
        <v>689</v>
      </c>
      <c r="AV41" s="234" t="s">
        <v>690</v>
      </c>
      <c r="AW41" s="234" t="s">
        <v>691</v>
      </c>
      <c r="AX41" s="234" t="s">
        <v>692</v>
      </c>
      <c r="AY41" s="234" t="s">
        <v>693</v>
      </c>
      <c r="AZ41" s="234" t="s">
        <v>694</v>
      </c>
      <c r="BA41" s="234" t="s">
        <v>695</v>
      </c>
      <c r="BB41" s="234" t="s">
        <v>696</v>
      </c>
      <c r="BC41" s="234" t="s">
        <v>697</v>
      </c>
    </row>
    <row r="42" spans="1:73">
      <c r="AN42" s="304" t="s">
        <v>642</v>
      </c>
      <c r="AO42" s="306">
        <v>0</v>
      </c>
      <c r="AP42" s="306">
        <v>0</v>
      </c>
      <c r="AQ42" s="306">
        <v>0</v>
      </c>
      <c r="AR42" s="306">
        <v>0</v>
      </c>
      <c r="AS42" s="306">
        <v>0</v>
      </c>
      <c r="AT42" s="306">
        <v>0</v>
      </c>
      <c r="AU42" s="306">
        <v>0</v>
      </c>
      <c r="AV42" s="306">
        <v>0</v>
      </c>
      <c r="AW42" s="306">
        <v>0</v>
      </c>
      <c r="AX42" s="306">
        <v>0</v>
      </c>
      <c r="AY42" s="306">
        <v>0</v>
      </c>
      <c r="AZ42" s="306">
        <v>0</v>
      </c>
      <c r="BA42" s="306">
        <v>0</v>
      </c>
      <c r="BB42" s="306">
        <v>6408288.6211381704</v>
      </c>
      <c r="BC42" s="306">
        <v>0</v>
      </c>
    </row>
    <row r="43" spans="1:73">
      <c r="AN43" s="304" t="s">
        <v>643</v>
      </c>
      <c r="AO43" s="306">
        <v>0</v>
      </c>
      <c r="AP43" s="306">
        <v>0</v>
      </c>
      <c r="AQ43" s="306">
        <v>0</v>
      </c>
      <c r="AR43" s="306">
        <v>0</v>
      </c>
      <c r="AS43" s="306">
        <v>0</v>
      </c>
      <c r="AT43" s="306">
        <v>0</v>
      </c>
      <c r="AU43" s="306">
        <v>0</v>
      </c>
      <c r="AV43" s="306">
        <v>0</v>
      </c>
      <c r="AW43" s="306">
        <v>0</v>
      </c>
      <c r="AX43" s="306">
        <v>0</v>
      </c>
      <c r="AY43" s="306">
        <v>0</v>
      </c>
      <c r="AZ43" s="306">
        <v>0</v>
      </c>
      <c r="BA43" s="306">
        <v>0</v>
      </c>
      <c r="BB43" s="306">
        <v>0</v>
      </c>
      <c r="BC43" s="306">
        <v>0</v>
      </c>
    </row>
    <row r="44" spans="1:73">
      <c r="AN44" s="304" t="s">
        <v>644</v>
      </c>
      <c r="AO44" s="306">
        <v>0</v>
      </c>
      <c r="AP44" s="306">
        <v>0</v>
      </c>
      <c r="AQ44" s="306">
        <v>0</v>
      </c>
      <c r="AR44" s="306">
        <v>0</v>
      </c>
      <c r="AS44" s="306">
        <v>0</v>
      </c>
      <c r="AT44" s="306">
        <v>0</v>
      </c>
      <c r="AU44" s="306">
        <v>0</v>
      </c>
      <c r="AV44" s="306">
        <v>0</v>
      </c>
      <c r="AW44" s="306">
        <v>0</v>
      </c>
      <c r="AX44" s="306">
        <v>0</v>
      </c>
      <c r="AY44" s="306">
        <v>0</v>
      </c>
      <c r="AZ44" s="306">
        <v>0</v>
      </c>
      <c r="BA44" s="306">
        <v>0</v>
      </c>
      <c r="BB44" s="306">
        <v>0</v>
      </c>
      <c r="BC44" s="306">
        <v>0</v>
      </c>
    </row>
    <row r="45" spans="1:73">
      <c r="AN45" s="304" t="s">
        <v>645</v>
      </c>
      <c r="AO45" s="306">
        <v>6682782.3361421302</v>
      </c>
      <c r="AP45" s="306">
        <v>0</v>
      </c>
      <c r="AQ45" s="306">
        <v>0</v>
      </c>
      <c r="AR45" s="306">
        <v>0</v>
      </c>
      <c r="AS45" s="306">
        <v>0</v>
      </c>
      <c r="AT45" s="306">
        <v>0</v>
      </c>
      <c r="AU45" s="306">
        <v>0</v>
      </c>
      <c r="AV45" s="306">
        <v>0</v>
      </c>
      <c r="AW45" s="306">
        <v>0</v>
      </c>
      <c r="AX45" s="306">
        <v>0</v>
      </c>
      <c r="AY45" s="306">
        <v>0</v>
      </c>
      <c r="AZ45" s="306">
        <v>0</v>
      </c>
      <c r="BA45" s="306">
        <v>0</v>
      </c>
      <c r="BB45" s="306">
        <v>0</v>
      </c>
      <c r="BC45" s="306">
        <v>0</v>
      </c>
    </row>
    <row r="46" spans="1:73">
      <c r="AN46" s="304" t="s">
        <v>646</v>
      </c>
      <c r="AO46" s="306">
        <v>0</v>
      </c>
      <c r="AP46" s="306">
        <v>0</v>
      </c>
      <c r="AQ46" s="306">
        <v>0</v>
      </c>
      <c r="AR46" s="306">
        <v>0</v>
      </c>
      <c r="AS46" s="306">
        <v>0</v>
      </c>
      <c r="AT46" s="306">
        <v>0</v>
      </c>
      <c r="AU46" s="306">
        <v>8855804.3203369807</v>
      </c>
      <c r="AV46" s="306">
        <v>0</v>
      </c>
      <c r="AW46" s="306">
        <v>0</v>
      </c>
      <c r="AX46" s="306">
        <v>0</v>
      </c>
      <c r="AY46" s="306">
        <v>0</v>
      </c>
      <c r="AZ46" s="306">
        <v>0</v>
      </c>
      <c r="BA46" s="306">
        <v>0</v>
      </c>
      <c r="BB46" s="306">
        <v>0</v>
      </c>
      <c r="BC46" s="306">
        <v>0</v>
      </c>
    </row>
    <row r="47" spans="1:73">
      <c r="AN47" s="304" t="s">
        <v>647</v>
      </c>
      <c r="AO47" s="306">
        <v>0</v>
      </c>
      <c r="AP47" s="306">
        <v>0</v>
      </c>
      <c r="AQ47" s="306">
        <v>0</v>
      </c>
      <c r="AR47" s="306">
        <v>8855804.3203369807</v>
      </c>
      <c r="AS47" s="306">
        <v>0</v>
      </c>
      <c r="AT47" s="306">
        <v>0</v>
      </c>
      <c r="AU47" s="306">
        <v>0</v>
      </c>
      <c r="AV47" s="306">
        <v>0</v>
      </c>
      <c r="AW47" s="306">
        <v>0</v>
      </c>
      <c r="AX47" s="306">
        <v>0</v>
      </c>
      <c r="AY47" s="306">
        <v>0</v>
      </c>
      <c r="AZ47" s="306">
        <v>0</v>
      </c>
      <c r="BA47" s="306">
        <v>0</v>
      </c>
      <c r="BB47" s="306">
        <v>0</v>
      </c>
      <c r="BC47" s="306">
        <v>0</v>
      </c>
    </row>
    <row r="48" spans="1:73">
      <c r="AN48" s="304" t="s">
        <v>648</v>
      </c>
      <c r="AO48" s="306">
        <v>0</v>
      </c>
      <c r="AP48" s="306">
        <v>8855804.3203369807</v>
      </c>
      <c r="AQ48" s="306">
        <v>0</v>
      </c>
      <c r="AR48" s="306">
        <v>0</v>
      </c>
      <c r="AS48" s="306">
        <v>0</v>
      </c>
      <c r="AT48" s="306">
        <v>0</v>
      </c>
      <c r="AU48" s="306">
        <v>0</v>
      </c>
      <c r="AV48" s="306">
        <v>0</v>
      </c>
      <c r="AW48" s="306">
        <v>0</v>
      </c>
      <c r="AX48" s="306">
        <v>0</v>
      </c>
      <c r="AY48" s="306">
        <v>0</v>
      </c>
      <c r="AZ48" s="306">
        <v>0</v>
      </c>
      <c r="BA48" s="306">
        <v>0</v>
      </c>
      <c r="BB48" s="306">
        <v>0</v>
      </c>
      <c r="BC48" s="306">
        <v>0</v>
      </c>
    </row>
    <row r="49" spans="40:55">
      <c r="AN49" s="304" t="s">
        <v>649</v>
      </c>
      <c r="AO49" s="306">
        <v>0</v>
      </c>
      <c r="AP49" s="306">
        <v>0</v>
      </c>
      <c r="AQ49" s="306">
        <v>8850991.3601140399</v>
      </c>
      <c r="AR49" s="306">
        <v>0</v>
      </c>
      <c r="AS49" s="306">
        <v>0</v>
      </c>
      <c r="AT49" s="306">
        <v>0</v>
      </c>
      <c r="AU49" s="306">
        <v>0</v>
      </c>
      <c r="AV49" s="306">
        <v>0</v>
      </c>
      <c r="AW49" s="306">
        <v>0</v>
      </c>
      <c r="AX49" s="306">
        <v>0</v>
      </c>
      <c r="AY49" s="306">
        <v>0</v>
      </c>
      <c r="AZ49" s="306">
        <v>0</v>
      </c>
      <c r="BA49" s="306">
        <v>0</v>
      </c>
      <c r="BB49" s="306">
        <v>0</v>
      </c>
      <c r="BC49" s="306">
        <v>0</v>
      </c>
    </row>
    <row r="50" spans="40:55">
      <c r="AN50" s="304" t="s">
        <v>650</v>
      </c>
      <c r="AO50" s="306">
        <v>0</v>
      </c>
      <c r="AP50" s="306">
        <v>0</v>
      </c>
      <c r="AQ50" s="306">
        <v>0</v>
      </c>
      <c r="AR50" s="306">
        <v>0</v>
      </c>
      <c r="AS50" s="306">
        <v>0</v>
      </c>
      <c r="AT50" s="306">
        <v>4026178.1360752499</v>
      </c>
      <c r="AU50" s="306">
        <v>0</v>
      </c>
      <c r="AV50" s="306">
        <v>0</v>
      </c>
      <c r="AW50" s="306">
        <v>0</v>
      </c>
      <c r="AX50" s="306">
        <v>0</v>
      </c>
      <c r="AY50" s="306">
        <v>0</v>
      </c>
      <c r="AZ50" s="306">
        <v>0</v>
      </c>
      <c r="BA50" s="306">
        <v>0</v>
      </c>
      <c r="BB50" s="306">
        <v>0</v>
      </c>
      <c r="BC50" s="306">
        <v>0</v>
      </c>
    </row>
    <row r="51" spans="40:55">
      <c r="AN51" s="304" t="s">
        <v>651</v>
      </c>
      <c r="AO51" s="306">
        <v>11826.742854693801</v>
      </c>
      <c r="AP51" s="306">
        <v>0</v>
      </c>
      <c r="AQ51" s="306">
        <v>30.954464502133501</v>
      </c>
      <c r="AR51" s="306">
        <v>0</v>
      </c>
      <c r="AS51" s="306">
        <v>0</v>
      </c>
      <c r="AT51" s="306">
        <v>0</v>
      </c>
      <c r="AU51" s="306">
        <v>14491.848717543</v>
      </c>
      <c r="AV51" s="306">
        <v>0</v>
      </c>
      <c r="AW51" s="306">
        <v>125.026374728874</v>
      </c>
      <c r="AX51" s="306">
        <v>0</v>
      </c>
      <c r="AY51" s="306">
        <v>0</v>
      </c>
      <c r="AZ51" s="306">
        <v>0.374842703513311</v>
      </c>
      <c r="BA51" s="306">
        <v>0</v>
      </c>
      <c r="BB51" s="306">
        <v>0</v>
      </c>
      <c r="BC51" s="306">
        <v>2671.5132120132398</v>
      </c>
    </row>
    <row r="52" spans="40:55">
      <c r="AN52" s="304" t="s">
        <v>652</v>
      </c>
      <c r="AO52" s="306">
        <v>0</v>
      </c>
      <c r="AP52" s="306">
        <v>0</v>
      </c>
      <c r="AQ52" s="306">
        <v>0</v>
      </c>
      <c r="AR52" s="306">
        <v>0</v>
      </c>
      <c r="AS52" s="306">
        <v>0</v>
      </c>
      <c r="AT52" s="306">
        <v>0</v>
      </c>
      <c r="AU52" s="306">
        <v>0</v>
      </c>
      <c r="AV52" s="306">
        <v>0</v>
      </c>
      <c r="AW52" s="306">
        <v>0</v>
      </c>
      <c r="AX52" s="306">
        <v>0</v>
      </c>
      <c r="AY52" s="306">
        <v>0</v>
      </c>
      <c r="AZ52" s="306">
        <v>0</v>
      </c>
      <c r="BA52" s="306">
        <v>0</v>
      </c>
      <c r="BB52" s="306">
        <v>0</v>
      </c>
      <c r="BC52" s="306">
        <v>0</v>
      </c>
    </row>
    <row r="53" spans="40:55">
      <c r="AN53" s="304" t="s">
        <v>653</v>
      </c>
      <c r="AO53" s="306">
        <v>0</v>
      </c>
      <c r="AP53" s="306">
        <v>0</v>
      </c>
      <c r="AQ53" s="306">
        <v>0</v>
      </c>
      <c r="AR53" s="306">
        <v>0</v>
      </c>
      <c r="AS53" s="306">
        <v>0</v>
      </c>
      <c r="AT53" s="306">
        <v>0</v>
      </c>
      <c r="AU53" s="306">
        <v>0</v>
      </c>
      <c r="AV53" s="306">
        <v>0</v>
      </c>
      <c r="AW53" s="306">
        <v>0</v>
      </c>
      <c r="AX53" s="306">
        <v>0</v>
      </c>
      <c r="AY53" s="306">
        <v>0</v>
      </c>
      <c r="AZ53" s="306">
        <v>0</v>
      </c>
      <c r="BA53" s="306">
        <v>0</v>
      </c>
      <c r="BB53" s="306">
        <v>0</v>
      </c>
      <c r="BC53" s="306">
        <v>0</v>
      </c>
    </row>
    <row r="54" spans="40:55">
      <c r="AN54" s="304" t="s">
        <v>654</v>
      </c>
      <c r="AO54" s="306">
        <v>0</v>
      </c>
      <c r="AP54" s="306">
        <v>0</v>
      </c>
      <c r="AQ54" s="306">
        <v>0</v>
      </c>
      <c r="AR54" s="306">
        <v>0</v>
      </c>
      <c r="AS54" s="306">
        <v>0</v>
      </c>
      <c r="AT54" s="306">
        <v>0</v>
      </c>
      <c r="AU54" s="306">
        <v>0</v>
      </c>
      <c r="AV54" s="306">
        <v>0</v>
      </c>
      <c r="AW54" s="306">
        <v>0</v>
      </c>
      <c r="AX54" s="306">
        <v>0</v>
      </c>
      <c r="AY54" s="306">
        <v>0</v>
      </c>
      <c r="AZ54" s="306">
        <v>0</v>
      </c>
      <c r="BA54" s="306">
        <v>0</v>
      </c>
      <c r="BB54" s="306">
        <v>0</v>
      </c>
      <c r="BC54" s="306">
        <v>0</v>
      </c>
    </row>
    <row r="55" spans="40:55">
      <c r="AN55" s="304" t="s">
        <v>655</v>
      </c>
      <c r="AO55" s="306">
        <v>0</v>
      </c>
      <c r="AP55" s="306">
        <v>0</v>
      </c>
      <c r="AQ55" s="306">
        <v>0</v>
      </c>
      <c r="AR55" s="306">
        <v>0</v>
      </c>
      <c r="AS55" s="306">
        <v>0</v>
      </c>
      <c r="AT55" s="306">
        <v>0</v>
      </c>
      <c r="AU55" s="306">
        <v>0</v>
      </c>
      <c r="AV55" s="306">
        <v>0</v>
      </c>
      <c r="AW55" s="306">
        <v>0</v>
      </c>
      <c r="AX55" s="306">
        <v>0</v>
      </c>
      <c r="AY55" s="306">
        <v>0</v>
      </c>
      <c r="AZ55" s="306">
        <v>0</v>
      </c>
      <c r="BA55" s="306">
        <v>0</v>
      </c>
      <c r="BB55" s="306">
        <v>0</v>
      </c>
      <c r="BC55" s="306">
        <v>0</v>
      </c>
    </row>
    <row r="56" spans="40:55">
      <c r="AN56" s="304" t="s">
        <v>656</v>
      </c>
      <c r="AO56" s="306">
        <v>318930.104231745</v>
      </c>
      <c r="AP56" s="306">
        <v>50.358084153937803</v>
      </c>
      <c r="AQ56" s="306">
        <v>80616.370239891301</v>
      </c>
      <c r="AR56" s="306">
        <v>282.12877103151499</v>
      </c>
      <c r="AS56" s="306">
        <v>0</v>
      </c>
      <c r="AT56" s="306">
        <v>33191.859393697501</v>
      </c>
      <c r="AU56" s="306">
        <v>0</v>
      </c>
      <c r="AV56" s="306">
        <v>12626.098826338701</v>
      </c>
      <c r="AW56" s="306">
        <v>0</v>
      </c>
      <c r="AX56" s="306">
        <v>609792.25175934797</v>
      </c>
      <c r="AY56" s="306">
        <v>34.678095164115</v>
      </c>
      <c r="AZ56" s="306">
        <v>0</v>
      </c>
      <c r="BA56" s="306">
        <v>2824.8856477449199</v>
      </c>
      <c r="BB56" s="306">
        <v>0</v>
      </c>
      <c r="BC56" s="306">
        <v>0</v>
      </c>
    </row>
    <row r="57" spans="40:55">
      <c r="AN57" s="304" t="s">
        <v>657</v>
      </c>
      <c r="AO57" s="306">
        <v>29112.263489807599</v>
      </c>
      <c r="AP57" s="306">
        <v>0</v>
      </c>
      <c r="AQ57" s="306">
        <v>0</v>
      </c>
      <c r="AR57" s="306">
        <v>0</v>
      </c>
      <c r="AS57" s="306">
        <v>0</v>
      </c>
      <c r="AT57" s="306">
        <v>0</v>
      </c>
      <c r="AU57" s="306">
        <v>0</v>
      </c>
      <c r="AV57" s="306">
        <v>0</v>
      </c>
      <c r="AW57" s="306">
        <v>0</v>
      </c>
      <c r="AX57" s="306">
        <v>0</v>
      </c>
      <c r="AY57" s="306">
        <v>0</v>
      </c>
      <c r="AZ57" s="306">
        <v>0</v>
      </c>
      <c r="BA57" s="306">
        <v>0</v>
      </c>
      <c r="BB57" s="306">
        <v>0</v>
      </c>
      <c r="BC57" s="306">
        <v>0</v>
      </c>
    </row>
    <row r="58" spans="40:55">
      <c r="AN58" s="304" t="s">
        <v>658</v>
      </c>
      <c r="AO58" s="306">
        <v>0</v>
      </c>
      <c r="AP58" s="306">
        <v>0</v>
      </c>
      <c r="AQ58" s="306">
        <v>23309.045257575199</v>
      </c>
      <c r="AR58" s="306">
        <v>0</v>
      </c>
      <c r="AS58" s="306">
        <v>0</v>
      </c>
      <c r="AT58" s="306">
        <v>0</v>
      </c>
      <c r="AU58" s="306">
        <v>0</v>
      </c>
      <c r="AV58" s="306">
        <v>0</v>
      </c>
      <c r="AW58" s="306">
        <v>94146.207140653802</v>
      </c>
      <c r="AX58" s="306">
        <v>0</v>
      </c>
      <c r="AY58" s="306">
        <v>0</v>
      </c>
      <c r="AZ58" s="306">
        <v>257.99399332425401</v>
      </c>
      <c r="BA58" s="306">
        <v>0</v>
      </c>
      <c r="BB58" s="306">
        <v>0</v>
      </c>
      <c r="BC58" s="306">
        <v>0</v>
      </c>
    </row>
    <row r="59" spans="40:55">
      <c r="AN59" s="304" t="s">
        <v>659</v>
      </c>
      <c r="AO59" s="306">
        <v>0</v>
      </c>
      <c r="AP59" s="306">
        <v>0</v>
      </c>
      <c r="AQ59" s="306">
        <v>0</v>
      </c>
      <c r="AR59" s="306">
        <v>0</v>
      </c>
      <c r="AS59" s="306">
        <v>0</v>
      </c>
      <c r="AT59" s="306">
        <v>0</v>
      </c>
      <c r="AU59" s="306">
        <v>0</v>
      </c>
      <c r="AV59" s="306">
        <v>0</v>
      </c>
      <c r="AW59" s="306">
        <v>0</v>
      </c>
      <c r="AX59" s="306">
        <v>0</v>
      </c>
      <c r="AY59" s="306">
        <v>0</v>
      </c>
      <c r="AZ59" s="306">
        <v>0</v>
      </c>
      <c r="BA59" s="306">
        <v>0</v>
      </c>
      <c r="BB59" s="306">
        <v>88071.706245154506</v>
      </c>
      <c r="BC59" s="306">
        <v>0</v>
      </c>
    </row>
    <row r="60" spans="40:55">
      <c r="AN60" s="304" t="s">
        <v>660</v>
      </c>
      <c r="AO60" s="306">
        <v>0</v>
      </c>
      <c r="AP60" s="306">
        <v>0</v>
      </c>
      <c r="AQ60" s="306">
        <v>0</v>
      </c>
      <c r="AR60" s="306">
        <v>0</v>
      </c>
      <c r="AS60" s="306">
        <v>0</v>
      </c>
      <c r="AT60" s="306">
        <v>0</v>
      </c>
      <c r="AU60" s="306">
        <v>0</v>
      </c>
      <c r="AV60" s="306">
        <v>0</v>
      </c>
      <c r="AW60" s="306">
        <v>0</v>
      </c>
      <c r="AX60" s="306">
        <v>108184.85967288</v>
      </c>
      <c r="AY60" s="306">
        <v>0</v>
      </c>
      <c r="AZ60" s="306">
        <v>0</v>
      </c>
      <c r="BA60" s="306">
        <v>0</v>
      </c>
      <c r="BB60" s="306">
        <v>0</v>
      </c>
      <c r="BC60" s="306">
        <v>0</v>
      </c>
    </row>
    <row r="61" spans="40:55">
      <c r="AN61" s="304" t="s">
        <v>661</v>
      </c>
      <c r="AO61" s="306">
        <v>0</v>
      </c>
      <c r="AP61" s="306">
        <v>0</v>
      </c>
      <c r="AQ61" s="306">
        <v>0</v>
      </c>
      <c r="AR61" s="306">
        <v>0</v>
      </c>
      <c r="AS61" s="306">
        <v>0</v>
      </c>
      <c r="AT61" s="306">
        <v>0</v>
      </c>
      <c r="AU61" s="306">
        <v>0</v>
      </c>
      <c r="AV61" s="306">
        <v>108184.85967288</v>
      </c>
      <c r="AW61" s="306">
        <v>0</v>
      </c>
      <c r="AX61" s="306">
        <v>0</v>
      </c>
      <c r="AY61" s="306">
        <v>0</v>
      </c>
      <c r="AZ61" s="306">
        <v>0</v>
      </c>
      <c r="BA61" s="306">
        <v>0</v>
      </c>
      <c r="BB61" s="306">
        <v>0</v>
      </c>
      <c r="BC61" s="306">
        <v>0</v>
      </c>
    </row>
    <row r="62" spans="40:55">
      <c r="AN62" s="304" t="s">
        <v>662</v>
      </c>
      <c r="AO62" s="306">
        <v>0</v>
      </c>
      <c r="AP62" s="306">
        <v>0</v>
      </c>
      <c r="AQ62" s="306">
        <v>0</v>
      </c>
      <c r="AR62" s="306">
        <v>0</v>
      </c>
      <c r="AS62" s="306">
        <v>0</v>
      </c>
      <c r="AT62" s="306">
        <v>0</v>
      </c>
      <c r="AU62" s="306">
        <v>0</v>
      </c>
      <c r="AV62" s="306">
        <v>0</v>
      </c>
      <c r="AW62" s="306">
        <v>108184.85967288</v>
      </c>
      <c r="AX62" s="306">
        <v>0</v>
      </c>
      <c r="AY62" s="306">
        <v>0</v>
      </c>
      <c r="AZ62" s="306">
        <v>0</v>
      </c>
      <c r="BA62" s="306">
        <v>0</v>
      </c>
      <c r="BB62" s="306">
        <v>0</v>
      </c>
      <c r="BC62" s="306">
        <v>0</v>
      </c>
    </row>
    <row r="63" spans="40:55">
      <c r="AN63" s="304" t="s">
        <v>663</v>
      </c>
      <c r="AO63" s="306">
        <v>0</v>
      </c>
      <c r="AP63" s="306">
        <v>0</v>
      </c>
      <c r="AQ63" s="306">
        <v>0</v>
      </c>
      <c r="AR63" s="306">
        <v>0</v>
      </c>
      <c r="AS63" s="306">
        <v>0</v>
      </c>
      <c r="AT63" s="306">
        <v>0</v>
      </c>
      <c r="AU63" s="306">
        <v>0</v>
      </c>
      <c r="AV63" s="306">
        <v>0</v>
      </c>
      <c r="AW63" s="306">
        <v>0</v>
      </c>
      <c r="AX63" s="306">
        <v>0</v>
      </c>
      <c r="AY63" s="306">
        <v>0</v>
      </c>
      <c r="AZ63" s="306">
        <v>0</v>
      </c>
      <c r="BA63" s="306">
        <v>0</v>
      </c>
      <c r="BB63" s="306">
        <v>0</v>
      </c>
      <c r="BC63" s="306">
        <v>0</v>
      </c>
    </row>
    <row r="64" spans="40:55">
      <c r="AN64" s="304" t="s">
        <v>664</v>
      </c>
      <c r="AO64" s="306">
        <v>0</v>
      </c>
      <c r="AP64" s="306">
        <v>0</v>
      </c>
      <c r="AQ64" s="306">
        <v>0</v>
      </c>
      <c r="AR64" s="306">
        <v>0</v>
      </c>
      <c r="AS64" s="306">
        <v>0</v>
      </c>
      <c r="AT64" s="306">
        <v>0</v>
      </c>
      <c r="AU64" s="306">
        <v>0</v>
      </c>
      <c r="AV64" s="306">
        <v>0</v>
      </c>
      <c r="AW64" s="306">
        <v>0</v>
      </c>
      <c r="AX64" s="306">
        <v>0</v>
      </c>
      <c r="AY64" s="306">
        <v>0</v>
      </c>
      <c r="AZ64" s="306">
        <v>0</v>
      </c>
      <c r="BA64" s="306">
        <v>0</v>
      </c>
      <c r="BB64" s="306">
        <v>0</v>
      </c>
      <c r="BC64" s="306">
        <v>0</v>
      </c>
    </row>
    <row r="65" spans="40:55">
      <c r="AN65" s="304" t="s">
        <v>665</v>
      </c>
      <c r="AO65" s="306">
        <v>0</v>
      </c>
      <c r="AP65" s="306">
        <v>0</v>
      </c>
      <c r="AQ65" s="306">
        <v>0</v>
      </c>
      <c r="AR65" s="306">
        <v>0</v>
      </c>
      <c r="AS65" s="306">
        <v>0</v>
      </c>
      <c r="AT65" s="306">
        <v>0</v>
      </c>
      <c r="AU65" s="306">
        <v>0</v>
      </c>
      <c r="AV65" s="306">
        <v>0</v>
      </c>
      <c r="AW65" s="306">
        <v>0</v>
      </c>
      <c r="AX65" s="306">
        <v>0</v>
      </c>
      <c r="AY65" s="306">
        <v>0</v>
      </c>
      <c r="AZ65" s="306">
        <v>0</v>
      </c>
      <c r="BA65" s="306">
        <v>0</v>
      </c>
      <c r="BB65" s="306">
        <v>0</v>
      </c>
      <c r="BC65" s="306">
        <v>25297.051877142199</v>
      </c>
    </row>
    <row r="66" spans="40:55">
      <c r="AN66" s="304" t="s">
        <v>666</v>
      </c>
      <c r="AO66" s="306">
        <v>0</v>
      </c>
      <c r="AP66" s="306">
        <v>0</v>
      </c>
      <c r="AQ66" s="306">
        <v>0</v>
      </c>
      <c r="AR66" s="306">
        <v>0</v>
      </c>
      <c r="AS66" s="306">
        <v>0</v>
      </c>
      <c r="AT66" s="306">
        <v>0</v>
      </c>
      <c r="AU66" s="306">
        <v>0</v>
      </c>
      <c r="AV66" s="306">
        <v>0</v>
      </c>
      <c r="AW66" s="306">
        <v>0</v>
      </c>
      <c r="AX66" s="306">
        <v>0</v>
      </c>
      <c r="AY66" s="306">
        <v>0</v>
      </c>
      <c r="AZ66" s="306">
        <v>0</v>
      </c>
      <c r="BA66" s="306">
        <v>25297.051877142199</v>
      </c>
      <c r="BB66" s="306">
        <v>0</v>
      </c>
      <c r="BC66" s="306">
        <v>0</v>
      </c>
    </row>
    <row r="67" spans="40:55">
      <c r="AN67" s="304" t="s">
        <v>667</v>
      </c>
      <c r="AO67" s="306">
        <v>0</v>
      </c>
      <c r="AP67" s="306">
        <v>0</v>
      </c>
      <c r="AQ67" s="306">
        <v>0</v>
      </c>
      <c r="AR67" s="306">
        <v>0</v>
      </c>
      <c r="AS67" s="306">
        <v>0</v>
      </c>
      <c r="AT67" s="306">
        <v>0</v>
      </c>
      <c r="AU67" s="306">
        <v>0</v>
      </c>
      <c r="AV67" s="306">
        <v>0</v>
      </c>
      <c r="AW67" s="306">
        <v>0</v>
      </c>
      <c r="AX67" s="306">
        <v>0</v>
      </c>
      <c r="AY67" s="306">
        <v>25297.051877142199</v>
      </c>
      <c r="AZ67" s="306">
        <v>0</v>
      </c>
      <c r="BA67" s="306">
        <v>0</v>
      </c>
      <c r="BB67" s="306">
        <v>0</v>
      </c>
      <c r="BC67" s="306">
        <v>0</v>
      </c>
    </row>
    <row r="68" spans="40:55">
      <c r="AN68" s="304" t="s">
        <v>668</v>
      </c>
      <c r="AO68" s="306">
        <v>0</v>
      </c>
      <c r="AP68" s="306">
        <v>0</v>
      </c>
      <c r="AQ68" s="306">
        <v>0</v>
      </c>
      <c r="AR68" s="306">
        <v>0</v>
      </c>
      <c r="AS68" s="306">
        <v>0</v>
      </c>
      <c r="AT68" s="306">
        <v>0</v>
      </c>
      <c r="AU68" s="306">
        <v>0</v>
      </c>
      <c r="AV68" s="306">
        <v>0</v>
      </c>
      <c r="AW68" s="306">
        <v>0</v>
      </c>
      <c r="AX68" s="306">
        <v>0</v>
      </c>
      <c r="AY68" s="306">
        <v>0</v>
      </c>
      <c r="AZ68" s="306">
        <v>25297.051877142199</v>
      </c>
      <c r="BA68" s="306">
        <v>0</v>
      </c>
      <c r="BB68" s="306">
        <v>0</v>
      </c>
      <c r="BC68" s="306">
        <v>0</v>
      </c>
    </row>
    <row r="69" spans="40:55">
      <c r="AN69" s="304" t="s">
        <v>669</v>
      </c>
      <c r="AO69" s="306">
        <v>0</v>
      </c>
      <c r="AP69" s="306">
        <v>0</v>
      </c>
      <c r="AQ69" s="306">
        <v>0</v>
      </c>
      <c r="AR69" s="306">
        <v>0</v>
      </c>
      <c r="AS69" s="306">
        <v>0</v>
      </c>
      <c r="AT69" s="306">
        <v>0</v>
      </c>
      <c r="AU69" s="306">
        <v>0</v>
      </c>
      <c r="AV69" s="306">
        <v>0</v>
      </c>
      <c r="AW69" s="306">
        <v>0</v>
      </c>
      <c r="AX69" s="306">
        <v>0</v>
      </c>
      <c r="AY69" s="306">
        <v>0</v>
      </c>
      <c r="AZ69" s="306">
        <v>0</v>
      </c>
      <c r="BA69" s="306">
        <v>0</v>
      </c>
      <c r="BB69" s="306">
        <v>0</v>
      </c>
      <c r="BC69" s="306">
        <v>0</v>
      </c>
    </row>
    <row r="70" spans="40:55">
      <c r="AN70" s="304" t="s">
        <v>670</v>
      </c>
      <c r="AO70" s="306">
        <v>0</v>
      </c>
      <c r="AP70" s="306">
        <v>0</v>
      </c>
      <c r="AQ70" s="306">
        <v>0</v>
      </c>
      <c r="AR70" s="306">
        <v>0</v>
      </c>
      <c r="AS70" s="306">
        <v>0</v>
      </c>
      <c r="AT70" s="306">
        <v>0</v>
      </c>
      <c r="AU70" s="306">
        <v>0</v>
      </c>
      <c r="AV70" s="306">
        <v>0</v>
      </c>
      <c r="AW70" s="306">
        <v>0</v>
      </c>
      <c r="AX70" s="306">
        <v>0</v>
      </c>
      <c r="AY70" s="306">
        <v>0</v>
      </c>
      <c r="AZ70" s="306">
        <v>24.076233417548501</v>
      </c>
      <c r="BA70" s="306">
        <v>0</v>
      </c>
      <c r="BB70" s="306">
        <v>0</v>
      </c>
      <c r="BC70" s="306">
        <v>0</v>
      </c>
    </row>
    <row r="71" spans="40:55">
      <c r="AN71" s="304" t="s">
        <v>671</v>
      </c>
      <c r="AO71" s="306">
        <v>2329445.30922601</v>
      </c>
      <c r="AP71" s="306">
        <v>0</v>
      </c>
      <c r="AQ71" s="306">
        <v>0</v>
      </c>
      <c r="AR71" s="306">
        <v>0</v>
      </c>
      <c r="AS71" s="306">
        <v>0</v>
      </c>
      <c r="AT71" s="306">
        <v>0</v>
      </c>
      <c r="AU71" s="306">
        <v>10583778.883576799</v>
      </c>
      <c r="AV71" s="306">
        <v>0</v>
      </c>
      <c r="AW71" s="306">
        <v>0</v>
      </c>
      <c r="AX71" s="306">
        <v>0</v>
      </c>
      <c r="AY71" s="306">
        <v>0</v>
      </c>
      <c r="AZ71" s="306">
        <v>0</v>
      </c>
      <c r="BA71" s="306">
        <v>0</v>
      </c>
      <c r="BB71" s="306">
        <v>0</v>
      </c>
      <c r="BC71" s="306">
        <v>1951076.47558275</v>
      </c>
    </row>
    <row r="72" spans="40:55">
      <c r="AN72" s="304" t="s">
        <v>672</v>
      </c>
      <c r="AO72" s="306">
        <v>0</v>
      </c>
      <c r="AP72" s="306">
        <v>0</v>
      </c>
      <c r="AQ72" s="306">
        <v>0</v>
      </c>
      <c r="AR72" s="306">
        <v>0</v>
      </c>
      <c r="AS72" s="306">
        <v>0</v>
      </c>
      <c r="AT72" s="306">
        <v>0</v>
      </c>
      <c r="AU72" s="306">
        <v>0</v>
      </c>
      <c r="AV72" s="306">
        <v>0</v>
      </c>
      <c r="AW72" s="306">
        <v>0</v>
      </c>
      <c r="AX72" s="306">
        <v>0</v>
      </c>
      <c r="AY72" s="306">
        <v>0</v>
      </c>
      <c r="AZ72" s="306">
        <v>0</v>
      </c>
      <c r="BA72" s="306">
        <v>0</v>
      </c>
      <c r="BB72" s="306">
        <v>0</v>
      </c>
      <c r="BC72" s="306">
        <v>0</v>
      </c>
    </row>
    <row r="73" spans="40:55">
      <c r="AN73" s="304" t="s">
        <v>673</v>
      </c>
      <c r="AO73" s="306">
        <v>0</v>
      </c>
      <c r="AP73" s="306">
        <v>0</v>
      </c>
      <c r="AQ73" s="306">
        <v>0</v>
      </c>
      <c r="AR73" s="306">
        <v>0</v>
      </c>
      <c r="AS73" s="306">
        <v>0</v>
      </c>
      <c r="AT73" s="306">
        <v>0</v>
      </c>
      <c r="AU73" s="306">
        <v>0</v>
      </c>
      <c r="AV73" s="306">
        <v>0</v>
      </c>
      <c r="AW73" s="306">
        <v>0</v>
      </c>
      <c r="AX73" s="306">
        <v>0</v>
      </c>
      <c r="AY73" s="306">
        <v>0</v>
      </c>
      <c r="AZ73" s="306">
        <v>0</v>
      </c>
      <c r="BA73" s="306">
        <v>0</v>
      </c>
      <c r="BB73" s="306">
        <v>0</v>
      </c>
      <c r="BC73" s="306">
        <v>0</v>
      </c>
    </row>
    <row r="74" spans="40:55">
      <c r="AN74" s="304" t="s">
        <v>674</v>
      </c>
      <c r="AO74" s="306">
        <v>0</v>
      </c>
      <c r="AP74" s="306">
        <v>0</v>
      </c>
      <c r="AQ74" s="306">
        <v>0</v>
      </c>
      <c r="AR74" s="306">
        <v>0</v>
      </c>
      <c r="AS74" s="306">
        <v>0</v>
      </c>
      <c r="AT74" s="306">
        <v>0</v>
      </c>
      <c r="AU74" s="306">
        <v>0</v>
      </c>
      <c r="AV74" s="306">
        <v>0</v>
      </c>
      <c r="AW74" s="306">
        <v>0</v>
      </c>
      <c r="AX74" s="306">
        <v>0</v>
      </c>
      <c r="AY74" s="306">
        <v>0</v>
      </c>
      <c r="AZ74" s="306">
        <v>0</v>
      </c>
      <c r="BA74" s="306">
        <v>0</v>
      </c>
      <c r="BB74" s="306">
        <v>242016.07607977401</v>
      </c>
      <c r="BC74" s="306">
        <v>0</v>
      </c>
    </row>
    <row r="75" spans="40:55">
      <c r="AN75" s="304" t="s">
        <v>675</v>
      </c>
      <c r="AO75" s="306">
        <v>0</v>
      </c>
      <c r="AP75" s="306">
        <v>0</v>
      </c>
      <c r="AQ75" s="306">
        <v>0</v>
      </c>
      <c r="AR75" s="306">
        <v>0</v>
      </c>
      <c r="AS75" s="306">
        <v>0</v>
      </c>
      <c r="AT75" s="306">
        <v>0</v>
      </c>
      <c r="AU75" s="306">
        <v>0</v>
      </c>
      <c r="AV75" s="306">
        <v>0</v>
      </c>
      <c r="AW75" s="306">
        <v>0</v>
      </c>
      <c r="AX75" s="306">
        <v>0</v>
      </c>
      <c r="AY75" s="306">
        <v>0</v>
      </c>
      <c r="AZ75" s="306">
        <v>0</v>
      </c>
      <c r="BA75" s="306">
        <v>0</v>
      </c>
      <c r="BB75" s="306">
        <v>0</v>
      </c>
      <c r="BC75" s="306">
        <v>0</v>
      </c>
    </row>
    <row r="76" spans="40:55">
      <c r="AN76" s="304" t="s">
        <v>676</v>
      </c>
      <c r="AO76" s="306">
        <v>2830357.1263978099</v>
      </c>
      <c r="AP76" s="306">
        <v>0</v>
      </c>
      <c r="AQ76" s="306">
        <v>0</v>
      </c>
      <c r="AR76" s="306">
        <v>0</v>
      </c>
      <c r="AS76" s="306">
        <v>0</v>
      </c>
      <c r="AT76" s="306">
        <v>0</v>
      </c>
      <c r="AU76" s="306">
        <v>0</v>
      </c>
      <c r="AV76" s="306">
        <v>0</v>
      </c>
      <c r="AW76" s="306">
        <v>0</v>
      </c>
      <c r="AX76" s="306">
        <v>0</v>
      </c>
      <c r="AY76" s="306">
        <v>0</v>
      </c>
      <c r="AZ76" s="306">
        <v>0</v>
      </c>
      <c r="BA76" s="306">
        <v>0</v>
      </c>
      <c r="BB76" s="306">
        <v>0</v>
      </c>
      <c r="BC76" s="306">
        <v>0</v>
      </c>
    </row>
    <row r="77" spans="40:55">
      <c r="AN77" s="304" t="s">
        <v>677</v>
      </c>
      <c r="AO77" s="306">
        <v>0</v>
      </c>
      <c r="AP77" s="306">
        <v>0</v>
      </c>
      <c r="AQ77" s="306">
        <v>0</v>
      </c>
      <c r="AR77" s="306">
        <v>0</v>
      </c>
      <c r="AS77" s="306">
        <v>4043367.3234254499</v>
      </c>
      <c r="AT77" s="306">
        <v>0</v>
      </c>
      <c r="AU77" s="306">
        <v>0</v>
      </c>
      <c r="AV77" s="306">
        <v>0</v>
      </c>
      <c r="AW77" s="306">
        <v>0</v>
      </c>
      <c r="AX77" s="306">
        <v>0</v>
      </c>
      <c r="AY77" s="306">
        <v>0</v>
      </c>
      <c r="AZ77" s="306">
        <v>0</v>
      </c>
      <c r="BA77" s="306">
        <v>0</v>
      </c>
      <c r="BB77" s="306">
        <v>0</v>
      </c>
      <c r="BC77" s="306">
        <v>0</v>
      </c>
    </row>
    <row r="78" spans="40:55">
      <c r="AN78" s="304"/>
      <c r="AO78" s="390" t="s">
        <v>705</v>
      </c>
      <c r="AP78" s="402"/>
      <c r="AQ78" s="402"/>
      <c r="AR78" s="402"/>
      <c r="AS78" s="402"/>
      <c r="AT78" s="402"/>
      <c r="AU78" s="402"/>
      <c r="AV78" s="402"/>
      <c r="AW78" s="402"/>
      <c r="AX78" s="402"/>
      <c r="AY78" s="402"/>
      <c r="AZ78" s="402"/>
      <c r="BA78" s="402"/>
      <c r="BB78" s="402"/>
      <c r="BC78" s="402"/>
    </row>
    <row r="81" spans="40:60" ht="109.8">
      <c r="AN81" s="303" t="s">
        <v>641</v>
      </c>
      <c r="AO81" s="234" t="s">
        <v>683</v>
      </c>
      <c r="AP81" s="234" t="s">
        <v>684</v>
      </c>
      <c r="AQ81" s="234" t="s">
        <v>685</v>
      </c>
      <c r="AR81" s="234" t="s">
        <v>686</v>
      </c>
      <c r="AS81" s="234" t="s">
        <v>687</v>
      </c>
      <c r="AT81" s="234" t="s">
        <v>688</v>
      </c>
      <c r="AU81" s="234" t="s">
        <v>689</v>
      </c>
      <c r="AV81" s="234" t="s">
        <v>690</v>
      </c>
      <c r="AW81" s="234" t="s">
        <v>691</v>
      </c>
      <c r="AX81" s="234" t="s">
        <v>692</v>
      </c>
      <c r="AY81" s="234" t="s">
        <v>693</v>
      </c>
      <c r="AZ81" s="234" t="s">
        <v>694</v>
      </c>
      <c r="BA81" s="234" t="s">
        <v>695</v>
      </c>
      <c r="BB81" s="234" t="s">
        <v>696</v>
      </c>
      <c r="BC81" s="234" t="s">
        <v>697</v>
      </c>
      <c r="BF81" s="303" t="s">
        <v>641</v>
      </c>
      <c r="BG81" s="234" t="s">
        <v>700</v>
      </c>
      <c r="BH81" s="234" t="s">
        <v>701</v>
      </c>
    </row>
    <row r="82" spans="40:60">
      <c r="AN82" s="304" t="s">
        <v>642</v>
      </c>
      <c r="AO82" s="305">
        <v>0</v>
      </c>
      <c r="AP82" s="305">
        <v>0</v>
      </c>
      <c r="AQ82" s="305">
        <v>0</v>
      </c>
      <c r="AR82" s="305">
        <v>0</v>
      </c>
      <c r="AS82" s="305">
        <v>0</v>
      </c>
      <c r="AT82" s="305">
        <v>0</v>
      </c>
      <c r="AU82" s="305">
        <v>0</v>
      </c>
      <c r="AV82" s="305">
        <v>0</v>
      </c>
      <c r="AW82" s="305">
        <v>0</v>
      </c>
      <c r="AX82" s="305">
        <v>0</v>
      </c>
      <c r="AY82" s="305">
        <v>0</v>
      </c>
      <c r="AZ82" s="305">
        <v>0</v>
      </c>
      <c r="BA82" s="305">
        <v>0</v>
      </c>
      <c r="BB82" s="305">
        <v>6408288.6211381704</v>
      </c>
      <c r="BC82" s="305">
        <v>0</v>
      </c>
      <c r="BF82" s="304" t="s">
        <v>642</v>
      </c>
      <c r="BG82" s="302">
        <v>0</v>
      </c>
      <c r="BH82" s="302">
        <v>0</v>
      </c>
    </row>
    <row r="83" spans="40:60">
      <c r="AN83" s="304" t="s">
        <v>643</v>
      </c>
      <c r="AO83" s="305">
        <v>0</v>
      </c>
      <c r="AP83" s="305">
        <v>0</v>
      </c>
      <c r="AQ83" s="305">
        <v>0</v>
      </c>
      <c r="AR83" s="305">
        <v>0</v>
      </c>
      <c r="AS83" s="305">
        <v>0</v>
      </c>
      <c r="AT83" s="305">
        <v>0</v>
      </c>
      <c r="AU83" s="305">
        <v>0</v>
      </c>
      <c r="AV83" s="305">
        <v>0</v>
      </c>
      <c r="AW83" s="305">
        <v>0</v>
      </c>
      <c r="AX83" s="305">
        <v>0</v>
      </c>
      <c r="AY83" s="305">
        <v>0</v>
      </c>
      <c r="AZ83" s="305">
        <v>0</v>
      </c>
      <c r="BA83" s="305">
        <v>0</v>
      </c>
      <c r="BB83" s="305">
        <v>0</v>
      </c>
      <c r="BC83" s="305">
        <v>0</v>
      </c>
      <c r="BF83" s="304" t="s">
        <v>643</v>
      </c>
      <c r="BG83" s="302">
        <v>0</v>
      </c>
      <c r="BH83" s="302">
        <v>8991.6203231094005</v>
      </c>
    </row>
    <row r="84" spans="40:60">
      <c r="AN84" s="304" t="s">
        <v>644</v>
      </c>
      <c r="AO84" s="305">
        <v>0</v>
      </c>
      <c r="AP84" s="305">
        <v>0</v>
      </c>
      <c r="AQ84" s="305">
        <v>0</v>
      </c>
      <c r="AR84" s="305">
        <v>0</v>
      </c>
      <c r="AS84" s="305">
        <v>0</v>
      </c>
      <c r="AT84" s="305">
        <v>0</v>
      </c>
      <c r="AU84" s="305">
        <v>0</v>
      </c>
      <c r="AV84" s="305">
        <v>0</v>
      </c>
      <c r="AW84" s="305">
        <v>0</v>
      </c>
      <c r="AX84" s="305">
        <v>0</v>
      </c>
      <c r="AY84" s="305">
        <v>0</v>
      </c>
      <c r="AZ84" s="305">
        <v>0</v>
      </c>
      <c r="BA84" s="305">
        <v>0</v>
      </c>
      <c r="BB84" s="305">
        <v>0</v>
      </c>
      <c r="BC84" s="305">
        <v>0</v>
      </c>
      <c r="BF84" s="304" t="s">
        <v>644</v>
      </c>
      <c r="BG84" s="302">
        <v>0</v>
      </c>
      <c r="BH84" s="302">
        <v>404209.15818875801</v>
      </c>
    </row>
    <row r="85" spans="40:60">
      <c r="AN85" s="304" t="s">
        <v>645</v>
      </c>
      <c r="AO85" s="305">
        <v>6682782.3361421302</v>
      </c>
      <c r="AP85" s="305">
        <v>0</v>
      </c>
      <c r="AQ85" s="305">
        <v>0</v>
      </c>
      <c r="AR85" s="305">
        <v>0</v>
      </c>
      <c r="AS85" s="305">
        <v>0</v>
      </c>
      <c r="AT85" s="305">
        <v>0</v>
      </c>
      <c r="AU85" s="305">
        <v>0</v>
      </c>
      <c r="AV85" s="305">
        <v>0</v>
      </c>
      <c r="AW85" s="305">
        <v>0</v>
      </c>
      <c r="AX85" s="305">
        <v>0</v>
      </c>
      <c r="AY85" s="305">
        <v>0</v>
      </c>
      <c r="AZ85" s="305">
        <v>0</v>
      </c>
      <c r="BA85" s="305">
        <v>0</v>
      </c>
      <c r="BB85" s="305">
        <v>0</v>
      </c>
      <c r="BC85" s="305">
        <v>0</v>
      </c>
      <c r="BF85" s="304" t="s">
        <v>645</v>
      </c>
      <c r="BG85" s="302">
        <v>0</v>
      </c>
      <c r="BH85" s="302">
        <v>0</v>
      </c>
    </row>
    <row r="86" spans="40:60">
      <c r="AN86" s="304" t="s">
        <v>646</v>
      </c>
      <c r="AO86" s="305">
        <v>0</v>
      </c>
      <c r="AP86" s="305">
        <v>0</v>
      </c>
      <c r="AQ86" s="305">
        <v>0</v>
      </c>
      <c r="AR86" s="305">
        <v>0</v>
      </c>
      <c r="AS86" s="305">
        <v>0</v>
      </c>
      <c r="AT86" s="305">
        <v>0</v>
      </c>
      <c r="AU86" s="305">
        <v>8855804.3203369807</v>
      </c>
      <c r="AV86" s="305">
        <v>0</v>
      </c>
      <c r="AW86" s="305">
        <v>0</v>
      </c>
      <c r="AX86" s="305">
        <v>0</v>
      </c>
      <c r="AY86" s="305">
        <v>0</v>
      </c>
      <c r="AZ86" s="305">
        <v>0</v>
      </c>
      <c r="BA86" s="305">
        <v>0</v>
      </c>
      <c r="BB86" s="305">
        <v>0</v>
      </c>
      <c r="BC86" s="305">
        <v>0</v>
      </c>
      <c r="BF86" s="304" t="s">
        <v>646</v>
      </c>
      <c r="BG86" s="302">
        <v>0</v>
      </c>
      <c r="BH86" s="302">
        <v>0</v>
      </c>
    </row>
    <row r="87" spans="40:60">
      <c r="AN87" s="304" t="s">
        <v>647</v>
      </c>
      <c r="AO87" s="305">
        <v>0</v>
      </c>
      <c r="AP87" s="305">
        <v>0</v>
      </c>
      <c r="AQ87" s="305">
        <v>0</v>
      </c>
      <c r="AR87" s="305">
        <v>8855804.3203369807</v>
      </c>
      <c r="AS87" s="305">
        <v>0</v>
      </c>
      <c r="AT87" s="305">
        <v>0</v>
      </c>
      <c r="AU87" s="305">
        <v>0</v>
      </c>
      <c r="AV87" s="305">
        <v>0</v>
      </c>
      <c r="AW87" s="305">
        <v>0</v>
      </c>
      <c r="AX87" s="305">
        <v>0</v>
      </c>
      <c r="AY87" s="305">
        <v>0</v>
      </c>
      <c r="AZ87" s="305">
        <v>0</v>
      </c>
      <c r="BA87" s="305">
        <v>0</v>
      </c>
      <c r="BB87" s="305">
        <v>0</v>
      </c>
      <c r="BC87" s="305">
        <v>0</v>
      </c>
      <c r="BF87" s="304" t="s">
        <v>647</v>
      </c>
      <c r="BG87" s="302">
        <v>0</v>
      </c>
      <c r="BH87" s="302">
        <v>0</v>
      </c>
    </row>
    <row r="88" spans="40:60">
      <c r="AN88" s="304" t="s">
        <v>648</v>
      </c>
      <c r="AO88" s="305">
        <v>0</v>
      </c>
      <c r="AP88" s="305">
        <v>8855804.3203369807</v>
      </c>
      <c r="AQ88" s="305">
        <v>0</v>
      </c>
      <c r="AR88" s="305">
        <v>0</v>
      </c>
      <c r="AS88" s="305">
        <v>0</v>
      </c>
      <c r="AT88" s="305">
        <v>0</v>
      </c>
      <c r="AU88" s="305">
        <v>0</v>
      </c>
      <c r="AV88" s="305">
        <v>0</v>
      </c>
      <c r="AW88" s="305">
        <v>0</v>
      </c>
      <c r="AX88" s="305">
        <v>0</v>
      </c>
      <c r="AY88" s="305">
        <v>0</v>
      </c>
      <c r="AZ88" s="305">
        <v>0</v>
      </c>
      <c r="BA88" s="305">
        <v>0</v>
      </c>
      <c r="BB88" s="305">
        <v>0</v>
      </c>
      <c r="BC88" s="305">
        <v>0</v>
      </c>
      <c r="BF88" s="304" t="s">
        <v>648</v>
      </c>
      <c r="BG88" s="302">
        <v>0</v>
      </c>
      <c r="BH88" s="302">
        <v>0</v>
      </c>
    </row>
    <row r="89" spans="40:60">
      <c r="AN89" s="304" t="s">
        <v>649</v>
      </c>
      <c r="AO89" s="305">
        <v>0</v>
      </c>
      <c r="AP89" s="305">
        <v>0</v>
      </c>
      <c r="AQ89" s="305">
        <v>8850991.3601140399</v>
      </c>
      <c r="AR89" s="305">
        <v>0</v>
      </c>
      <c r="AS89" s="305">
        <v>0</v>
      </c>
      <c r="AT89" s="305">
        <v>0</v>
      </c>
      <c r="AU89" s="305">
        <v>0</v>
      </c>
      <c r="AV89" s="305">
        <v>0</v>
      </c>
      <c r="AW89" s="305">
        <v>0</v>
      </c>
      <c r="AX89" s="305">
        <v>0</v>
      </c>
      <c r="AY89" s="305">
        <v>0</v>
      </c>
      <c r="AZ89" s="305">
        <v>0</v>
      </c>
      <c r="BA89" s="305">
        <v>0</v>
      </c>
      <c r="BB89" s="305">
        <v>0</v>
      </c>
      <c r="BC89" s="305">
        <v>0</v>
      </c>
      <c r="BF89" s="304" t="s">
        <v>649</v>
      </c>
      <c r="BG89" s="302">
        <v>0</v>
      </c>
      <c r="BH89" s="302">
        <v>0</v>
      </c>
    </row>
    <row r="90" spans="40:60">
      <c r="AN90" s="304" t="s">
        <v>650</v>
      </c>
      <c r="AO90" s="305">
        <v>0</v>
      </c>
      <c r="AP90" s="305">
        <v>0</v>
      </c>
      <c r="AQ90" s="305">
        <v>0</v>
      </c>
      <c r="AR90" s="305">
        <v>0</v>
      </c>
      <c r="AS90" s="305">
        <v>0</v>
      </c>
      <c r="AT90" s="305">
        <v>4026178.1360752499</v>
      </c>
      <c r="AU90" s="305">
        <v>0</v>
      </c>
      <c r="AV90" s="305">
        <v>0</v>
      </c>
      <c r="AW90" s="305">
        <v>0</v>
      </c>
      <c r="AX90" s="305">
        <v>0</v>
      </c>
      <c r="AY90" s="305">
        <v>0</v>
      </c>
      <c r="AZ90" s="305">
        <v>0</v>
      </c>
      <c r="BA90" s="305">
        <v>0</v>
      </c>
      <c r="BB90" s="305">
        <v>0</v>
      </c>
      <c r="BC90" s="305">
        <v>0</v>
      </c>
      <c r="BF90" s="304" t="s">
        <v>650</v>
      </c>
      <c r="BG90" s="302">
        <v>0</v>
      </c>
      <c r="BH90" s="302">
        <v>0</v>
      </c>
    </row>
    <row r="91" spans="40:60">
      <c r="AN91" s="304" t="s">
        <v>651</v>
      </c>
      <c r="AO91" s="305">
        <v>11826.742854693801</v>
      </c>
      <c r="AP91" s="305">
        <v>0</v>
      </c>
      <c r="AQ91" s="305">
        <v>30.954464502133501</v>
      </c>
      <c r="AR91" s="305">
        <v>0</v>
      </c>
      <c r="AS91" s="305">
        <v>0</v>
      </c>
      <c r="AT91" s="305">
        <v>0</v>
      </c>
      <c r="AU91" s="305">
        <v>14491.848717543</v>
      </c>
      <c r="AV91" s="305">
        <v>0</v>
      </c>
      <c r="AW91" s="305">
        <v>125.026374728874</v>
      </c>
      <c r="AX91" s="305">
        <v>0</v>
      </c>
      <c r="AY91" s="305">
        <v>0</v>
      </c>
      <c r="AZ91" s="305">
        <v>0.374842703513311</v>
      </c>
      <c r="BA91" s="305">
        <v>0</v>
      </c>
      <c r="BB91" s="305">
        <v>0</v>
      </c>
      <c r="BC91" s="305">
        <v>2671.5132120132398</v>
      </c>
      <c r="BF91" s="304" t="s">
        <v>651</v>
      </c>
      <c r="BG91" s="302">
        <v>0</v>
      </c>
      <c r="BH91" s="302">
        <v>0</v>
      </c>
    </row>
    <row r="92" spans="40:60">
      <c r="AN92" s="304" t="s">
        <v>652</v>
      </c>
      <c r="AO92" s="305">
        <v>0</v>
      </c>
      <c r="AP92" s="305">
        <v>0</v>
      </c>
      <c r="AQ92" s="305">
        <v>0</v>
      </c>
      <c r="AR92" s="305">
        <v>0</v>
      </c>
      <c r="AS92" s="305">
        <v>0</v>
      </c>
      <c r="AT92" s="305">
        <v>0</v>
      </c>
      <c r="AU92" s="305">
        <v>0</v>
      </c>
      <c r="AV92" s="305">
        <v>0</v>
      </c>
      <c r="AW92" s="305">
        <v>0</v>
      </c>
      <c r="AX92" s="305">
        <v>0</v>
      </c>
      <c r="AY92" s="305">
        <v>0</v>
      </c>
      <c r="AZ92" s="305">
        <v>0</v>
      </c>
      <c r="BA92" s="305">
        <v>0</v>
      </c>
      <c r="BB92" s="305">
        <v>0</v>
      </c>
      <c r="BC92" s="305">
        <v>0</v>
      </c>
      <c r="BF92" s="304" t="s">
        <v>652</v>
      </c>
      <c r="BG92" s="302">
        <v>0</v>
      </c>
      <c r="BH92" s="302">
        <v>555.77441893806395</v>
      </c>
    </row>
    <row r="93" spans="40:60">
      <c r="AN93" s="304" t="s">
        <v>653</v>
      </c>
      <c r="AO93" s="305">
        <v>0</v>
      </c>
      <c r="AP93" s="305">
        <v>0</v>
      </c>
      <c r="AQ93" s="305">
        <v>0</v>
      </c>
      <c r="AR93" s="305">
        <v>0</v>
      </c>
      <c r="AS93" s="305">
        <v>0</v>
      </c>
      <c r="AT93" s="305">
        <v>0</v>
      </c>
      <c r="AU93" s="305">
        <v>0</v>
      </c>
      <c r="AV93" s="305">
        <v>0</v>
      </c>
      <c r="AW93" s="305">
        <v>0</v>
      </c>
      <c r="AX93" s="305">
        <v>0</v>
      </c>
      <c r="AY93" s="305">
        <v>0</v>
      </c>
      <c r="AZ93" s="305">
        <v>0</v>
      </c>
      <c r="BA93" s="305">
        <v>0</v>
      </c>
      <c r="BB93" s="305">
        <v>0</v>
      </c>
      <c r="BC93" s="305">
        <v>0</v>
      </c>
      <c r="BF93" s="304" t="s">
        <v>653</v>
      </c>
      <c r="BG93" s="302">
        <v>0</v>
      </c>
      <c r="BH93" s="302">
        <v>303788.26554911397</v>
      </c>
    </row>
    <row r="94" spans="40:60">
      <c r="AN94" s="304" t="s">
        <v>654</v>
      </c>
      <c r="AO94" s="305">
        <v>0</v>
      </c>
      <c r="AP94" s="305">
        <v>0</v>
      </c>
      <c r="AQ94" s="305">
        <v>0</v>
      </c>
      <c r="AR94" s="305">
        <v>0</v>
      </c>
      <c r="AS94" s="305">
        <v>0</v>
      </c>
      <c r="AT94" s="305">
        <v>0</v>
      </c>
      <c r="AU94" s="305">
        <v>0</v>
      </c>
      <c r="AV94" s="305">
        <v>0</v>
      </c>
      <c r="AW94" s="305">
        <v>0</v>
      </c>
      <c r="AX94" s="305">
        <v>0</v>
      </c>
      <c r="AY94" s="305">
        <v>0</v>
      </c>
      <c r="AZ94" s="305">
        <v>0</v>
      </c>
      <c r="BA94" s="305">
        <v>0</v>
      </c>
      <c r="BB94" s="305">
        <v>0</v>
      </c>
      <c r="BC94" s="305">
        <v>0</v>
      </c>
      <c r="BF94" s="304" t="s">
        <v>654</v>
      </c>
      <c r="BG94" s="302">
        <v>0</v>
      </c>
      <c r="BH94" s="302">
        <v>2244.7960862667501</v>
      </c>
    </row>
    <row r="95" spans="40:60">
      <c r="AN95" s="304" t="s">
        <v>655</v>
      </c>
      <c r="AO95" s="305">
        <v>0</v>
      </c>
      <c r="AP95" s="305">
        <v>0</v>
      </c>
      <c r="AQ95" s="305">
        <v>0</v>
      </c>
      <c r="AR95" s="305">
        <v>0</v>
      </c>
      <c r="AS95" s="305">
        <v>0</v>
      </c>
      <c r="AT95" s="305">
        <v>0</v>
      </c>
      <c r="AU95" s="305">
        <v>0</v>
      </c>
      <c r="AV95" s="305">
        <v>0</v>
      </c>
      <c r="AW95" s="305">
        <v>0</v>
      </c>
      <c r="AX95" s="305">
        <v>0</v>
      </c>
      <c r="AY95" s="305">
        <v>0</v>
      </c>
      <c r="AZ95" s="305">
        <v>0</v>
      </c>
      <c r="BA95" s="305">
        <v>0</v>
      </c>
      <c r="BB95" s="305">
        <v>0</v>
      </c>
      <c r="BC95" s="305">
        <v>0</v>
      </c>
      <c r="BF95" s="304" t="s">
        <v>655</v>
      </c>
      <c r="BG95" s="302">
        <v>0</v>
      </c>
      <c r="BH95" s="302">
        <v>6.7177820097776797</v>
      </c>
    </row>
    <row r="96" spans="40:60">
      <c r="AN96" s="304" t="s">
        <v>656</v>
      </c>
      <c r="AO96" s="305">
        <v>318930.104231745</v>
      </c>
      <c r="AP96" s="305">
        <v>50.358084153937803</v>
      </c>
      <c r="AQ96" s="305">
        <v>80616.370239891301</v>
      </c>
      <c r="AR96" s="305">
        <v>282.12877103151499</v>
      </c>
      <c r="AS96" s="305">
        <v>0</v>
      </c>
      <c r="AT96" s="305">
        <v>33191.859393697501</v>
      </c>
      <c r="AU96" s="305">
        <v>0</v>
      </c>
      <c r="AV96" s="305">
        <v>12626.098826338701</v>
      </c>
      <c r="AW96" s="305">
        <v>0</v>
      </c>
      <c r="AX96" s="305">
        <v>609792.25175934797</v>
      </c>
      <c r="AY96" s="305">
        <v>34.678095164115</v>
      </c>
      <c r="AZ96" s="305">
        <v>0</v>
      </c>
      <c r="BA96" s="305">
        <v>2824.8856477449199</v>
      </c>
      <c r="BB96" s="305">
        <v>0</v>
      </c>
      <c r="BC96" s="305">
        <v>0</v>
      </c>
      <c r="BF96" s="304" t="s">
        <v>656</v>
      </c>
      <c r="BG96" s="302">
        <v>0</v>
      </c>
      <c r="BH96" s="302">
        <v>0</v>
      </c>
    </row>
    <row r="97" spans="40:60">
      <c r="AN97" s="304" t="s">
        <v>657</v>
      </c>
      <c r="AO97" s="305">
        <v>29112.263489807599</v>
      </c>
      <c r="AP97" s="305">
        <v>0</v>
      </c>
      <c r="AQ97" s="305">
        <v>0</v>
      </c>
      <c r="AR97" s="305">
        <v>0</v>
      </c>
      <c r="AS97" s="305">
        <v>0</v>
      </c>
      <c r="AT97" s="305">
        <v>0</v>
      </c>
      <c r="AU97" s="305">
        <v>0</v>
      </c>
      <c r="AV97" s="305">
        <v>0</v>
      </c>
      <c r="AW97" s="305">
        <v>0</v>
      </c>
      <c r="AX97" s="305">
        <v>0</v>
      </c>
      <c r="AY97" s="305">
        <v>0</v>
      </c>
      <c r="AZ97" s="305">
        <v>0</v>
      </c>
      <c r="BA97" s="305">
        <v>0</v>
      </c>
      <c r="BB97" s="305">
        <v>0</v>
      </c>
      <c r="BC97" s="305">
        <v>0</v>
      </c>
      <c r="BF97" s="304" t="s">
        <v>657</v>
      </c>
      <c r="BG97" s="302">
        <v>0</v>
      </c>
      <c r="BH97" s="302">
        <v>0</v>
      </c>
    </row>
    <row r="98" spans="40:60">
      <c r="AN98" s="304" t="s">
        <v>658</v>
      </c>
      <c r="AO98" s="305">
        <v>0</v>
      </c>
      <c r="AP98" s="305">
        <v>0</v>
      </c>
      <c r="AQ98" s="305">
        <v>23309.045257575199</v>
      </c>
      <c r="AR98" s="305">
        <v>0</v>
      </c>
      <c r="AS98" s="305">
        <v>0</v>
      </c>
      <c r="AT98" s="305">
        <v>0</v>
      </c>
      <c r="AU98" s="305">
        <v>0</v>
      </c>
      <c r="AV98" s="305">
        <v>0</v>
      </c>
      <c r="AW98" s="305">
        <v>94146.207140653802</v>
      </c>
      <c r="AX98" s="305">
        <v>0</v>
      </c>
      <c r="AY98" s="305">
        <v>0</v>
      </c>
      <c r="AZ98" s="305">
        <v>257.99399332425401</v>
      </c>
      <c r="BA98" s="305">
        <v>0</v>
      </c>
      <c r="BB98" s="305">
        <v>0</v>
      </c>
      <c r="BC98" s="305">
        <v>0</v>
      </c>
      <c r="BF98" s="304" t="s">
        <v>658</v>
      </c>
      <c r="BG98" s="302">
        <v>0</v>
      </c>
      <c r="BH98" s="302">
        <v>0</v>
      </c>
    </row>
    <row r="99" spans="40:60">
      <c r="AN99" s="304" t="s">
        <v>659</v>
      </c>
      <c r="AO99" s="305">
        <v>0</v>
      </c>
      <c r="AP99" s="305">
        <v>0</v>
      </c>
      <c r="AQ99" s="305">
        <v>0</v>
      </c>
      <c r="AR99" s="305">
        <v>0</v>
      </c>
      <c r="AS99" s="305">
        <v>0</v>
      </c>
      <c r="AT99" s="305">
        <v>0</v>
      </c>
      <c r="AU99" s="305">
        <v>0</v>
      </c>
      <c r="AV99" s="305">
        <v>0</v>
      </c>
      <c r="AW99" s="305">
        <v>0</v>
      </c>
      <c r="AX99" s="305">
        <v>0</v>
      </c>
      <c r="AY99" s="305">
        <v>0</v>
      </c>
      <c r="AZ99" s="305">
        <v>0</v>
      </c>
      <c r="BA99" s="305">
        <v>0</v>
      </c>
      <c r="BB99" s="305">
        <v>88071.706245154506</v>
      </c>
      <c r="BC99" s="305">
        <v>0</v>
      </c>
      <c r="BF99" s="304" t="s">
        <v>659</v>
      </c>
      <c r="BG99" s="302">
        <v>0</v>
      </c>
      <c r="BH99" s="302">
        <v>0</v>
      </c>
    </row>
    <row r="100" spans="40:60">
      <c r="AN100" s="304" t="s">
        <v>660</v>
      </c>
      <c r="AO100" s="305">
        <v>0</v>
      </c>
      <c r="AP100" s="305">
        <v>0</v>
      </c>
      <c r="AQ100" s="305">
        <v>0</v>
      </c>
      <c r="AR100" s="305">
        <v>0</v>
      </c>
      <c r="AS100" s="305">
        <v>0</v>
      </c>
      <c r="AT100" s="305">
        <v>0</v>
      </c>
      <c r="AU100" s="305">
        <v>0</v>
      </c>
      <c r="AV100" s="305">
        <v>0</v>
      </c>
      <c r="AW100" s="305">
        <v>0</v>
      </c>
      <c r="AX100" s="305">
        <v>108184.85967288</v>
      </c>
      <c r="AY100" s="305">
        <v>0</v>
      </c>
      <c r="AZ100" s="305">
        <v>0</v>
      </c>
      <c r="BA100" s="305">
        <v>0</v>
      </c>
      <c r="BB100" s="305">
        <v>0</v>
      </c>
      <c r="BC100" s="305">
        <v>0</v>
      </c>
      <c r="BF100" s="304" t="s">
        <v>660</v>
      </c>
      <c r="BG100" s="302">
        <v>0</v>
      </c>
      <c r="BH100" s="302">
        <v>0</v>
      </c>
    </row>
    <row r="101" spans="40:60">
      <c r="AN101" s="304" t="s">
        <v>661</v>
      </c>
      <c r="AO101" s="305">
        <v>0</v>
      </c>
      <c r="AP101" s="305">
        <v>0</v>
      </c>
      <c r="AQ101" s="305">
        <v>0</v>
      </c>
      <c r="AR101" s="305">
        <v>0</v>
      </c>
      <c r="AS101" s="305">
        <v>0</v>
      </c>
      <c r="AT101" s="305">
        <v>0</v>
      </c>
      <c r="AU101" s="305">
        <v>0</v>
      </c>
      <c r="AV101" s="305">
        <v>108184.85967288</v>
      </c>
      <c r="AW101" s="305">
        <v>0</v>
      </c>
      <c r="AX101" s="305">
        <v>0</v>
      </c>
      <c r="AY101" s="305">
        <v>0</v>
      </c>
      <c r="AZ101" s="305">
        <v>0</v>
      </c>
      <c r="BA101" s="305">
        <v>0</v>
      </c>
      <c r="BB101" s="305">
        <v>0</v>
      </c>
      <c r="BC101" s="305">
        <v>0</v>
      </c>
      <c r="BF101" s="304" t="s">
        <v>661</v>
      </c>
      <c r="BG101" s="302">
        <v>0</v>
      </c>
      <c r="BH101" s="302">
        <v>0</v>
      </c>
    </row>
    <row r="102" spans="40:60">
      <c r="AN102" s="304" t="s">
        <v>662</v>
      </c>
      <c r="AO102" s="305">
        <v>0</v>
      </c>
      <c r="AP102" s="305">
        <v>0</v>
      </c>
      <c r="AQ102" s="305">
        <v>0</v>
      </c>
      <c r="AR102" s="305">
        <v>0</v>
      </c>
      <c r="AS102" s="305">
        <v>0</v>
      </c>
      <c r="AT102" s="305">
        <v>0</v>
      </c>
      <c r="AU102" s="305">
        <v>0</v>
      </c>
      <c r="AV102" s="305">
        <v>0</v>
      </c>
      <c r="AW102" s="305">
        <v>108184.85967288</v>
      </c>
      <c r="AX102" s="305">
        <v>0</v>
      </c>
      <c r="AY102" s="305">
        <v>0</v>
      </c>
      <c r="AZ102" s="305">
        <v>0</v>
      </c>
      <c r="BA102" s="305">
        <v>0</v>
      </c>
      <c r="BB102" s="305">
        <v>0</v>
      </c>
      <c r="BC102" s="305">
        <v>0</v>
      </c>
      <c r="BF102" s="304" t="s">
        <v>662</v>
      </c>
      <c r="BG102" s="302">
        <v>0</v>
      </c>
      <c r="BH102" s="302">
        <v>0</v>
      </c>
    </row>
    <row r="103" spans="40:60">
      <c r="AN103" s="304" t="s">
        <v>663</v>
      </c>
      <c r="AO103" s="305">
        <v>0</v>
      </c>
      <c r="AP103" s="305">
        <v>0</v>
      </c>
      <c r="AQ103" s="305">
        <v>0</v>
      </c>
      <c r="AR103" s="305">
        <v>0</v>
      </c>
      <c r="AS103" s="305">
        <v>0</v>
      </c>
      <c r="AT103" s="305">
        <v>0</v>
      </c>
      <c r="AU103" s="305">
        <v>0</v>
      </c>
      <c r="AV103" s="305">
        <v>0</v>
      </c>
      <c r="AW103" s="305">
        <v>0</v>
      </c>
      <c r="AX103" s="305">
        <v>0</v>
      </c>
      <c r="AY103" s="305">
        <v>0</v>
      </c>
      <c r="AZ103" s="305">
        <v>0</v>
      </c>
      <c r="BA103" s="305">
        <v>0</v>
      </c>
      <c r="BB103" s="305">
        <v>0</v>
      </c>
      <c r="BC103" s="305">
        <v>0</v>
      </c>
      <c r="BF103" s="304" t="s">
        <v>663</v>
      </c>
      <c r="BG103" s="302">
        <v>0</v>
      </c>
      <c r="BH103" s="302">
        <v>21722.892325740399</v>
      </c>
    </row>
    <row r="104" spans="40:60">
      <c r="AN104" s="304" t="s">
        <v>664</v>
      </c>
      <c r="AO104" s="305">
        <v>0</v>
      </c>
      <c r="AP104" s="305">
        <v>0</v>
      </c>
      <c r="AQ104" s="305">
        <v>0</v>
      </c>
      <c r="AR104" s="305">
        <v>0</v>
      </c>
      <c r="AS104" s="305">
        <v>0</v>
      </c>
      <c r="AT104" s="305">
        <v>0</v>
      </c>
      <c r="AU104" s="305">
        <v>0</v>
      </c>
      <c r="AV104" s="305">
        <v>0</v>
      </c>
      <c r="AW104" s="305">
        <v>0</v>
      </c>
      <c r="AX104" s="305">
        <v>0</v>
      </c>
      <c r="AY104" s="305">
        <v>0</v>
      </c>
      <c r="AZ104" s="305">
        <v>0</v>
      </c>
      <c r="BA104" s="305">
        <v>0</v>
      </c>
      <c r="BB104" s="305">
        <v>0</v>
      </c>
      <c r="BC104" s="305">
        <v>0</v>
      </c>
      <c r="BF104" s="304" t="s">
        <v>664</v>
      </c>
      <c r="BG104" s="302">
        <v>0</v>
      </c>
      <c r="BH104" s="302">
        <v>87222.135331413898</v>
      </c>
    </row>
    <row r="105" spans="40:60">
      <c r="AN105" s="304" t="s">
        <v>665</v>
      </c>
      <c r="AO105" s="305">
        <v>0</v>
      </c>
      <c r="AP105" s="305">
        <v>0</v>
      </c>
      <c r="AQ105" s="305">
        <v>0</v>
      </c>
      <c r="AR105" s="305">
        <v>0</v>
      </c>
      <c r="AS105" s="305">
        <v>0</v>
      </c>
      <c r="AT105" s="305">
        <v>0</v>
      </c>
      <c r="AU105" s="305">
        <v>0</v>
      </c>
      <c r="AV105" s="305">
        <v>0</v>
      </c>
      <c r="AW105" s="305">
        <v>0</v>
      </c>
      <c r="AX105" s="305">
        <v>0</v>
      </c>
      <c r="AY105" s="305">
        <v>0</v>
      </c>
      <c r="AZ105" s="305">
        <v>0</v>
      </c>
      <c r="BA105" s="305">
        <v>0</v>
      </c>
      <c r="BB105" s="305">
        <v>0</v>
      </c>
      <c r="BC105" s="305">
        <v>25297.051877142199</v>
      </c>
      <c r="BF105" s="304" t="s">
        <v>665</v>
      </c>
      <c r="BG105" s="302">
        <v>0</v>
      </c>
      <c r="BH105" s="302">
        <v>0</v>
      </c>
    </row>
    <row r="106" spans="40:60">
      <c r="AN106" s="304" t="s">
        <v>666</v>
      </c>
      <c r="AO106" s="305">
        <v>0</v>
      </c>
      <c r="AP106" s="305">
        <v>0</v>
      </c>
      <c r="AQ106" s="305">
        <v>0</v>
      </c>
      <c r="AR106" s="305">
        <v>0</v>
      </c>
      <c r="AS106" s="305">
        <v>0</v>
      </c>
      <c r="AT106" s="305">
        <v>0</v>
      </c>
      <c r="AU106" s="305">
        <v>0</v>
      </c>
      <c r="AV106" s="305">
        <v>0</v>
      </c>
      <c r="AW106" s="305">
        <v>0</v>
      </c>
      <c r="AX106" s="305">
        <v>0</v>
      </c>
      <c r="AY106" s="305">
        <v>0</v>
      </c>
      <c r="AZ106" s="305">
        <v>0</v>
      </c>
      <c r="BA106" s="305">
        <v>25297.051877142199</v>
      </c>
      <c r="BB106" s="305">
        <v>0</v>
      </c>
      <c r="BC106" s="305">
        <v>0</v>
      </c>
      <c r="BF106" s="304" t="s">
        <v>666</v>
      </c>
      <c r="BG106" s="302">
        <v>0</v>
      </c>
      <c r="BH106" s="302">
        <v>0</v>
      </c>
    </row>
    <row r="107" spans="40:60">
      <c r="AN107" s="304" t="s">
        <v>667</v>
      </c>
      <c r="AO107" s="305">
        <v>0</v>
      </c>
      <c r="AP107" s="305">
        <v>0</v>
      </c>
      <c r="AQ107" s="305">
        <v>0</v>
      </c>
      <c r="AR107" s="305">
        <v>0</v>
      </c>
      <c r="AS107" s="305">
        <v>0</v>
      </c>
      <c r="AT107" s="305">
        <v>0</v>
      </c>
      <c r="AU107" s="305">
        <v>0</v>
      </c>
      <c r="AV107" s="305">
        <v>0</v>
      </c>
      <c r="AW107" s="305">
        <v>0</v>
      </c>
      <c r="AX107" s="305">
        <v>0</v>
      </c>
      <c r="AY107" s="305">
        <v>25297.051877142199</v>
      </c>
      <c r="AZ107" s="305">
        <v>0</v>
      </c>
      <c r="BA107" s="305">
        <v>0</v>
      </c>
      <c r="BB107" s="305">
        <v>0</v>
      </c>
      <c r="BC107" s="305">
        <v>0</v>
      </c>
      <c r="BF107" s="304" t="s">
        <v>667</v>
      </c>
      <c r="BG107" s="302">
        <v>0</v>
      </c>
      <c r="BH107" s="302">
        <v>0</v>
      </c>
    </row>
    <row r="108" spans="40:60">
      <c r="AN108" s="304" t="s">
        <v>668</v>
      </c>
      <c r="AO108" s="305">
        <v>0</v>
      </c>
      <c r="AP108" s="305">
        <v>0</v>
      </c>
      <c r="AQ108" s="305">
        <v>0</v>
      </c>
      <c r="AR108" s="305">
        <v>0</v>
      </c>
      <c r="AS108" s="305">
        <v>0</v>
      </c>
      <c r="AT108" s="305">
        <v>0</v>
      </c>
      <c r="AU108" s="305">
        <v>0</v>
      </c>
      <c r="AV108" s="305">
        <v>0</v>
      </c>
      <c r="AW108" s="305">
        <v>0</v>
      </c>
      <c r="AX108" s="305">
        <v>0</v>
      </c>
      <c r="AY108" s="305">
        <v>0</v>
      </c>
      <c r="AZ108" s="305">
        <v>25297.051877142199</v>
      </c>
      <c r="BA108" s="305">
        <v>0</v>
      </c>
      <c r="BB108" s="305">
        <v>0</v>
      </c>
      <c r="BC108" s="305">
        <v>0</v>
      </c>
      <c r="BF108" s="304" t="s">
        <v>668</v>
      </c>
      <c r="BG108" s="302">
        <v>0</v>
      </c>
      <c r="BH108" s="302">
        <v>0</v>
      </c>
    </row>
    <row r="109" spans="40:60">
      <c r="AN109" s="304" t="s">
        <v>669</v>
      </c>
      <c r="AO109" s="305">
        <v>0</v>
      </c>
      <c r="AP109" s="305">
        <v>0</v>
      </c>
      <c r="AQ109" s="305">
        <v>0</v>
      </c>
      <c r="AR109" s="305">
        <v>0</v>
      </c>
      <c r="AS109" s="305">
        <v>0</v>
      </c>
      <c r="AT109" s="305">
        <v>0</v>
      </c>
      <c r="AU109" s="305">
        <v>0</v>
      </c>
      <c r="AV109" s="305">
        <v>0</v>
      </c>
      <c r="AW109" s="305">
        <v>0</v>
      </c>
      <c r="AX109" s="305">
        <v>0</v>
      </c>
      <c r="AY109" s="305">
        <v>0</v>
      </c>
      <c r="AZ109" s="305">
        <v>0</v>
      </c>
      <c r="BA109" s="305">
        <v>0</v>
      </c>
      <c r="BB109" s="305">
        <v>0</v>
      </c>
      <c r="BC109" s="305">
        <v>0</v>
      </c>
      <c r="BF109" s="304" t="s">
        <v>669</v>
      </c>
      <c r="BG109" s="302">
        <v>0</v>
      </c>
      <c r="BH109" s="302">
        <v>7739.25118007116</v>
      </c>
    </row>
    <row r="110" spans="40:60">
      <c r="AN110" s="304" t="s">
        <v>670</v>
      </c>
      <c r="AO110" s="305">
        <v>0</v>
      </c>
      <c r="AP110" s="305">
        <v>0</v>
      </c>
      <c r="AQ110" s="305">
        <v>0</v>
      </c>
      <c r="AR110" s="305">
        <v>0</v>
      </c>
      <c r="AS110" s="305">
        <v>0</v>
      </c>
      <c r="AT110" s="305">
        <v>0</v>
      </c>
      <c r="AU110" s="305">
        <v>0</v>
      </c>
      <c r="AV110" s="305">
        <v>0</v>
      </c>
      <c r="AW110" s="305">
        <v>0</v>
      </c>
      <c r="AX110" s="305">
        <v>0</v>
      </c>
      <c r="AY110" s="305">
        <v>0</v>
      </c>
      <c r="AZ110" s="305">
        <v>24.076233417548501</v>
      </c>
      <c r="BA110" s="305">
        <v>0</v>
      </c>
      <c r="BB110" s="305">
        <v>0</v>
      </c>
      <c r="BC110" s="305">
        <v>0</v>
      </c>
      <c r="BF110" s="304" t="s">
        <v>670</v>
      </c>
      <c r="BG110" s="302">
        <v>0</v>
      </c>
      <c r="BH110" s="302">
        <v>0</v>
      </c>
    </row>
    <row r="111" spans="40:60">
      <c r="AN111" s="304" t="s">
        <v>671</v>
      </c>
      <c r="AO111" s="305">
        <v>2329445.30922601</v>
      </c>
      <c r="AP111" s="305">
        <v>0</v>
      </c>
      <c r="AQ111" s="305">
        <v>0</v>
      </c>
      <c r="AR111" s="305">
        <v>0</v>
      </c>
      <c r="AS111" s="305">
        <v>0</v>
      </c>
      <c r="AT111" s="305">
        <v>0</v>
      </c>
      <c r="AU111" s="305">
        <v>10583778.883576799</v>
      </c>
      <c r="AV111" s="305">
        <v>0</v>
      </c>
      <c r="AW111" s="305">
        <v>0</v>
      </c>
      <c r="AX111" s="305">
        <v>0</v>
      </c>
      <c r="AY111" s="305">
        <v>0</v>
      </c>
      <c r="AZ111" s="305">
        <v>0</v>
      </c>
      <c r="BA111" s="305">
        <v>0</v>
      </c>
      <c r="BB111" s="305">
        <v>0</v>
      </c>
      <c r="BC111" s="305">
        <v>1951076.47558275</v>
      </c>
      <c r="BF111" s="304" t="s">
        <v>671</v>
      </c>
      <c r="BG111" s="302">
        <v>0</v>
      </c>
      <c r="BH111" s="302">
        <v>0</v>
      </c>
    </row>
    <row r="112" spans="40:60">
      <c r="AN112" s="304" t="s">
        <v>672</v>
      </c>
      <c r="AO112" s="305">
        <v>0</v>
      </c>
      <c r="AP112" s="305">
        <v>0</v>
      </c>
      <c r="AQ112" s="305">
        <v>0</v>
      </c>
      <c r="AR112" s="305">
        <v>0</v>
      </c>
      <c r="AS112" s="305">
        <v>0</v>
      </c>
      <c r="AT112" s="305">
        <v>0</v>
      </c>
      <c r="AU112" s="305">
        <v>0</v>
      </c>
      <c r="AV112" s="305">
        <v>0</v>
      </c>
      <c r="AW112" s="305">
        <v>0</v>
      </c>
      <c r="AX112" s="305">
        <v>0</v>
      </c>
      <c r="AY112" s="305">
        <v>0</v>
      </c>
      <c r="AZ112" s="305">
        <v>0</v>
      </c>
      <c r="BA112" s="305">
        <v>0</v>
      </c>
      <c r="BB112" s="305">
        <v>0</v>
      </c>
      <c r="BC112" s="305">
        <v>0</v>
      </c>
      <c r="BF112" s="304" t="s">
        <v>672</v>
      </c>
      <c r="BG112" s="302">
        <v>4157895.2984628798</v>
      </c>
      <c r="BH112" s="302">
        <v>0</v>
      </c>
    </row>
    <row r="113" spans="1:60">
      <c r="AN113" s="304" t="s">
        <v>673</v>
      </c>
      <c r="AO113" s="305">
        <v>0</v>
      </c>
      <c r="AP113" s="305">
        <v>0</v>
      </c>
      <c r="AQ113" s="305">
        <v>0</v>
      </c>
      <c r="AR113" s="305">
        <v>0</v>
      </c>
      <c r="AS113" s="305">
        <v>0</v>
      </c>
      <c r="AT113" s="305">
        <v>0</v>
      </c>
      <c r="AU113" s="305">
        <v>0</v>
      </c>
      <c r="AV113" s="305">
        <v>0</v>
      </c>
      <c r="AW113" s="305">
        <v>0</v>
      </c>
      <c r="AX113" s="305">
        <v>0</v>
      </c>
      <c r="AY113" s="305">
        <v>0</v>
      </c>
      <c r="AZ113" s="305">
        <v>0</v>
      </c>
      <c r="BA113" s="305">
        <v>0</v>
      </c>
      <c r="BB113" s="305">
        <v>0</v>
      </c>
      <c r="BC113" s="305">
        <v>0</v>
      </c>
      <c r="BF113" s="304" t="s">
        <v>673</v>
      </c>
      <c r="BG113" s="302">
        <v>0</v>
      </c>
      <c r="BH113" s="302">
        <v>67875.356217847497</v>
      </c>
    </row>
    <row r="114" spans="1:60">
      <c r="AN114" s="304" t="s">
        <v>674</v>
      </c>
      <c r="AO114" s="305">
        <v>0</v>
      </c>
      <c r="AP114" s="305">
        <v>0</v>
      </c>
      <c r="AQ114" s="305">
        <v>0</v>
      </c>
      <c r="AR114" s="305">
        <v>0</v>
      </c>
      <c r="AS114" s="305">
        <v>0</v>
      </c>
      <c r="AT114" s="305">
        <v>0</v>
      </c>
      <c r="AU114" s="305">
        <v>0</v>
      </c>
      <c r="AV114" s="305">
        <v>0</v>
      </c>
      <c r="AW114" s="305">
        <v>0</v>
      </c>
      <c r="AX114" s="305">
        <v>0</v>
      </c>
      <c r="AY114" s="305">
        <v>0</v>
      </c>
      <c r="AZ114" s="305">
        <v>0</v>
      </c>
      <c r="BA114" s="305">
        <v>0</v>
      </c>
      <c r="BB114" s="305">
        <v>242016.07607977401</v>
      </c>
      <c r="BC114" s="305">
        <v>0</v>
      </c>
      <c r="BF114" s="304" t="s">
        <v>674</v>
      </c>
      <c r="BG114" s="302">
        <v>0</v>
      </c>
      <c r="BH114" s="302">
        <v>0</v>
      </c>
    </row>
    <row r="115" spans="1:60">
      <c r="AN115" s="304" t="s">
        <v>675</v>
      </c>
      <c r="AO115" s="305">
        <v>0</v>
      </c>
      <c r="AP115" s="305">
        <v>0</v>
      </c>
      <c r="AQ115" s="305">
        <v>0</v>
      </c>
      <c r="AR115" s="305">
        <v>0</v>
      </c>
      <c r="AS115" s="305">
        <v>0</v>
      </c>
      <c r="AT115" s="305">
        <v>0</v>
      </c>
      <c r="AU115" s="305">
        <v>0</v>
      </c>
      <c r="AV115" s="305">
        <v>0</v>
      </c>
      <c r="AW115" s="305">
        <v>0</v>
      </c>
      <c r="AX115" s="305">
        <v>0</v>
      </c>
      <c r="AY115" s="305">
        <v>0</v>
      </c>
      <c r="AZ115" s="305">
        <v>0</v>
      </c>
      <c r="BA115" s="305">
        <v>0</v>
      </c>
      <c r="BB115" s="305">
        <v>0</v>
      </c>
      <c r="BC115" s="305">
        <v>0</v>
      </c>
      <c r="BF115" s="304" t="s">
        <v>675</v>
      </c>
      <c r="BG115" s="302">
        <v>0</v>
      </c>
      <c r="BH115" s="302">
        <v>955411.77850757004</v>
      </c>
    </row>
    <row r="116" spans="1:60">
      <c r="AN116" s="304" t="s">
        <v>676</v>
      </c>
      <c r="AO116" s="305">
        <v>2830357.1263978099</v>
      </c>
      <c r="AP116" s="305">
        <v>0</v>
      </c>
      <c r="AQ116" s="305">
        <v>0</v>
      </c>
      <c r="AR116" s="305">
        <v>0</v>
      </c>
      <c r="AS116" s="305">
        <v>0</v>
      </c>
      <c r="AT116" s="305">
        <v>0</v>
      </c>
      <c r="AU116" s="305">
        <v>0</v>
      </c>
      <c r="AV116" s="305">
        <v>0</v>
      </c>
      <c r="AW116" s="305">
        <v>0</v>
      </c>
      <c r="AX116" s="305">
        <v>0</v>
      </c>
      <c r="AY116" s="305">
        <v>0</v>
      </c>
      <c r="AZ116" s="305">
        <v>0</v>
      </c>
      <c r="BA116" s="305">
        <v>0</v>
      </c>
      <c r="BB116" s="305">
        <v>0</v>
      </c>
      <c r="BC116" s="305">
        <v>0</v>
      </c>
      <c r="BF116" s="304" t="s">
        <v>676</v>
      </c>
      <c r="BG116" s="302">
        <v>1213010.1970276299</v>
      </c>
      <c r="BH116" s="302">
        <v>0</v>
      </c>
    </row>
    <row r="117" spans="1:60">
      <c r="AN117" s="304" t="s">
        <v>677</v>
      </c>
      <c r="AO117" s="305">
        <v>0</v>
      </c>
      <c r="AP117" s="305">
        <v>0</v>
      </c>
      <c r="AQ117" s="305">
        <v>0</v>
      </c>
      <c r="AR117" s="305">
        <v>0</v>
      </c>
      <c r="AS117" s="305">
        <v>4043367.3234254499</v>
      </c>
      <c r="AT117" s="305">
        <v>0</v>
      </c>
      <c r="AU117" s="305">
        <v>0</v>
      </c>
      <c r="AV117" s="305">
        <v>0</v>
      </c>
      <c r="AW117" s="305">
        <v>0</v>
      </c>
      <c r="AX117" s="305">
        <v>0</v>
      </c>
      <c r="AY117" s="305">
        <v>0</v>
      </c>
      <c r="AZ117" s="305">
        <v>0</v>
      </c>
      <c r="BA117" s="305">
        <v>0</v>
      </c>
      <c r="BB117" s="305">
        <v>0</v>
      </c>
      <c r="BC117" s="305">
        <v>0</v>
      </c>
      <c r="BF117" s="304" t="s">
        <v>677</v>
      </c>
      <c r="BG117" s="302">
        <v>0</v>
      </c>
      <c r="BH117" s="302">
        <v>0</v>
      </c>
    </row>
    <row r="118" spans="1:60">
      <c r="AN118" s="304"/>
      <c r="AO118" s="390" t="s">
        <v>698</v>
      </c>
      <c r="AP118" s="402"/>
      <c r="AQ118" s="402"/>
      <c r="AR118" s="402"/>
      <c r="AS118" s="402"/>
      <c r="AT118" s="402"/>
      <c r="AU118" s="402"/>
      <c r="AV118" s="402"/>
      <c r="AW118" s="402"/>
      <c r="AX118" s="402"/>
      <c r="AY118" s="402"/>
      <c r="AZ118" s="402"/>
      <c r="BA118" s="402"/>
      <c r="BB118" s="402"/>
      <c r="BC118" s="402"/>
      <c r="BF118" s="304"/>
      <c r="BG118" s="390" t="s">
        <v>702</v>
      </c>
      <c r="BH118" s="402"/>
    </row>
    <row r="121" spans="1:60" ht="228">
      <c r="A121" s="303" t="s">
        <v>641</v>
      </c>
      <c r="B121" s="234" t="s">
        <v>642</v>
      </c>
      <c r="C121" s="234" t="s">
        <v>643</v>
      </c>
      <c r="D121" s="234" t="s">
        <v>644</v>
      </c>
      <c r="E121" s="234" t="s">
        <v>645</v>
      </c>
      <c r="F121" s="234" t="s">
        <v>646</v>
      </c>
      <c r="G121" s="234" t="s">
        <v>647</v>
      </c>
      <c r="H121" s="234" t="s">
        <v>648</v>
      </c>
      <c r="I121" s="234" t="s">
        <v>649</v>
      </c>
      <c r="J121" s="234" t="s">
        <v>650</v>
      </c>
      <c r="K121" s="234" t="s">
        <v>651</v>
      </c>
      <c r="L121" s="234" t="s">
        <v>652</v>
      </c>
      <c r="M121" s="234" t="s">
        <v>653</v>
      </c>
      <c r="N121" s="234" t="s">
        <v>654</v>
      </c>
      <c r="O121" s="234" t="s">
        <v>655</v>
      </c>
      <c r="P121" s="234" t="s">
        <v>656</v>
      </c>
      <c r="Q121" s="234" t="s">
        <v>657</v>
      </c>
      <c r="R121" s="234" t="s">
        <v>658</v>
      </c>
      <c r="S121" s="234" t="s">
        <v>659</v>
      </c>
      <c r="T121" s="234" t="s">
        <v>660</v>
      </c>
      <c r="U121" s="234" t="s">
        <v>661</v>
      </c>
      <c r="V121" s="234" t="s">
        <v>662</v>
      </c>
      <c r="W121" s="234" t="s">
        <v>663</v>
      </c>
      <c r="X121" s="234" t="s">
        <v>664</v>
      </c>
      <c r="Y121" s="234" t="s">
        <v>665</v>
      </c>
      <c r="Z121" s="234" t="s">
        <v>666</v>
      </c>
      <c r="AA121" s="234" t="s">
        <v>667</v>
      </c>
      <c r="AB121" s="234" t="s">
        <v>668</v>
      </c>
      <c r="AC121" s="234" t="s">
        <v>669</v>
      </c>
      <c r="AD121" s="234" t="s">
        <v>670</v>
      </c>
      <c r="AE121" s="234" t="s">
        <v>671</v>
      </c>
      <c r="AF121" s="234" t="s">
        <v>672</v>
      </c>
      <c r="AG121" s="234" t="s">
        <v>673</v>
      </c>
      <c r="AH121" s="234" t="s">
        <v>674</v>
      </c>
      <c r="AI121" s="234" t="s">
        <v>675</v>
      </c>
      <c r="AJ121" s="234" t="s">
        <v>676</v>
      </c>
      <c r="AK121" s="234" t="s">
        <v>677</v>
      </c>
    </row>
    <row r="122" spans="1:60">
      <c r="A122" s="304" t="s">
        <v>683</v>
      </c>
      <c r="B122" s="305">
        <v>0</v>
      </c>
      <c r="C122" s="305">
        <v>0</v>
      </c>
      <c r="D122" s="305">
        <v>404209.15818875801</v>
      </c>
      <c r="E122" s="305">
        <v>0</v>
      </c>
      <c r="F122" s="305">
        <v>0</v>
      </c>
      <c r="G122" s="305">
        <v>0</v>
      </c>
      <c r="H122" s="305">
        <v>0</v>
      </c>
      <c r="I122" s="305">
        <v>0</v>
      </c>
      <c r="J122" s="305">
        <v>0</v>
      </c>
      <c r="K122" s="305">
        <v>0</v>
      </c>
      <c r="L122" s="305">
        <v>0</v>
      </c>
      <c r="M122" s="305">
        <v>0</v>
      </c>
      <c r="N122" s="305">
        <v>0</v>
      </c>
      <c r="O122" s="305">
        <v>0</v>
      </c>
      <c r="P122" s="305">
        <v>0</v>
      </c>
      <c r="Q122" s="305">
        <v>0</v>
      </c>
      <c r="R122" s="305">
        <v>0</v>
      </c>
      <c r="S122" s="305">
        <v>0</v>
      </c>
      <c r="T122" s="305">
        <v>0</v>
      </c>
      <c r="U122" s="305">
        <v>0</v>
      </c>
      <c r="V122" s="305">
        <v>0</v>
      </c>
      <c r="W122" s="305">
        <v>0</v>
      </c>
      <c r="X122" s="305">
        <v>0</v>
      </c>
      <c r="Y122" s="305">
        <v>0</v>
      </c>
      <c r="Z122" s="305">
        <v>0</v>
      </c>
      <c r="AA122" s="305">
        <v>0</v>
      </c>
      <c r="AB122" s="305">
        <v>0</v>
      </c>
      <c r="AC122" s="305">
        <v>0</v>
      </c>
      <c r="AD122" s="305">
        <v>0</v>
      </c>
      <c r="AE122" s="305">
        <v>0</v>
      </c>
      <c r="AF122" s="305">
        <v>4157895.2984628798</v>
      </c>
      <c r="AG122" s="305">
        <v>67875.356217847497</v>
      </c>
      <c r="AH122" s="305">
        <v>0</v>
      </c>
      <c r="AI122" s="305">
        <v>0</v>
      </c>
      <c r="AJ122" s="305">
        <v>0</v>
      </c>
      <c r="AK122" s="305">
        <v>0</v>
      </c>
    </row>
    <row r="123" spans="1:60">
      <c r="A123" s="304" t="s">
        <v>684</v>
      </c>
      <c r="B123" s="305">
        <v>0</v>
      </c>
      <c r="C123" s="305">
        <v>0</v>
      </c>
      <c r="D123" s="305">
        <v>0</v>
      </c>
      <c r="E123" s="305">
        <v>0</v>
      </c>
      <c r="F123" s="305">
        <v>8855804.3203369807</v>
      </c>
      <c r="G123" s="305">
        <v>0</v>
      </c>
      <c r="H123" s="305">
        <v>0</v>
      </c>
      <c r="I123" s="305">
        <v>0</v>
      </c>
      <c r="J123" s="305">
        <v>0</v>
      </c>
      <c r="K123" s="305">
        <v>0</v>
      </c>
      <c r="L123" s="305">
        <v>0</v>
      </c>
      <c r="M123" s="305">
        <v>0</v>
      </c>
      <c r="N123" s="305">
        <v>0</v>
      </c>
      <c r="O123" s="305">
        <v>0</v>
      </c>
      <c r="P123" s="305">
        <v>0</v>
      </c>
      <c r="Q123" s="305">
        <v>0</v>
      </c>
      <c r="R123" s="305">
        <v>0</v>
      </c>
      <c r="S123" s="305">
        <v>0</v>
      </c>
      <c r="T123" s="305">
        <v>0</v>
      </c>
      <c r="U123" s="305">
        <v>0</v>
      </c>
      <c r="V123" s="305">
        <v>0</v>
      </c>
      <c r="W123" s="305">
        <v>0</v>
      </c>
      <c r="X123" s="305">
        <v>0</v>
      </c>
      <c r="Y123" s="305">
        <v>0</v>
      </c>
      <c r="Z123" s="305">
        <v>0</v>
      </c>
      <c r="AA123" s="305">
        <v>0</v>
      </c>
      <c r="AB123" s="305">
        <v>0</v>
      </c>
      <c r="AC123" s="305">
        <v>0</v>
      </c>
      <c r="AD123" s="305">
        <v>0</v>
      </c>
      <c r="AE123" s="305">
        <v>0</v>
      </c>
      <c r="AF123" s="305">
        <v>0</v>
      </c>
      <c r="AG123" s="305">
        <v>0</v>
      </c>
      <c r="AH123" s="305">
        <v>0</v>
      </c>
      <c r="AI123" s="305">
        <v>0</v>
      </c>
      <c r="AJ123" s="305">
        <v>0</v>
      </c>
      <c r="AK123" s="305">
        <v>0</v>
      </c>
    </row>
    <row r="124" spans="1:60">
      <c r="A124" s="304" t="s">
        <v>685</v>
      </c>
      <c r="B124" s="305">
        <v>0</v>
      </c>
      <c r="C124" s="305">
        <v>0</v>
      </c>
      <c r="D124" s="305">
        <v>0</v>
      </c>
      <c r="E124" s="305">
        <v>0</v>
      </c>
      <c r="F124" s="305">
        <v>0</v>
      </c>
      <c r="G124" s="305">
        <v>8855804.3203369807</v>
      </c>
      <c r="H124" s="305">
        <v>0</v>
      </c>
      <c r="I124" s="305">
        <v>0</v>
      </c>
      <c r="J124" s="305">
        <v>0</v>
      </c>
      <c r="K124" s="305">
        <v>0</v>
      </c>
      <c r="L124" s="305">
        <v>555.77441893806395</v>
      </c>
      <c r="M124" s="305">
        <v>0</v>
      </c>
      <c r="N124" s="305">
        <v>0</v>
      </c>
      <c r="O124" s="305">
        <v>0</v>
      </c>
      <c r="P124" s="305">
        <v>0</v>
      </c>
      <c r="Q124" s="305">
        <v>0</v>
      </c>
      <c r="R124" s="305">
        <v>0</v>
      </c>
      <c r="S124" s="305">
        <v>0</v>
      </c>
      <c r="T124" s="305">
        <v>0</v>
      </c>
      <c r="U124" s="305">
        <v>0</v>
      </c>
      <c r="V124" s="305">
        <v>0</v>
      </c>
      <c r="W124" s="305">
        <v>0</v>
      </c>
      <c r="X124" s="305">
        <v>0</v>
      </c>
      <c r="Y124" s="305">
        <v>0</v>
      </c>
      <c r="Z124" s="305">
        <v>0</v>
      </c>
      <c r="AA124" s="305">
        <v>0</v>
      </c>
      <c r="AB124" s="305">
        <v>0</v>
      </c>
      <c r="AC124" s="305">
        <v>0</v>
      </c>
      <c r="AD124" s="305">
        <v>0</v>
      </c>
      <c r="AE124" s="305">
        <v>0</v>
      </c>
      <c r="AF124" s="305">
        <v>0</v>
      </c>
      <c r="AG124" s="305">
        <v>0</v>
      </c>
      <c r="AH124" s="305">
        <v>0</v>
      </c>
      <c r="AI124" s="305">
        <v>0</v>
      </c>
      <c r="AJ124" s="305">
        <v>0</v>
      </c>
      <c r="AK124" s="305">
        <v>0</v>
      </c>
    </row>
    <row r="125" spans="1:60">
      <c r="A125" s="304" t="s">
        <v>686</v>
      </c>
      <c r="B125" s="305">
        <v>0</v>
      </c>
      <c r="C125" s="305">
        <v>0</v>
      </c>
      <c r="D125" s="305">
        <v>0</v>
      </c>
      <c r="E125" s="305">
        <v>0</v>
      </c>
      <c r="F125" s="305">
        <v>0</v>
      </c>
      <c r="G125" s="305">
        <v>0</v>
      </c>
      <c r="H125" s="305">
        <v>8855804.3203369807</v>
      </c>
      <c r="I125" s="305">
        <v>0</v>
      </c>
      <c r="J125" s="305">
        <v>0</v>
      </c>
      <c r="K125" s="305">
        <v>0</v>
      </c>
      <c r="L125" s="305">
        <v>0</v>
      </c>
      <c r="M125" s="305">
        <v>0</v>
      </c>
      <c r="N125" s="305">
        <v>0</v>
      </c>
      <c r="O125" s="305">
        <v>0</v>
      </c>
      <c r="P125" s="305">
        <v>0</v>
      </c>
      <c r="Q125" s="305">
        <v>0</v>
      </c>
      <c r="R125" s="305">
        <v>0</v>
      </c>
      <c r="S125" s="305">
        <v>0</v>
      </c>
      <c r="T125" s="305">
        <v>0</v>
      </c>
      <c r="U125" s="305">
        <v>0</v>
      </c>
      <c r="V125" s="305">
        <v>0</v>
      </c>
      <c r="W125" s="305">
        <v>0</v>
      </c>
      <c r="X125" s="305">
        <v>0</v>
      </c>
      <c r="Y125" s="305">
        <v>0</v>
      </c>
      <c r="Z125" s="305">
        <v>0</v>
      </c>
      <c r="AA125" s="305">
        <v>0</v>
      </c>
      <c r="AB125" s="305">
        <v>0</v>
      </c>
      <c r="AC125" s="305">
        <v>0</v>
      </c>
      <c r="AD125" s="305">
        <v>0</v>
      </c>
      <c r="AE125" s="305">
        <v>0</v>
      </c>
      <c r="AF125" s="305">
        <v>0</v>
      </c>
      <c r="AG125" s="305">
        <v>0</v>
      </c>
      <c r="AH125" s="305">
        <v>0</v>
      </c>
      <c r="AI125" s="305">
        <v>0</v>
      </c>
      <c r="AJ125" s="305">
        <v>0</v>
      </c>
      <c r="AK125" s="305">
        <v>0</v>
      </c>
    </row>
    <row r="126" spans="1:60">
      <c r="A126" s="304" t="s">
        <v>687</v>
      </c>
      <c r="B126" s="305">
        <v>0</v>
      </c>
      <c r="C126" s="305">
        <v>0</v>
      </c>
      <c r="D126" s="305">
        <v>0</v>
      </c>
      <c r="E126" s="305">
        <v>0</v>
      </c>
      <c r="F126" s="305">
        <v>0</v>
      </c>
      <c r="G126" s="305">
        <v>0</v>
      </c>
      <c r="H126" s="305">
        <v>0</v>
      </c>
      <c r="I126" s="305">
        <v>0</v>
      </c>
      <c r="J126" s="305">
        <v>0</v>
      </c>
      <c r="K126" s="305">
        <v>0</v>
      </c>
      <c r="L126" s="305">
        <v>0</v>
      </c>
      <c r="M126" s="305">
        <v>0</v>
      </c>
      <c r="N126" s="305">
        <v>0</v>
      </c>
      <c r="O126" s="305">
        <v>0</v>
      </c>
      <c r="P126" s="305">
        <v>0</v>
      </c>
      <c r="Q126" s="305">
        <v>0</v>
      </c>
      <c r="R126" s="305">
        <v>0</v>
      </c>
      <c r="S126" s="305">
        <v>0</v>
      </c>
      <c r="T126" s="305">
        <v>0</v>
      </c>
      <c r="U126" s="305">
        <v>0</v>
      </c>
      <c r="V126" s="305">
        <v>0</v>
      </c>
      <c r="W126" s="305">
        <v>0</v>
      </c>
      <c r="X126" s="305">
        <v>0</v>
      </c>
      <c r="Y126" s="305">
        <v>0</v>
      </c>
      <c r="Z126" s="305">
        <v>0</v>
      </c>
      <c r="AA126" s="305">
        <v>0</v>
      </c>
      <c r="AB126" s="305">
        <v>0</v>
      </c>
      <c r="AC126" s="305">
        <v>0</v>
      </c>
      <c r="AD126" s="305">
        <v>0</v>
      </c>
      <c r="AE126" s="305">
        <v>0</v>
      </c>
      <c r="AF126" s="305">
        <v>0</v>
      </c>
      <c r="AG126" s="305">
        <v>0</v>
      </c>
      <c r="AH126" s="305">
        <v>0</v>
      </c>
      <c r="AI126" s="305">
        <v>0</v>
      </c>
      <c r="AJ126" s="305">
        <v>4043367.3234254499</v>
      </c>
      <c r="AK126" s="305">
        <v>0</v>
      </c>
    </row>
    <row r="127" spans="1:60">
      <c r="A127" s="304" t="s">
        <v>688</v>
      </c>
      <c r="B127" s="305">
        <v>0</v>
      </c>
      <c r="C127" s="305">
        <v>0</v>
      </c>
      <c r="D127" s="305">
        <v>0</v>
      </c>
      <c r="E127" s="305">
        <v>0</v>
      </c>
      <c r="F127" s="305">
        <v>0</v>
      </c>
      <c r="G127" s="305">
        <v>0</v>
      </c>
      <c r="H127" s="305">
        <v>0</v>
      </c>
      <c r="I127" s="305">
        <v>0</v>
      </c>
      <c r="J127" s="305">
        <v>0</v>
      </c>
      <c r="K127" s="305">
        <v>0</v>
      </c>
      <c r="L127" s="305">
        <v>0</v>
      </c>
      <c r="M127" s="305">
        <v>0</v>
      </c>
      <c r="N127" s="305">
        <v>0</v>
      </c>
      <c r="O127" s="305">
        <v>0</v>
      </c>
      <c r="P127" s="305">
        <v>0</v>
      </c>
      <c r="Q127" s="305">
        <v>0</v>
      </c>
      <c r="R127" s="305">
        <v>0</v>
      </c>
      <c r="S127" s="305">
        <v>0</v>
      </c>
      <c r="T127" s="305">
        <v>0</v>
      </c>
      <c r="U127" s="305">
        <v>0</v>
      </c>
      <c r="V127" s="305">
        <v>0</v>
      </c>
      <c r="W127" s="305">
        <v>0</v>
      </c>
      <c r="X127" s="305">
        <v>0</v>
      </c>
      <c r="Y127" s="305">
        <v>0</v>
      </c>
      <c r="Z127" s="305">
        <v>0</v>
      </c>
      <c r="AA127" s="305">
        <v>0</v>
      </c>
      <c r="AB127" s="305">
        <v>0</v>
      </c>
      <c r="AC127" s="305">
        <v>0</v>
      </c>
      <c r="AD127" s="305">
        <v>0</v>
      </c>
      <c r="AE127" s="305">
        <v>0</v>
      </c>
      <c r="AF127" s="305">
        <v>0</v>
      </c>
      <c r="AG127" s="305">
        <v>0</v>
      </c>
      <c r="AH127" s="305">
        <v>0</v>
      </c>
      <c r="AI127" s="305">
        <v>0</v>
      </c>
      <c r="AJ127" s="305">
        <v>0</v>
      </c>
      <c r="AK127" s="305">
        <v>4043367.3234254499</v>
      </c>
    </row>
    <row r="128" spans="1:60">
      <c r="A128" s="304" t="s">
        <v>689</v>
      </c>
      <c r="B128" s="305">
        <v>6408288.6211381704</v>
      </c>
      <c r="C128" s="305">
        <v>8991.6203231094005</v>
      </c>
      <c r="D128" s="305">
        <v>0</v>
      </c>
      <c r="E128" s="305">
        <v>0</v>
      </c>
      <c r="F128" s="305">
        <v>0</v>
      </c>
      <c r="G128" s="305">
        <v>0</v>
      </c>
      <c r="H128" s="305">
        <v>0</v>
      </c>
      <c r="I128" s="305">
        <v>0</v>
      </c>
      <c r="J128" s="305">
        <v>4026178.1360752499</v>
      </c>
      <c r="K128" s="305">
        <v>0</v>
      </c>
      <c r="L128" s="305">
        <v>0</v>
      </c>
      <c r="M128" s="305">
        <v>303788.26554911397</v>
      </c>
      <c r="N128" s="305">
        <v>0</v>
      </c>
      <c r="O128" s="305">
        <v>0</v>
      </c>
      <c r="P128" s="305">
        <v>0</v>
      </c>
      <c r="Q128" s="305">
        <v>0</v>
      </c>
      <c r="R128" s="305">
        <v>0</v>
      </c>
      <c r="S128" s="305">
        <v>0</v>
      </c>
      <c r="T128" s="305">
        <v>0</v>
      </c>
      <c r="U128" s="305">
        <v>0</v>
      </c>
      <c r="V128" s="305">
        <v>0</v>
      </c>
      <c r="W128" s="305">
        <v>0</v>
      </c>
      <c r="X128" s="305">
        <v>0</v>
      </c>
      <c r="Y128" s="305">
        <v>0</v>
      </c>
      <c r="Z128" s="305">
        <v>0</v>
      </c>
      <c r="AA128" s="305">
        <v>0</v>
      </c>
      <c r="AB128" s="305">
        <v>0</v>
      </c>
      <c r="AC128" s="305">
        <v>0</v>
      </c>
      <c r="AD128" s="305">
        <v>0</v>
      </c>
      <c r="AE128" s="305">
        <v>0</v>
      </c>
      <c r="AF128" s="305">
        <v>0</v>
      </c>
      <c r="AG128" s="305">
        <v>0</v>
      </c>
      <c r="AH128" s="305">
        <v>0</v>
      </c>
      <c r="AI128" s="305">
        <v>955411.77850757004</v>
      </c>
      <c r="AJ128" s="305">
        <v>0</v>
      </c>
      <c r="AK128" s="305">
        <v>0</v>
      </c>
    </row>
    <row r="129" spans="1:37">
      <c r="A129" s="304" t="s">
        <v>690</v>
      </c>
      <c r="B129" s="305">
        <v>0</v>
      </c>
      <c r="C129" s="305">
        <v>0</v>
      </c>
      <c r="D129" s="305">
        <v>0</v>
      </c>
      <c r="E129" s="305">
        <v>0</v>
      </c>
      <c r="F129" s="305">
        <v>0</v>
      </c>
      <c r="G129" s="305">
        <v>0</v>
      </c>
      <c r="H129" s="305">
        <v>0</v>
      </c>
      <c r="I129" s="305">
        <v>0</v>
      </c>
      <c r="J129" s="305">
        <v>0</v>
      </c>
      <c r="K129" s="305">
        <v>0</v>
      </c>
      <c r="L129" s="305">
        <v>0</v>
      </c>
      <c r="M129" s="305">
        <v>0</v>
      </c>
      <c r="N129" s="305">
        <v>0</v>
      </c>
      <c r="O129" s="305">
        <v>0</v>
      </c>
      <c r="P129" s="305">
        <v>0</v>
      </c>
      <c r="Q129" s="305">
        <v>0</v>
      </c>
      <c r="R129" s="305">
        <v>0</v>
      </c>
      <c r="S129" s="305">
        <v>88071.706245154506</v>
      </c>
      <c r="T129" s="305">
        <v>0</v>
      </c>
      <c r="U129" s="305">
        <v>0</v>
      </c>
      <c r="V129" s="305">
        <v>0</v>
      </c>
      <c r="W129" s="305">
        <v>21722.892325740399</v>
      </c>
      <c r="X129" s="305">
        <v>0</v>
      </c>
      <c r="Y129" s="305">
        <v>0</v>
      </c>
      <c r="Z129" s="305">
        <v>0</v>
      </c>
      <c r="AA129" s="305">
        <v>0</v>
      </c>
      <c r="AB129" s="305">
        <v>0</v>
      </c>
      <c r="AC129" s="305">
        <v>0</v>
      </c>
      <c r="AD129" s="305">
        <v>0</v>
      </c>
      <c r="AE129" s="305">
        <v>0</v>
      </c>
      <c r="AF129" s="305">
        <v>0</v>
      </c>
      <c r="AG129" s="305">
        <v>0</v>
      </c>
      <c r="AH129" s="305">
        <v>0</v>
      </c>
      <c r="AI129" s="305">
        <v>0</v>
      </c>
      <c r="AJ129" s="305">
        <v>0</v>
      </c>
      <c r="AK129" s="305">
        <v>0</v>
      </c>
    </row>
    <row r="130" spans="1:37">
      <c r="A130" s="304" t="s">
        <v>691</v>
      </c>
      <c r="B130" s="305">
        <v>0</v>
      </c>
      <c r="C130" s="305">
        <v>0</v>
      </c>
      <c r="D130" s="305">
        <v>0</v>
      </c>
      <c r="E130" s="305">
        <v>0</v>
      </c>
      <c r="F130" s="305">
        <v>0</v>
      </c>
      <c r="G130" s="305">
        <v>0</v>
      </c>
      <c r="H130" s="305">
        <v>0</v>
      </c>
      <c r="I130" s="305">
        <v>0</v>
      </c>
      <c r="J130" s="305">
        <v>0</v>
      </c>
      <c r="K130" s="305">
        <v>0</v>
      </c>
      <c r="L130" s="305">
        <v>0</v>
      </c>
      <c r="M130" s="305">
        <v>0</v>
      </c>
      <c r="N130" s="305">
        <v>2244.7960862667501</v>
      </c>
      <c r="O130" s="305">
        <v>0</v>
      </c>
      <c r="P130" s="305">
        <v>0</v>
      </c>
      <c r="Q130" s="305">
        <v>0</v>
      </c>
      <c r="R130" s="305">
        <v>0</v>
      </c>
      <c r="S130" s="305">
        <v>0</v>
      </c>
      <c r="T130" s="305">
        <v>108184.85967288</v>
      </c>
      <c r="U130" s="305">
        <v>0</v>
      </c>
      <c r="V130" s="305">
        <v>0</v>
      </c>
      <c r="W130" s="305">
        <v>0</v>
      </c>
      <c r="X130" s="305">
        <v>0</v>
      </c>
      <c r="Y130" s="305">
        <v>0</v>
      </c>
      <c r="Z130" s="305">
        <v>0</v>
      </c>
      <c r="AA130" s="305">
        <v>0</v>
      </c>
      <c r="AB130" s="305">
        <v>0</v>
      </c>
      <c r="AC130" s="305">
        <v>0</v>
      </c>
      <c r="AD130" s="305">
        <v>0</v>
      </c>
      <c r="AE130" s="305">
        <v>0</v>
      </c>
      <c r="AF130" s="305">
        <v>0</v>
      </c>
      <c r="AG130" s="305">
        <v>0</v>
      </c>
      <c r="AH130" s="305">
        <v>0</v>
      </c>
      <c r="AI130" s="305">
        <v>0</v>
      </c>
      <c r="AJ130" s="305">
        <v>0</v>
      </c>
      <c r="AK130" s="305">
        <v>0</v>
      </c>
    </row>
    <row r="131" spans="1:37">
      <c r="A131" s="304" t="s">
        <v>692</v>
      </c>
      <c r="B131" s="305">
        <v>0</v>
      </c>
      <c r="C131" s="305">
        <v>0</v>
      </c>
      <c r="D131" s="305">
        <v>0</v>
      </c>
      <c r="E131" s="305">
        <v>0</v>
      </c>
      <c r="F131" s="305">
        <v>0</v>
      </c>
      <c r="G131" s="305">
        <v>0</v>
      </c>
      <c r="H131" s="305">
        <v>0</v>
      </c>
      <c r="I131" s="305">
        <v>0</v>
      </c>
      <c r="J131" s="305">
        <v>0</v>
      </c>
      <c r="K131" s="305">
        <v>0</v>
      </c>
      <c r="L131" s="305">
        <v>0</v>
      </c>
      <c r="M131" s="305">
        <v>0</v>
      </c>
      <c r="N131" s="305">
        <v>0</v>
      </c>
      <c r="O131" s="305">
        <v>0</v>
      </c>
      <c r="P131" s="305">
        <v>0</v>
      </c>
      <c r="Q131" s="305">
        <v>0</v>
      </c>
      <c r="R131" s="305">
        <v>0</v>
      </c>
      <c r="S131" s="305">
        <v>0</v>
      </c>
      <c r="T131" s="305">
        <v>0</v>
      </c>
      <c r="U131" s="305">
        <v>108184.85967288</v>
      </c>
      <c r="V131" s="305">
        <v>0</v>
      </c>
      <c r="W131" s="305">
        <v>0</v>
      </c>
      <c r="X131" s="305">
        <v>0</v>
      </c>
      <c r="Y131" s="305">
        <v>0</v>
      </c>
      <c r="Z131" s="305">
        <v>0</v>
      </c>
      <c r="AA131" s="305">
        <v>0</v>
      </c>
      <c r="AB131" s="305">
        <v>0</v>
      </c>
      <c r="AC131" s="305">
        <v>0</v>
      </c>
      <c r="AD131" s="305">
        <v>0</v>
      </c>
      <c r="AE131" s="305">
        <v>0</v>
      </c>
      <c r="AF131" s="305">
        <v>0</v>
      </c>
      <c r="AG131" s="305">
        <v>0</v>
      </c>
      <c r="AH131" s="305">
        <v>0</v>
      </c>
      <c r="AI131" s="305">
        <v>0</v>
      </c>
      <c r="AJ131" s="305">
        <v>0</v>
      </c>
      <c r="AK131" s="305">
        <v>0</v>
      </c>
    </row>
    <row r="132" spans="1:37">
      <c r="A132" s="304" t="s">
        <v>693</v>
      </c>
      <c r="B132" s="305">
        <v>0</v>
      </c>
      <c r="C132" s="305">
        <v>0</v>
      </c>
      <c r="D132" s="305">
        <v>0</v>
      </c>
      <c r="E132" s="305">
        <v>0</v>
      </c>
      <c r="F132" s="305">
        <v>0</v>
      </c>
      <c r="G132" s="305">
        <v>0</v>
      </c>
      <c r="H132" s="305">
        <v>0</v>
      </c>
      <c r="I132" s="305">
        <v>0</v>
      </c>
      <c r="J132" s="305">
        <v>0</v>
      </c>
      <c r="K132" s="305">
        <v>0</v>
      </c>
      <c r="L132" s="305">
        <v>0</v>
      </c>
      <c r="M132" s="305">
        <v>0</v>
      </c>
      <c r="N132" s="305">
        <v>0</v>
      </c>
      <c r="O132" s="305">
        <v>0</v>
      </c>
      <c r="P132" s="305">
        <v>0</v>
      </c>
      <c r="Q132" s="305">
        <v>0</v>
      </c>
      <c r="R132" s="305">
        <v>0</v>
      </c>
      <c r="S132" s="305">
        <v>0</v>
      </c>
      <c r="T132" s="305">
        <v>0</v>
      </c>
      <c r="U132" s="305">
        <v>0</v>
      </c>
      <c r="V132" s="305">
        <v>0</v>
      </c>
      <c r="W132" s="305">
        <v>0</v>
      </c>
      <c r="X132" s="305">
        <v>0</v>
      </c>
      <c r="Y132" s="305">
        <v>25297.051877142199</v>
      </c>
      <c r="Z132" s="305">
        <v>0</v>
      </c>
      <c r="AA132" s="305">
        <v>0</v>
      </c>
      <c r="AB132" s="305">
        <v>0</v>
      </c>
      <c r="AC132" s="305">
        <v>0</v>
      </c>
      <c r="AD132" s="305">
        <v>0</v>
      </c>
      <c r="AE132" s="305">
        <v>0</v>
      </c>
      <c r="AF132" s="305">
        <v>0</v>
      </c>
      <c r="AG132" s="305">
        <v>0</v>
      </c>
      <c r="AH132" s="305">
        <v>0</v>
      </c>
      <c r="AI132" s="305">
        <v>0</v>
      </c>
      <c r="AJ132" s="305">
        <v>0</v>
      </c>
      <c r="AK132" s="305">
        <v>0</v>
      </c>
    </row>
    <row r="133" spans="1:37">
      <c r="A133" s="304" t="s">
        <v>694</v>
      </c>
      <c r="B133" s="305">
        <v>0</v>
      </c>
      <c r="C133" s="305">
        <v>0</v>
      </c>
      <c r="D133" s="305">
        <v>0</v>
      </c>
      <c r="E133" s="305">
        <v>0</v>
      </c>
      <c r="F133" s="305">
        <v>0</v>
      </c>
      <c r="G133" s="305">
        <v>0</v>
      </c>
      <c r="H133" s="305">
        <v>0</v>
      </c>
      <c r="I133" s="305">
        <v>0</v>
      </c>
      <c r="J133" s="305">
        <v>0</v>
      </c>
      <c r="K133" s="305">
        <v>0</v>
      </c>
      <c r="L133" s="305">
        <v>0</v>
      </c>
      <c r="M133" s="305">
        <v>0</v>
      </c>
      <c r="N133" s="305">
        <v>0</v>
      </c>
      <c r="O133" s="305">
        <v>6.7177820097776797</v>
      </c>
      <c r="P133" s="305">
        <v>0</v>
      </c>
      <c r="Q133" s="305">
        <v>0</v>
      </c>
      <c r="R133" s="305">
        <v>0</v>
      </c>
      <c r="S133" s="305">
        <v>0</v>
      </c>
      <c r="T133" s="305">
        <v>0</v>
      </c>
      <c r="U133" s="305">
        <v>0</v>
      </c>
      <c r="V133" s="305">
        <v>0</v>
      </c>
      <c r="W133" s="305">
        <v>0</v>
      </c>
      <c r="X133" s="305">
        <v>0</v>
      </c>
      <c r="Y133" s="305">
        <v>0</v>
      </c>
      <c r="Z133" s="305">
        <v>25297.051877142199</v>
      </c>
      <c r="AA133" s="305">
        <v>0</v>
      </c>
      <c r="AB133" s="305">
        <v>0</v>
      </c>
      <c r="AC133" s="305">
        <v>0</v>
      </c>
      <c r="AD133" s="305">
        <v>0</v>
      </c>
      <c r="AE133" s="305">
        <v>0</v>
      </c>
      <c r="AF133" s="305">
        <v>0</v>
      </c>
      <c r="AG133" s="305">
        <v>0</v>
      </c>
      <c r="AH133" s="305">
        <v>0</v>
      </c>
      <c r="AI133" s="305">
        <v>0</v>
      </c>
      <c r="AJ133" s="305">
        <v>0</v>
      </c>
      <c r="AK133" s="305">
        <v>0</v>
      </c>
    </row>
    <row r="134" spans="1:37">
      <c r="A134" s="304" t="s">
        <v>695</v>
      </c>
      <c r="B134" s="305">
        <v>0</v>
      </c>
      <c r="C134" s="305">
        <v>0</v>
      </c>
      <c r="D134" s="305">
        <v>0</v>
      </c>
      <c r="E134" s="305">
        <v>0</v>
      </c>
      <c r="F134" s="305">
        <v>0</v>
      </c>
      <c r="G134" s="305">
        <v>0</v>
      </c>
      <c r="H134" s="305">
        <v>0</v>
      </c>
      <c r="I134" s="305">
        <v>0</v>
      </c>
      <c r="J134" s="305">
        <v>0</v>
      </c>
      <c r="K134" s="305">
        <v>0</v>
      </c>
      <c r="L134" s="305">
        <v>0</v>
      </c>
      <c r="M134" s="305">
        <v>0</v>
      </c>
      <c r="N134" s="305">
        <v>0</v>
      </c>
      <c r="O134" s="305">
        <v>0</v>
      </c>
      <c r="P134" s="305">
        <v>0</v>
      </c>
      <c r="Q134" s="305">
        <v>0</v>
      </c>
      <c r="R134" s="305">
        <v>0</v>
      </c>
      <c r="S134" s="305">
        <v>0</v>
      </c>
      <c r="T134" s="305">
        <v>0</v>
      </c>
      <c r="U134" s="305">
        <v>0</v>
      </c>
      <c r="V134" s="305">
        <v>0</v>
      </c>
      <c r="W134" s="305">
        <v>0</v>
      </c>
      <c r="X134" s="305">
        <v>0</v>
      </c>
      <c r="Y134" s="305">
        <v>0</v>
      </c>
      <c r="Z134" s="305">
        <v>0</v>
      </c>
      <c r="AA134" s="305">
        <v>25297.051877142199</v>
      </c>
      <c r="AB134" s="305">
        <v>0</v>
      </c>
      <c r="AC134" s="305">
        <v>0</v>
      </c>
      <c r="AD134" s="305">
        <v>0</v>
      </c>
      <c r="AE134" s="305">
        <v>0</v>
      </c>
      <c r="AF134" s="305">
        <v>0</v>
      </c>
      <c r="AG134" s="305">
        <v>0</v>
      </c>
      <c r="AH134" s="305">
        <v>0</v>
      </c>
      <c r="AI134" s="305">
        <v>0</v>
      </c>
      <c r="AJ134" s="305">
        <v>0</v>
      </c>
      <c r="AK134" s="305">
        <v>0</v>
      </c>
    </row>
    <row r="135" spans="1:37">
      <c r="A135" s="304" t="s">
        <v>696</v>
      </c>
      <c r="B135" s="305">
        <v>0</v>
      </c>
      <c r="C135" s="305">
        <v>0</v>
      </c>
      <c r="D135" s="305">
        <v>0</v>
      </c>
      <c r="E135" s="305">
        <v>6682782.3361421302</v>
      </c>
      <c r="F135" s="305">
        <v>0</v>
      </c>
      <c r="G135" s="305">
        <v>0</v>
      </c>
      <c r="H135" s="305">
        <v>0</v>
      </c>
      <c r="I135" s="305">
        <v>0</v>
      </c>
      <c r="J135" s="305">
        <v>0</v>
      </c>
      <c r="K135" s="305">
        <v>0</v>
      </c>
      <c r="L135" s="305">
        <v>0</v>
      </c>
      <c r="M135" s="305">
        <v>0</v>
      </c>
      <c r="N135" s="305">
        <v>0</v>
      </c>
      <c r="O135" s="305">
        <v>0</v>
      </c>
      <c r="P135" s="305">
        <v>0</v>
      </c>
      <c r="Q135" s="305">
        <v>0</v>
      </c>
      <c r="R135" s="305">
        <v>0</v>
      </c>
      <c r="S135" s="305">
        <v>0</v>
      </c>
      <c r="T135" s="305">
        <v>0</v>
      </c>
      <c r="U135" s="305">
        <v>0</v>
      </c>
      <c r="V135" s="305">
        <v>0</v>
      </c>
      <c r="W135" s="305">
        <v>0</v>
      </c>
      <c r="X135" s="305">
        <v>0</v>
      </c>
      <c r="Y135" s="305">
        <v>0</v>
      </c>
      <c r="Z135" s="305">
        <v>0</v>
      </c>
      <c r="AA135" s="305">
        <v>0</v>
      </c>
      <c r="AB135" s="305">
        <v>0</v>
      </c>
      <c r="AC135" s="305">
        <v>0</v>
      </c>
      <c r="AD135" s="305">
        <v>0</v>
      </c>
      <c r="AE135" s="305">
        <v>0</v>
      </c>
      <c r="AF135" s="305">
        <v>0</v>
      </c>
      <c r="AG135" s="305">
        <v>0</v>
      </c>
      <c r="AH135" s="305">
        <v>0</v>
      </c>
      <c r="AI135" s="305">
        <v>0</v>
      </c>
      <c r="AJ135" s="305">
        <v>0</v>
      </c>
      <c r="AK135" s="305">
        <v>0</v>
      </c>
    </row>
    <row r="136" spans="1:37">
      <c r="A136" s="304" t="s">
        <v>697</v>
      </c>
      <c r="B136" s="305">
        <v>0</v>
      </c>
      <c r="C136" s="305">
        <v>0</v>
      </c>
      <c r="D136" s="305">
        <v>0</v>
      </c>
      <c r="E136" s="305">
        <v>0</v>
      </c>
      <c r="F136" s="305">
        <v>0</v>
      </c>
      <c r="G136" s="305">
        <v>0</v>
      </c>
      <c r="H136" s="305">
        <v>0</v>
      </c>
      <c r="I136" s="305">
        <v>0</v>
      </c>
      <c r="J136" s="305">
        <v>0</v>
      </c>
      <c r="K136" s="305">
        <v>0</v>
      </c>
      <c r="L136" s="305">
        <v>0</v>
      </c>
      <c r="M136" s="305">
        <v>0</v>
      </c>
      <c r="N136" s="305">
        <v>0</v>
      </c>
      <c r="O136" s="305">
        <v>0</v>
      </c>
      <c r="P136" s="305">
        <v>0</v>
      </c>
      <c r="Q136" s="305">
        <v>0</v>
      </c>
      <c r="R136" s="305">
        <v>0</v>
      </c>
      <c r="S136" s="305">
        <v>0</v>
      </c>
      <c r="T136" s="305">
        <v>0</v>
      </c>
      <c r="U136" s="305">
        <v>0</v>
      </c>
      <c r="V136" s="305">
        <v>0</v>
      </c>
      <c r="W136" s="305">
        <v>0</v>
      </c>
      <c r="X136" s="305">
        <v>87222.135331413898</v>
      </c>
      <c r="Y136" s="305">
        <v>0</v>
      </c>
      <c r="Z136" s="305">
        <v>0</v>
      </c>
      <c r="AA136" s="305">
        <v>0</v>
      </c>
      <c r="AB136" s="305">
        <v>0</v>
      </c>
      <c r="AC136" s="305">
        <v>7739.25118007116</v>
      </c>
      <c r="AD136" s="305">
        <v>0</v>
      </c>
      <c r="AE136" s="305">
        <v>0</v>
      </c>
      <c r="AF136" s="305">
        <v>0</v>
      </c>
      <c r="AG136" s="305">
        <v>0</v>
      </c>
      <c r="AH136" s="305">
        <v>242016.07607977401</v>
      </c>
      <c r="AI136" s="305">
        <v>0</v>
      </c>
      <c r="AJ136" s="305">
        <v>0</v>
      </c>
      <c r="AK136" s="305">
        <v>0</v>
      </c>
    </row>
    <row r="137" spans="1:37">
      <c r="A137" s="304"/>
      <c r="B137" s="390" t="s">
        <v>699</v>
      </c>
      <c r="C137" s="402"/>
      <c r="D137" s="402"/>
      <c r="E137" s="402"/>
      <c r="F137" s="402"/>
      <c r="G137" s="402"/>
      <c r="H137" s="402"/>
      <c r="I137" s="402"/>
      <c r="J137" s="402"/>
      <c r="K137" s="402"/>
      <c r="L137" s="402"/>
      <c r="M137" s="402"/>
      <c r="N137" s="402"/>
      <c r="O137" s="402"/>
      <c r="P137" s="402"/>
      <c r="Q137" s="402"/>
      <c r="R137" s="402"/>
      <c r="S137" s="402"/>
      <c r="T137" s="402"/>
      <c r="U137" s="402"/>
      <c r="V137" s="402"/>
      <c r="W137" s="402"/>
      <c r="X137" s="402"/>
      <c r="Y137" s="402"/>
      <c r="Z137" s="402"/>
      <c r="AA137" s="402"/>
      <c r="AB137" s="402"/>
      <c r="AC137" s="402"/>
      <c r="AD137" s="402"/>
      <c r="AE137" s="402"/>
      <c r="AF137" s="402"/>
      <c r="AG137" s="402"/>
      <c r="AH137" s="402"/>
      <c r="AI137" s="402"/>
      <c r="AJ137" s="402"/>
      <c r="AK137" s="402"/>
    </row>
    <row r="140" spans="1:37" ht="228">
      <c r="A140" s="303" t="s">
        <v>641</v>
      </c>
      <c r="B140" s="234" t="s">
        <v>642</v>
      </c>
      <c r="C140" s="234" t="s">
        <v>643</v>
      </c>
      <c r="D140" s="234" t="s">
        <v>644</v>
      </c>
      <c r="E140" s="234" t="s">
        <v>645</v>
      </c>
      <c r="F140" s="234" t="s">
        <v>646</v>
      </c>
      <c r="G140" s="234" t="s">
        <v>647</v>
      </c>
      <c r="H140" s="234" t="s">
        <v>648</v>
      </c>
      <c r="I140" s="234" t="s">
        <v>649</v>
      </c>
      <c r="J140" s="234" t="s">
        <v>650</v>
      </c>
      <c r="K140" s="234" t="s">
        <v>651</v>
      </c>
      <c r="L140" s="234" t="s">
        <v>652</v>
      </c>
      <c r="M140" s="234" t="s">
        <v>653</v>
      </c>
      <c r="N140" s="234" t="s">
        <v>654</v>
      </c>
      <c r="O140" s="234" t="s">
        <v>655</v>
      </c>
      <c r="P140" s="234" t="s">
        <v>656</v>
      </c>
      <c r="Q140" s="234" t="s">
        <v>657</v>
      </c>
      <c r="R140" s="234" t="s">
        <v>658</v>
      </c>
      <c r="S140" s="234" t="s">
        <v>659</v>
      </c>
      <c r="T140" s="234" t="s">
        <v>660</v>
      </c>
      <c r="U140" s="234" t="s">
        <v>661</v>
      </c>
      <c r="V140" s="234" t="s">
        <v>662</v>
      </c>
      <c r="W140" s="234" t="s">
        <v>663</v>
      </c>
      <c r="X140" s="234" t="s">
        <v>664</v>
      </c>
      <c r="Y140" s="234" t="s">
        <v>665</v>
      </c>
      <c r="Z140" s="234" t="s">
        <v>666</v>
      </c>
      <c r="AA140" s="234" t="s">
        <v>667</v>
      </c>
      <c r="AB140" s="234" t="s">
        <v>668</v>
      </c>
      <c r="AC140" s="234" t="s">
        <v>669</v>
      </c>
      <c r="AD140" s="234" t="s">
        <v>670</v>
      </c>
      <c r="AE140" s="234" t="s">
        <v>671</v>
      </c>
      <c r="AF140" s="234" t="s">
        <v>672</v>
      </c>
      <c r="AG140" s="234" t="s">
        <v>673</v>
      </c>
      <c r="AH140" s="234" t="s">
        <v>674</v>
      </c>
      <c r="AI140" s="234" t="s">
        <v>675</v>
      </c>
      <c r="AJ140" s="234" t="s">
        <v>676</v>
      </c>
      <c r="AK140" s="234" t="s">
        <v>677</v>
      </c>
    </row>
    <row r="141" spans="1:37">
      <c r="A141" s="304" t="s">
        <v>678</v>
      </c>
      <c r="B141" s="302">
        <v>0</v>
      </c>
      <c r="C141" s="302">
        <v>0</v>
      </c>
      <c r="D141" s="302">
        <v>0</v>
      </c>
      <c r="E141" s="302">
        <v>0</v>
      </c>
      <c r="F141" s="302">
        <v>0</v>
      </c>
      <c r="G141" s="302">
        <v>0</v>
      </c>
      <c r="H141" s="302">
        <v>0</v>
      </c>
      <c r="I141" s="302">
        <v>0</v>
      </c>
      <c r="J141" s="302">
        <v>0</v>
      </c>
      <c r="K141" s="302">
        <v>0</v>
      </c>
      <c r="L141" s="302">
        <v>0</v>
      </c>
      <c r="M141" s="302">
        <v>0</v>
      </c>
      <c r="N141" s="302">
        <v>0</v>
      </c>
      <c r="O141" s="302">
        <v>0</v>
      </c>
      <c r="P141" s="302">
        <v>0</v>
      </c>
      <c r="Q141" s="302">
        <v>0</v>
      </c>
      <c r="R141" s="302">
        <v>0</v>
      </c>
      <c r="S141" s="302">
        <v>0</v>
      </c>
      <c r="T141" s="302">
        <v>0</v>
      </c>
      <c r="U141" s="302">
        <v>0</v>
      </c>
      <c r="V141" s="302">
        <v>108184.85967288</v>
      </c>
      <c r="W141" s="302">
        <v>0</v>
      </c>
      <c r="X141" s="302">
        <v>0</v>
      </c>
      <c r="Y141" s="302">
        <v>0</v>
      </c>
      <c r="Z141" s="302">
        <v>0</v>
      </c>
      <c r="AA141" s="302">
        <v>0</v>
      </c>
      <c r="AB141" s="302">
        <v>0</v>
      </c>
      <c r="AC141" s="302">
        <v>0</v>
      </c>
      <c r="AD141" s="302">
        <v>0</v>
      </c>
      <c r="AE141" s="302">
        <v>0</v>
      </c>
      <c r="AF141" s="302">
        <v>0</v>
      </c>
      <c r="AG141" s="302">
        <v>0</v>
      </c>
      <c r="AH141" s="302">
        <v>0</v>
      </c>
      <c r="AI141" s="302">
        <v>0</v>
      </c>
      <c r="AJ141" s="302">
        <v>0</v>
      </c>
      <c r="AK141" s="302">
        <v>0</v>
      </c>
    </row>
    <row r="142" spans="1:37">
      <c r="A142" s="304" t="s">
        <v>679</v>
      </c>
      <c r="B142" s="302">
        <v>0</v>
      </c>
      <c r="C142" s="302">
        <v>0</v>
      </c>
      <c r="D142" s="302">
        <v>0</v>
      </c>
      <c r="E142" s="302">
        <v>0</v>
      </c>
      <c r="F142" s="302">
        <v>0</v>
      </c>
      <c r="G142" s="302">
        <v>0</v>
      </c>
      <c r="H142" s="302">
        <v>0</v>
      </c>
      <c r="I142" s="302">
        <v>0</v>
      </c>
      <c r="J142" s="302">
        <v>0</v>
      </c>
      <c r="K142" s="302">
        <v>0</v>
      </c>
      <c r="L142" s="302">
        <v>0</v>
      </c>
      <c r="M142" s="302">
        <v>0</v>
      </c>
      <c r="N142" s="302">
        <v>0</v>
      </c>
      <c r="O142" s="302">
        <v>0</v>
      </c>
      <c r="P142" s="302">
        <v>0</v>
      </c>
      <c r="Q142" s="302">
        <v>0</v>
      </c>
      <c r="R142" s="302">
        <v>0</v>
      </c>
      <c r="S142" s="302">
        <v>0</v>
      </c>
      <c r="T142" s="302">
        <v>0</v>
      </c>
      <c r="U142" s="302">
        <v>0</v>
      </c>
      <c r="V142" s="302">
        <v>0</v>
      </c>
      <c r="W142" s="302">
        <v>0</v>
      </c>
      <c r="X142" s="302">
        <v>0</v>
      </c>
      <c r="Y142" s="302">
        <v>0</v>
      </c>
      <c r="Z142" s="302">
        <v>0</v>
      </c>
      <c r="AA142" s="302">
        <v>0</v>
      </c>
      <c r="AB142" s="302">
        <v>25297.051877142199</v>
      </c>
      <c r="AC142" s="302">
        <v>0</v>
      </c>
      <c r="AD142" s="302">
        <v>0</v>
      </c>
      <c r="AE142" s="302">
        <v>0</v>
      </c>
      <c r="AF142" s="302">
        <v>0</v>
      </c>
      <c r="AG142" s="302">
        <v>0</v>
      </c>
      <c r="AH142" s="302">
        <v>0</v>
      </c>
      <c r="AI142" s="302">
        <v>0</v>
      </c>
      <c r="AJ142" s="302">
        <v>0</v>
      </c>
      <c r="AK142" s="302">
        <v>0</v>
      </c>
    </row>
    <row r="143" spans="1:37">
      <c r="A143" s="304" t="s">
        <v>680</v>
      </c>
      <c r="B143" s="302">
        <v>0</v>
      </c>
      <c r="C143" s="302">
        <v>0</v>
      </c>
      <c r="D143" s="302">
        <v>0</v>
      </c>
      <c r="E143" s="302">
        <v>0</v>
      </c>
      <c r="F143" s="302">
        <v>0</v>
      </c>
      <c r="G143" s="302">
        <v>0</v>
      </c>
      <c r="H143" s="302">
        <v>0</v>
      </c>
      <c r="I143" s="302">
        <v>8850991.3601140399</v>
      </c>
      <c r="J143" s="302">
        <v>0</v>
      </c>
      <c r="K143" s="302">
        <v>0</v>
      </c>
      <c r="L143" s="302">
        <v>0</v>
      </c>
      <c r="M143" s="302">
        <v>0</v>
      </c>
      <c r="N143" s="302">
        <v>0</v>
      </c>
      <c r="O143" s="302">
        <v>0</v>
      </c>
      <c r="P143" s="302">
        <v>0</v>
      </c>
      <c r="Q143" s="302">
        <v>0</v>
      </c>
      <c r="R143" s="302">
        <v>0</v>
      </c>
      <c r="S143" s="302">
        <v>0</v>
      </c>
      <c r="T143" s="302">
        <v>0</v>
      </c>
      <c r="U143" s="302">
        <v>0</v>
      </c>
      <c r="V143" s="302">
        <v>0</v>
      </c>
      <c r="W143" s="302">
        <v>0</v>
      </c>
      <c r="X143" s="302">
        <v>0</v>
      </c>
      <c r="Y143" s="302">
        <v>0</v>
      </c>
      <c r="Z143" s="302">
        <v>0</v>
      </c>
      <c r="AA143" s="302">
        <v>0</v>
      </c>
      <c r="AB143" s="302">
        <v>0</v>
      </c>
      <c r="AC143" s="302">
        <v>0</v>
      </c>
      <c r="AD143" s="302">
        <v>0</v>
      </c>
      <c r="AE143" s="302">
        <v>0</v>
      </c>
      <c r="AF143" s="302">
        <v>0</v>
      </c>
      <c r="AG143" s="302">
        <v>0</v>
      </c>
      <c r="AH143" s="302">
        <v>0</v>
      </c>
      <c r="AI143" s="302">
        <v>0</v>
      </c>
      <c r="AJ143" s="302">
        <v>0</v>
      </c>
      <c r="AK143" s="302">
        <v>0</v>
      </c>
    </row>
    <row r="144" spans="1:37">
      <c r="A144" s="304" t="s">
        <v>681</v>
      </c>
      <c r="B144" s="302">
        <v>0</v>
      </c>
      <c r="C144" s="302">
        <v>0</v>
      </c>
      <c r="D144" s="302">
        <v>0</v>
      </c>
      <c r="E144" s="302">
        <v>0</v>
      </c>
      <c r="F144" s="302">
        <v>0</v>
      </c>
      <c r="G144" s="302">
        <v>0</v>
      </c>
      <c r="H144" s="302">
        <v>0</v>
      </c>
      <c r="I144" s="302">
        <v>0</v>
      </c>
      <c r="J144" s="302">
        <v>0</v>
      </c>
      <c r="K144" s="302">
        <v>29146.460466184501</v>
      </c>
      <c r="L144" s="302">
        <v>0</v>
      </c>
      <c r="M144" s="302">
        <v>0</v>
      </c>
      <c r="N144" s="302">
        <v>0</v>
      </c>
      <c r="O144" s="302">
        <v>0</v>
      </c>
      <c r="P144" s="302">
        <v>0</v>
      </c>
      <c r="Q144" s="302">
        <v>0</v>
      </c>
      <c r="R144" s="302">
        <v>0</v>
      </c>
      <c r="S144" s="302">
        <v>0</v>
      </c>
      <c r="T144" s="302">
        <v>0</v>
      </c>
      <c r="U144" s="302">
        <v>0</v>
      </c>
      <c r="V144" s="302">
        <v>0</v>
      </c>
      <c r="W144" s="302">
        <v>0</v>
      </c>
      <c r="X144" s="302">
        <v>0</v>
      </c>
      <c r="Y144" s="302">
        <v>0</v>
      </c>
      <c r="Z144" s="302">
        <v>0</v>
      </c>
      <c r="AA144" s="302">
        <v>0</v>
      </c>
      <c r="AB144" s="302">
        <v>0</v>
      </c>
      <c r="AC144" s="302">
        <v>0</v>
      </c>
      <c r="AD144" s="302">
        <v>0</v>
      </c>
      <c r="AE144" s="302">
        <v>0</v>
      </c>
      <c r="AF144" s="302">
        <v>0</v>
      </c>
      <c r="AG144" s="302">
        <v>0</v>
      </c>
      <c r="AH144" s="302">
        <v>0</v>
      </c>
      <c r="AI144" s="302">
        <v>0</v>
      </c>
      <c r="AJ144" s="302">
        <v>0</v>
      </c>
      <c r="AK144" s="302">
        <v>0</v>
      </c>
    </row>
    <row r="145" spans="1:37">
      <c r="A145" s="304"/>
      <c r="B145" s="390" t="s">
        <v>682</v>
      </c>
      <c r="C145" s="402"/>
      <c r="D145" s="402"/>
      <c r="E145" s="402"/>
      <c r="F145" s="402"/>
      <c r="G145" s="402"/>
      <c r="H145" s="402"/>
      <c r="I145" s="402"/>
      <c r="J145" s="402"/>
      <c r="K145" s="402"/>
      <c r="L145" s="402"/>
      <c r="M145" s="402"/>
      <c r="N145" s="402"/>
      <c r="O145" s="402"/>
      <c r="P145" s="402"/>
      <c r="Q145" s="402"/>
      <c r="R145" s="402"/>
      <c r="S145" s="402"/>
      <c r="T145" s="402"/>
      <c r="U145" s="402"/>
      <c r="V145" s="402"/>
      <c r="W145" s="402"/>
      <c r="X145" s="402"/>
      <c r="Y145" s="402"/>
      <c r="Z145" s="402"/>
      <c r="AA145" s="402"/>
      <c r="AB145" s="402"/>
      <c r="AC145" s="402"/>
      <c r="AD145" s="402"/>
      <c r="AE145" s="402"/>
      <c r="AF145" s="402"/>
      <c r="AG145" s="402"/>
      <c r="AH145" s="402"/>
      <c r="AI145" s="402"/>
      <c r="AJ145" s="402"/>
      <c r="AK145" s="402"/>
    </row>
  </sheetData>
  <mergeCells count="8">
    <mergeCell ref="B145:AK145"/>
    <mergeCell ref="AO118:BC118"/>
    <mergeCell ref="B137:AK137"/>
    <mergeCell ref="BG118:BH118"/>
    <mergeCell ref="BG38:BU38"/>
    <mergeCell ref="AO38:BC38"/>
    <mergeCell ref="AO78:BC78"/>
    <mergeCell ref="B38"/>
  </mergeCells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I172"/>
  <sheetViews>
    <sheetView workbookViewId="0"/>
  </sheetViews>
  <sheetFormatPr defaultColWidth="11.5546875" defaultRowHeight="14.4"/>
  <cols>
    <col min="2" max="27" width="7.6640625" customWidth="1"/>
    <col min="31" max="70" width="7.6640625" customWidth="1"/>
    <col min="74" max="113" width="7.6640625" customWidth="1"/>
  </cols>
  <sheetData>
    <row r="1" spans="1:113" ht="179.4">
      <c r="A1" s="303" t="s">
        <v>641</v>
      </c>
      <c r="B1" s="234" t="s">
        <v>706</v>
      </c>
      <c r="AD1" s="303" t="s">
        <v>641</v>
      </c>
      <c r="AE1" s="234" t="s">
        <v>708</v>
      </c>
      <c r="AF1" s="234" t="s">
        <v>749</v>
      </c>
      <c r="AG1" s="234" t="s">
        <v>750</v>
      </c>
      <c r="AH1" s="234" t="s">
        <v>709</v>
      </c>
      <c r="AI1" s="234" t="s">
        <v>710</v>
      </c>
      <c r="AJ1" s="234" t="s">
        <v>711</v>
      </c>
      <c r="AK1" s="234" t="s">
        <v>656</v>
      </c>
      <c r="AL1" s="234" t="s">
        <v>657</v>
      </c>
      <c r="AM1" s="234" t="s">
        <v>751</v>
      </c>
      <c r="AN1" s="234" t="s">
        <v>658</v>
      </c>
      <c r="AO1" s="234" t="s">
        <v>712</v>
      </c>
      <c r="AP1" s="234" t="s">
        <v>713</v>
      </c>
      <c r="AQ1" s="234" t="s">
        <v>752</v>
      </c>
      <c r="AR1" s="234" t="s">
        <v>753</v>
      </c>
      <c r="AS1" s="234" t="s">
        <v>754</v>
      </c>
      <c r="AT1" s="234" t="s">
        <v>755</v>
      </c>
      <c r="AU1" s="234" t="s">
        <v>756</v>
      </c>
      <c r="AV1" s="234" t="s">
        <v>757</v>
      </c>
      <c r="AW1" s="234" t="s">
        <v>670</v>
      </c>
      <c r="AX1" s="234" t="s">
        <v>671</v>
      </c>
      <c r="AY1" s="234" t="s">
        <v>714</v>
      </c>
      <c r="AZ1" s="234" t="s">
        <v>758</v>
      </c>
      <c r="BA1" s="234" t="s">
        <v>715</v>
      </c>
      <c r="BB1" s="234" t="s">
        <v>716</v>
      </c>
      <c r="BC1" s="234" t="s">
        <v>717</v>
      </c>
      <c r="BD1" s="234" t="s">
        <v>718</v>
      </c>
      <c r="BE1" s="234" t="s">
        <v>759</v>
      </c>
      <c r="BF1" s="234" t="s">
        <v>760</v>
      </c>
      <c r="BG1" s="234" t="s">
        <v>761</v>
      </c>
      <c r="BH1" s="234" t="s">
        <v>719</v>
      </c>
      <c r="BI1" s="234" t="s">
        <v>720</v>
      </c>
      <c r="BJ1" s="234" t="s">
        <v>721</v>
      </c>
      <c r="BK1" s="234" t="s">
        <v>722</v>
      </c>
      <c r="BL1" s="234" t="s">
        <v>723</v>
      </c>
      <c r="BM1" s="234" t="s">
        <v>724</v>
      </c>
      <c r="BN1" s="234" t="s">
        <v>725</v>
      </c>
      <c r="BO1" s="234" t="s">
        <v>726</v>
      </c>
      <c r="BP1" s="234" t="s">
        <v>762</v>
      </c>
      <c r="BQ1" s="234" t="s">
        <v>727</v>
      </c>
      <c r="BR1" s="234" t="s">
        <v>728</v>
      </c>
      <c r="BU1" s="303" t="s">
        <v>641</v>
      </c>
      <c r="BV1" s="234" t="s">
        <v>708</v>
      </c>
      <c r="BW1" s="234" t="s">
        <v>749</v>
      </c>
      <c r="BX1" s="234" t="s">
        <v>750</v>
      </c>
      <c r="BY1" s="234" t="s">
        <v>709</v>
      </c>
      <c r="BZ1" s="234" t="s">
        <v>710</v>
      </c>
      <c r="CA1" s="234" t="s">
        <v>711</v>
      </c>
      <c r="CB1" s="234" t="s">
        <v>656</v>
      </c>
      <c r="CC1" s="234" t="s">
        <v>657</v>
      </c>
      <c r="CD1" s="234" t="s">
        <v>751</v>
      </c>
      <c r="CE1" s="234" t="s">
        <v>658</v>
      </c>
      <c r="CF1" s="234" t="s">
        <v>712</v>
      </c>
      <c r="CG1" s="234" t="s">
        <v>713</v>
      </c>
      <c r="CH1" s="234" t="s">
        <v>752</v>
      </c>
      <c r="CI1" s="234" t="s">
        <v>753</v>
      </c>
      <c r="CJ1" s="234" t="s">
        <v>754</v>
      </c>
      <c r="CK1" s="234" t="s">
        <v>755</v>
      </c>
      <c r="CL1" s="234" t="s">
        <v>756</v>
      </c>
      <c r="CM1" s="234" t="s">
        <v>757</v>
      </c>
      <c r="CN1" s="234" t="s">
        <v>670</v>
      </c>
      <c r="CO1" s="234" t="s">
        <v>671</v>
      </c>
      <c r="CP1" s="234" t="s">
        <v>714</v>
      </c>
      <c r="CQ1" s="234" t="s">
        <v>758</v>
      </c>
      <c r="CR1" s="234" t="s">
        <v>715</v>
      </c>
      <c r="CS1" s="234" t="s">
        <v>716</v>
      </c>
      <c r="CT1" s="234" t="s">
        <v>717</v>
      </c>
      <c r="CU1" s="234" t="s">
        <v>718</v>
      </c>
      <c r="CV1" s="234" t="s">
        <v>759</v>
      </c>
      <c r="CW1" s="234" t="s">
        <v>760</v>
      </c>
      <c r="CX1" s="234" t="s">
        <v>761</v>
      </c>
      <c r="CY1" s="234" t="s">
        <v>719</v>
      </c>
      <c r="CZ1" s="234" t="s">
        <v>720</v>
      </c>
      <c r="DA1" s="234" t="s">
        <v>721</v>
      </c>
      <c r="DB1" s="234" t="s">
        <v>722</v>
      </c>
      <c r="DC1" s="234" t="s">
        <v>723</v>
      </c>
      <c r="DD1" s="234" t="s">
        <v>724</v>
      </c>
      <c r="DE1" s="234" t="s">
        <v>725</v>
      </c>
      <c r="DF1" s="234" t="s">
        <v>726</v>
      </c>
      <c r="DG1" s="234" t="s">
        <v>762</v>
      </c>
      <c r="DH1" s="234" t="s">
        <v>727</v>
      </c>
      <c r="DI1" s="234" t="s">
        <v>728</v>
      </c>
    </row>
    <row r="2" spans="1:113">
      <c r="A2" s="304" t="s">
        <v>763</v>
      </c>
      <c r="B2" s="306">
        <v>1</v>
      </c>
      <c r="AD2" s="304" t="s">
        <v>708</v>
      </c>
      <c r="AE2" s="306">
        <v>0</v>
      </c>
      <c r="AF2" s="306">
        <v>0</v>
      </c>
      <c r="AG2" s="306">
        <v>0</v>
      </c>
      <c r="AH2" s="306">
        <v>0</v>
      </c>
      <c r="AI2" s="306">
        <v>0</v>
      </c>
      <c r="AJ2" s="306">
        <v>0</v>
      </c>
      <c r="AK2" s="306">
        <v>0</v>
      </c>
      <c r="AL2" s="306">
        <v>0</v>
      </c>
      <c r="AM2" s="306">
        <v>0</v>
      </c>
      <c r="AN2" s="306">
        <v>0</v>
      </c>
      <c r="AO2" s="306">
        <v>0</v>
      </c>
      <c r="AP2" s="306">
        <v>0</v>
      </c>
      <c r="AQ2" s="306">
        <v>0</v>
      </c>
      <c r="AR2" s="306">
        <v>0</v>
      </c>
      <c r="AS2" s="306">
        <v>0</v>
      </c>
      <c r="AT2" s="306">
        <v>0</v>
      </c>
      <c r="AU2" s="306">
        <v>0</v>
      </c>
      <c r="AV2" s="306">
        <v>0</v>
      </c>
      <c r="AW2" s="306">
        <v>0</v>
      </c>
      <c r="AX2" s="306">
        <v>0</v>
      </c>
      <c r="AY2" s="306">
        <v>0</v>
      </c>
      <c r="AZ2" s="306">
        <v>0</v>
      </c>
      <c r="BA2" s="306">
        <v>0</v>
      </c>
      <c r="BB2" s="306">
        <v>0</v>
      </c>
      <c r="BC2" s="306">
        <v>0</v>
      </c>
      <c r="BD2" s="306">
        <v>0</v>
      </c>
      <c r="BE2" s="306">
        <v>0</v>
      </c>
      <c r="BF2" s="306">
        <v>0</v>
      </c>
      <c r="BG2" s="306">
        <v>0</v>
      </c>
      <c r="BH2" s="306">
        <v>0</v>
      </c>
      <c r="BI2" s="306">
        <v>0</v>
      </c>
      <c r="BJ2" s="306">
        <v>0</v>
      </c>
      <c r="BK2" s="306">
        <v>0</v>
      </c>
      <c r="BL2" s="306">
        <v>0</v>
      </c>
      <c r="BM2" s="306">
        <v>0</v>
      </c>
      <c r="BN2" s="306">
        <v>0</v>
      </c>
      <c r="BO2" s="306">
        <v>0</v>
      </c>
      <c r="BP2" s="306">
        <v>0</v>
      </c>
      <c r="BQ2" s="306">
        <v>0</v>
      </c>
      <c r="BR2" s="306">
        <v>0</v>
      </c>
      <c r="BU2" s="304" t="s">
        <v>708</v>
      </c>
      <c r="BV2" s="306">
        <v>0</v>
      </c>
      <c r="BW2" s="306">
        <v>0</v>
      </c>
      <c r="BX2" s="306">
        <v>0</v>
      </c>
      <c r="BY2" s="306">
        <v>0</v>
      </c>
      <c r="BZ2" s="306">
        <v>0</v>
      </c>
      <c r="CA2" s="306">
        <v>0</v>
      </c>
      <c r="CB2" s="306">
        <v>0</v>
      </c>
      <c r="CC2" s="306">
        <v>0</v>
      </c>
      <c r="CD2" s="306">
        <v>0</v>
      </c>
      <c r="CE2" s="306">
        <v>0</v>
      </c>
      <c r="CF2" s="306">
        <v>0</v>
      </c>
      <c r="CG2" s="306">
        <v>0</v>
      </c>
      <c r="CH2" s="306">
        <v>0</v>
      </c>
      <c r="CI2" s="306">
        <v>0</v>
      </c>
      <c r="CJ2" s="306">
        <v>0</v>
      </c>
      <c r="CK2" s="306">
        <v>0</v>
      </c>
      <c r="CL2" s="306">
        <v>0</v>
      </c>
      <c r="CM2" s="306">
        <v>0</v>
      </c>
      <c r="CN2" s="306">
        <v>0</v>
      </c>
      <c r="CO2" s="306">
        <v>0</v>
      </c>
      <c r="CP2" s="306">
        <v>0</v>
      </c>
      <c r="CQ2" s="306">
        <v>0</v>
      </c>
      <c r="CR2" s="306">
        <v>0</v>
      </c>
      <c r="CS2" s="306">
        <v>0</v>
      </c>
      <c r="CT2" s="306">
        <v>0</v>
      </c>
      <c r="CU2" s="306">
        <v>0</v>
      </c>
      <c r="CV2" s="306">
        <v>0</v>
      </c>
      <c r="CW2" s="306">
        <v>0</v>
      </c>
      <c r="CX2" s="306">
        <v>0</v>
      </c>
      <c r="CY2" s="306">
        <v>0</v>
      </c>
      <c r="CZ2" s="306">
        <v>0</v>
      </c>
      <c r="DA2" s="306">
        <v>0</v>
      </c>
      <c r="DB2" s="306">
        <v>0</v>
      </c>
      <c r="DC2" s="306">
        <v>0</v>
      </c>
      <c r="DD2" s="306">
        <v>0</v>
      </c>
      <c r="DE2" s="306">
        <v>0</v>
      </c>
      <c r="DF2" s="306">
        <v>0</v>
      </c>
      <c r="DG2" s="306">
        <v>0</v>
      </c>
      <c r="DH2" s="306">
        <v>0</v>
      </c>
      <c r="DI2" s="306">
        <v>0</v>
      </c>
    </row>
    <row r="3" spans="1:113">
      <c r="A3" s="304" t="s">
        <v>708</v>
      </c>
      <c r="B3" s="306">
        <v>1</v>
      </c>
      <c r="AD3" s="304" t="s">
        <v>749</v>
      </c>
      <c r="AE3" s="306">
        <v>0</v>
      </c>
      <c r="AF3" s="306">
        <v>0</v>
      </c>
      <c r="AG3" s="306">
        <v>0</v>
      </c>
      <c r="AH3" s="306">
        <v>0</v>
      </c>
      <c r="AI3" s="306">
        <v>0</v>
      </c>
      <c r="AJ3" s="306">
        <v>0</v>
      </c>
      <c r="AK3" s="306">
        <v>0</v>
      </c>
      <c r="AL3" s="306">
        <v>0</v>
      </c>
      <c r="AM3" s="306">
        <v>0</v>
      </c>
      <c r="AN3" s="306">
        <v>0</v>
      </c>
      <c r="AO3" s="306">
        <v>0</v>
      </c>
      <c r="AP3" s="306">
        <v>0</v>
      </c>
      <c r="AQ3" s="306">
        <v>0</v>
      </c>
      <c r="AR3" s="306">
        <v>0</v>
      </c>
      <c r="AS3" s="306">
        <v>0</v>
      </c>
      <c r="AT3" s="306">
        <v>0</v>
      </c>
      <c r="AU3" s="306">
        <v>0</v>
      </c>
      <c r="AV3" s="306">
        <v>0</v>
      </c>
      <c r="AW3" s="306">
        <v>0</v>
      </c>
      <c r="AX3" s="306">
        <v>0</v>
      </c>
      <c r="AY3" s="306">
        <v>0</v>
      </c>
      <c r="AZ3" s="306">
        <v>0</v>
      </c>
      <c r="BA3" s="306">
        <v>0</v>
      </c>
      <c r="BB3" s="306">
        <v>0</v>
      </c>
      <c r="BC3" s="306">
        <v>0</v>
      </c>
      <c r="BD3" s="306">
        <v>0</v>
      </c>
      <c r="BE3" s="306">
        <v>0</v>
      </c>
      <c r="BF3" s="306">
        <v>0</v>
      </c>
      <c r="BG3" s="306">
        <v>0</v>
      </c>
      <c r="BH3" s="306">
        <v>0</v>
      </c>
      <c r="BI3" s="306">
        <v>0</v>
      </c>
      <c r="BJ3" s="306">
        <v>0</v>
      </c>
      <c r="BK3" s="306">
        <v>0</v>
      </c>
      <c r="BL3" s="306">
        <v>0</v>
      </c>
      <c r="BM3" s="306">
        <v>0</v>
      </c>
      <c r="BN3" s="306">
        <v>0</v>
      </c>
      <c r="BO3" s="306">
        <v>0</v>
      </c>
      <c r="BP3" s="306">
        <v>0</v>
      </c>
      <c r="BQ3" s="306">
        <v>0</v>
      </c>
      <c r="BR3" s="306">
        <v>0</v>
      </c>
      <c r="BU3" s="304" t="s">
        <v>749</v>
      </c>
      <c r="BV3" s="306">
        <v>0</v>
      </c>
      <c r="BW3" s="306">
        <v>0</v>
      </c>
      <c r="BX3" s="306">
        <v>0</v>
      </c>
      <c r="BY3" s="306">
        <v>0</v>
      </c>
      <c r="BZ3" s="306">
        <v>0</v>
      </c>
      <c r="CA3" s="306">
        <v>0</v>
      </c>
      <c r="CB3" s="306">
        <v>0</v>
      </c>
      <c r="CC3" s="306">
        <v>0</v>
      </c>
      <c r="CD3" s="306">
        <v>0</v>
      </c>
      <c r="CE3" s="306">
        <v>0</v>
      </c>
      <c r="CF3" s="306">
        <v>0</v>
      </c>
      <c r="CG3" s="306">
        <v>0</v>
      </c>
      <c r="CH3" s="306">
        <v>0</v>
      </c>
      <c r="CI3" s="306">
        <v>0</v>
      </c>
      <c r="CJ3" s="306">
        <v>0</v>
      </c>
      <c r="CK3" s="306">
        <v>0</v>
      </c>
      <c r="CL3" s="306">
        <v>0</v>
      </c>
      <c r="CM3" s="306">
        <v>0</v>
      </c>
      <c r="CN3" s="306">
        <v>0</v>
      </c>
      <c r="CO3" s="306">
        <v>0</v>
      </c>
      <c r="CP3" s="306">
        <v>0</v>
      </c>
      <c r="CQ3" s="306">
        <v>0</v>
      </c>
      <c r="CR3" s="306">
        <v>0</v>
      </c>
      <c r="CS3" s="306">
        <v>0</v>
      </c>
      <c r="CT3" s="306">
        <v>0</v>
      </c>
      <c r="CU3" s="306">
        <v>0</v>
      </c>
      <c r="CV3" s="306">
        <v>0</v>
      </c>
      <c r="CW3" s="306">
        <v>0</v>
      </c>
      <c r="CX3" s="306">
        <v>0</v>
      </c>
      <c r="CY3" s="306">
        <v>0</v>
      </c>
      <c r="CZ3" s="306">
        <v>0</v>
      </c>
      <c r="DA3" s="306">
        <v>0</v>
      </c>
      <c r="DB3" s="306">
        <v>0</v>
      </c>
      <c r="DC3" s="306">
        <v>0</v>
      </c>
      <c r="DD3" s="306">
        <v>0</v>
      </c>
      <c r="DE3" s="306">
        <v>0</v>
      </c>
      <c r="DF3" s="306">
        <v>0</v>
      </c>
      <c r="DG3" s="306">
        <v>0</v>
      </c>
      <c r="DH3" s="306">
        <v>0</v>
      </c>
      <c r="DI3" s="306">
        <v>0</v>
      </c>
    </row>
    <row r="4" spans="1:113">
      <c r="A4" s="304" t="s">
        <v>764</v>
      </c>
      <c r="B4" s="306">
        <v>1</v>
      </c>
      <c r="AD4" s="304" t="s">
        <v>750</v>
      </c>
      <c r="AE4" s="306">
        <v>0</v>
      </c>
      <c r="AF4" s="306">
        <v>0</v>
      </c>
      <c r="AG4" s="306">
        <v>0</v>
      </c>
      <c r="AH4" s="306">
        <v>0</v>
      </c>
      <c r="AI4" s="306">
        <v>0</v>
      </c>
      <c r="AJ4" s="306">
        <v>0</v>
      </c>
      <c r="AK4" s="306">
        <v>0</v>
      </c>
      <c r="AL4" s="306">
        <v>0</v>
      </c>
      <c r="AM4" s="306">
        <v>0</v>
      </c>
      <c r="AN4" s="306">
        <v>0</v>
      </c>
      <c r="AO4" s="306">
        <v>0</v>
      </c>
      <c r="AP4" s="306">
        <v>0</v>
      </c>
      <c r="AQ4" s="306">
        <v>0</v>
      </c>
      <c r="AR4" s="306">
        <v>0</v>
      </c>
      <c r="AS4" s="306">
        <v>0</v>
      </c>
      <c r="AT4" s="306">
        <v>0</v>
      </c>
      <c r="AU4" s="306">
        <v>0</v>
      </c>
      <c r="AV4" s="306">
        <v>0</v>
      </c>
      <c r="AW4" s="306">
        <v>0</v>
      </c>
      <c r="AX4" s="306">
        <v>0</v>
      </c>
      <c r="AY4" s="306">
        <v>0</v>
      </c>
      <c r="AZ4" s="306">
        <v>0</v>
      </c>
      <c r="BA4" s="306">
        <v>0</v>
      </c>
      <c r="BB4" s="306">
        <v>0</v>
      </c>
      <c r="BC4" s="306">
        <v>0</v>
      </c>
      <c r="BD4" s="306">
        <v>0</v>
      </c>
      <c r="BE4" s="306">
        <v>0</v>
      </c>
      <c r="BF4" s="306">
        <v>0</v>
      </c>
      <c r="BG4" s="306">
        <v>0</v>
      </c>
      <c r="BH4" s="306">
        <v>0</v>
      </c>
      <c r="BI4" s="306">
        <v>0</v>
      </c>
      <c r="BJ4" s="306">
        <v>0</v>
      </c>
      <c r="BK4" s="306">
        <v>0</v>
      </c>
      <c r="BL4" s="306">
        <v>0</v>
      </c>
      <c r="BM4" s="306">
        <v>0</v>
      </c>
      <c r="BN4" s="306">
        <v>0</v>
      </c>
      <c r="BO4" s="306">
        <v>0</v>
      </c>
      <c r="BP4" s="306">
        <v>0</v>
      </c>
      <c r="BQ4" s="306">
        <v>0</v>
      </c>
      <c r="BR4" s="306">
        <v>0</v>
      </c>
      <c r="BU4" s="304" t="s">
        <v>750</v>
      </c>
      <c r="BV4" s="306">
        <v>0</v>
      </c>
      <c r="BW4" s="306">
        <v>0</v>
      </c>
      <c r="BX4" s="306">
        <v>0</v>
      </c>
      <c r="BY4" s="306">
        <v>0</v>
      </c>
      <c r="BZ4" s="306">
        <v>0</v>
      </c>
      <c r="CA4" s="306">
        <v>0</v>
      </c>
      <c r="CB4" s="306">
        <v>0</v>
      </c>
      <c r="CC4" s="306">
        <v>0</v>
      </c>
      <c r="CD4" s="306">
        <v>0</v>
      </c>
      <c r="CE4" s="306">
        <v>0</v>
      </c>
      <c r="CF4" s="306">
        <v>0</v>
      </c>
      <c r="CG4" s="306">
        <v>0</v>
      </c>
      <c r="CH4" s="306">
        <v>0</v>
      </c>
      <c r="CI4" s="306">
        <v>0</v>
      </c>
      <c r="CJ4" s="306">
        <v>0</v>
      </c>
      <c r="CK4" s="306">
        <v>0</v>
      </c>
      <c r="CL4" s="306">
        <v>0</v>
      </c>
      <c r="CM4" s="306">
        <v>0</v>
      </c>
      <c r="CN4" s="306">
        <v>0</v>
      </c>
      <c r="CO4" s="306">
        <v>0</v>
      </c>
      <c r="CP4" s="306">
        <v>0</v>
      </c>
      <c r="CQ4" s="306">
        <v>0</v>
      </c>
      <c r="CR4" s="306">
        <v>0</v>
      </c>
      <c r="CS4" s="306">
        <v>0</v>
      </c>
      <c r="CT4" s="306">
        <v>0</v>
      </c>
      <c r="CU4" s="306">
        <v>0</v>
      </c>
      <c r="CV4" s="306">
        <v>0</v>
      </c>
      <c r="CW4" s="306">
        <v>0</v>
      </c>
      <c r="CX4" s="306">
        <v>0</v>
      </c>
      <c r="CY4" s="306">
        <v>0</v>
      </c>
      <c r="CZ4" s="306">
        <v>0</v>
      </c>
      <c r="DA4" s="306">
        <v>0</v>
      </c>
      <c r="DB4" s="306">
        <v>0</v>
      </c>
      <c r="DC4" s="306">
        <v>0</v>
      </c>
      <c r="DD4" s="306">
        <v>0</v>
      </c>
      <c r="DE4" s="306">
        <v>0</v>
      </c>
      <c r="DF4" s="306">
        <v>0</v>
      </c>
      <c r="DG4" s="306">
        <v>0</v>
      </c>
      <c r="DH4" s="306">
        <v>0</v>
      </c>
      <c r="DI4" s="306">
        <v>0</v>
      </c>
    </row>
    <row r="5" spans="1:113">
      <c r="A5" s="304" t="s">
        <v>765</v>
      </c>
      <c r="B5" s="306">
        <v>1</v>
      </c>
      <c r="AD5" s="304" t="s">
        <v>709</v>
      </c>
      <c r="AE5" s="306">
        <v>0</v>
      </c>
      <c r="AF5" s="306">
        <v>0</v>
      </c>
      <c r="AG5" s="306">
        <v>0</v>
      </c>
      <c r="AH5" s="306">
        <v>0</v>
      </c>
      <c r="AI5" s="306">
        <v>0</v>
      </c>
      <c r="AJ5" s="306">
        <v>0</v>
      </c>
      <c r="AK5" s="306">
        <v>0</v>
      </c>
      <c r="AL5" s="306">
        <v>0</v>
      </c>
      <c r="AM5" s="306">
        <v>0</v>
      </c>
      <c r="AN5" s="306">
        <v>0</v>
      </c>
      <c r="AO5" s="306">
        <v>0</v>
      </c>
      <c r="AP5" s="306">
        <v>0</v>
      </c>
      <c r="AQ5" s="306">
        <v>0</v>
      </c>
      <c r="AR5" s="306">
        <v>0</v>
      </c>
      <c r="AS5" s="306">
        <v>0</v>
      </c>
      <c r="AT5" s="306">
        <v>0</v>
      </c>
      <c r="AU5" s="306">
        <v>0</v>
      </c>
      <c r="AV5" s="306">
        <v>0</v>
      </c>
      <c r="AW5" s="306">
        <v>0</v>
      </c>
      <c r="AX5" s="306">
        <v>0</v>
      </c>
      <c r="AY5" s="306">
        <v>0</v>
      </c>
      <c r="AZ5" s="306">
        <v>0</v>
      </c>
      <c r="BA5" s="306">
        <v>0</v>
      </c>
      <c r="BB5" s="306">
        <v>0</v>
      </c>
      <c r="BC5" s="306">
        <v>0</v>
      </c>
      <c r="BD5" s="306">
        <v>0</v>
      </c>
      <c r="BE5" s="306">
        <v>0</v>
      </c>
      <c r="BF5" s="306">
        <v>0</v>
      </c>
      <c r="BG5" s="306">
        <v>0</v>
      </c>
      <c r="BH5" s="306">
        <v>0</v>
      </c>
      <c r="BI5" s="306">
        <v>0</v>
      </c>
      <c r="BJ5" s="306">
        <v>0</v>
      </c>
      <c r="BK5" s="306">
        <v>0</v>
      </c>
      <c r="BL5" s="306">
        <v>0</v>
      </c>
      <c r="BM5" s="306">
        <v>0</v>
      </c>
      <c r="BN5" s="306">
        <v>0</v>
      </c>
      <c r="BO5" s="306">
        <v>0</v>
      </c>
      <c r="BP5" s="306">
        <v>0</v>
      </c>
      <c r="BQ5" s="306">
        <v>0</v>
      </c>
      <c r="BR5" s="306">
        <v>0</v>
      </c>
      <c r="BU5" s="304" t="s">
        <v>709</v>
      </c>
      <c r="BV5" s="306">
        <v>0</v>
      </c>
      <c r="BW5" s="306">
        <v>0</v>
      </c>
      <c r="BX5" s="306">
        <v>0</v>
      </c>
      <c r="BY5" s="306">
        <v>0</v>
      </c>
      <c r="BZ5" s="306">
        <v>0</v>
      </c>
      <c r="CA5" s="306">
        <v>0</v>
      </c>
      <c r="CB5" s="306">
        <v>0</v>
      </c>
      <c r="CC5" s="306">
        <v>0</v>
      </c>
      <c r="CD5" s="306">
        <v>0</v>
      </c>
      <c r="CE5" s="306">
        <v>0</v>
      </c>
      <c r="CF5" s="306">
        <v>0</v>
      </c>
      <c r="CG5" s="306">
        <v>0</v>
      </c>
      <c r="CH5" s="306">
        <v>0</v>
      </c>
      <c r="CI5" s="306">
        <v>0</v>
      </c>
      <c r="CJ5" s="306">
        <v>0</v>
      </c>
      <c r="CK5" s="306">
        <v>0</v>
      </c>
      <c r="CL5" s="306">
        <v>0</v>
      </c>
      <c r="CM5" s="306">
        <v>0</v>
      </c>
      <c r="CN5" s="306">
        <v>0</v>
      </c>
      <c r="CO5" s="306">
        <v>0</v>
      </c>
      <c r="CP5" s="306">
        <v>0</v>
      </c>
      <c r="CQ5" s="306">
        <v>0</v>
      </c>
      <c r="CR5" s="306">
        <v>0</v>
      </c>
      <c r="CS5" s="306">
        <v>0</v>
      </c>
      <c r="CT5" s="306">
        <v>0</v>
      </c>
      <c r="CU5" s="306">
        <v>0</v>
      </c>
      <c r="CV5" s="306">
        <v>0</v>
      </c>
      <c r="CW5" s="306">
        <v>0</v>
      </c>
      <c r="CX5" s="306">
        <v>0</v>
      </c>
      <c r="CY5" s="306">
        <v>0</v>
      </c>
      <c r="CZ5" s="306">
        <v>0</v>
      </c>
      <c r="DA5" s="306">
        <v>0</v>
      </c>
      <c r="DB5" s="306">
        <v>0</v>
      </c>
      <c r="DC5" s="306">
        <v>0</v>
      </c>
      <c r="DD5" s="306">
        <v>0</v>
      </c>
      <c r="DE5" s="306">
        <v>0</v>
      </c>
      <c r="DF5" s="306">
        <v>0</v>
      </c>
      <c r="DG5" s="306">
        <v>0</v>
      </c>
      <c r="DH5" s="306">
        <v>0</v>
      </c>
      <c r="DI5" s="306">
        <v>0</v>
      </c>
    </row>
    <row r="6" spans="1:113">
      <c r="A6" s="304" t="s">
        <v>766</v>
      </c>
      <c r="B6" s="306">
        <v>1</v>
      </c>
      <c r="AD6" s="304" t="s">
        <v>710</v>
      </c>
      <c r="AE6" s="306">
        <v>0</v>
      </c>
      <c r="AF6" s="306">
        <v>0</v>
      </c>
      <c r="AG6" s="306">
        <v>0</v>
      </c>
      <c r="AH6" s="306">
        <v>0</v>
      </c>
      <c r="AI6" s="306">
        <v>0</v>
      </c>
      <c r="AJ6" s="306">
        <v>0</v>
      </c>
      <c r="AK6" s="306">
        <v>0</v>
      </c>
      <c r="AL6" s="306">
        <v>0</v>
      </c>
      <c r="AM6" s="306">
        <v>0</v>
      </c>
      <c r="AN6" s="306">
        <v>0</v>
      </c>
      <c r="AO6" s="306">
        <v>0</v>
      </c>
      <c r="AP6" s="306">
        <v>0</v>
      </c>
      <c r="AQ6" s="306">
        <v>0</v>
      </c>
      <c r="AR6" s="306">
        <v>0</v>
      </c>
      <c r="AS6" s="306">
        <v>0</v>
      </c>
      <c r="AT6" s="306">
        <v>0</v>
      </c>
      <c r="AU6" s="306">
        <v>0</v>
      </c>
      <c r="AV6" s="306">
        <v>0</v>
      </c>
      <c r="AW6" s="306">
        <v>0</v>
      </c>
      <c r="AX6" s="306">
        <v>0</v>
      </c>
      <c r="AY6" s="306">
        <v>0</v>
      </c>
      <c r="AZ6" s="306">
        <v>0</v>
      </c>
      <c r="BA6" s="306">
        <v>0</v>
      </c>
      <c r="BB6" s="306">
        <v>0</v>
      </c>
      <c r="BC6" s="306">
        <v>0</v>
      </c>
      <c r="BD6" s="306">
        <v>0</v>
      </c>
      <c r="BE6" s="306">
        <v>0</v>
      </c>
      <c r="BF6" s="306">
        <v>0</v>
      </c>
      <c r="BG6" s="306">
        <v>0</v>
      </c>
      <c r="BH6" s="306">
        <v>0</v>
      </c>
      <c r="BI6" s="306">
        <v>0</v>
      </c>
      <c r="BJ6" s="306">
        <v>0</v>
      </c>
      <c r="BK6" s="306">
        <v>0</v>
      </c>
      <c r="BL6" s="306">
        <v>0</v>
      </c>
      <c r="BM6" s="306">
        <v>0</v>
      </c>
      <c r="BN6" s="306">
        <v>0</v>
      </c>
      <c r="BO6" s="306">
        <v>0</v>
      </c>
      <c r="BP6" s="306">
        <v>0</v>
      </c>
      <c r="BQ6" s="306">
        <v>0</v>
      </c>
      <c r="BR6" s="306">
        <v>0</v>
      </c>
      <c r="BU6" s="304" t="s">
        <v>710</v>
      </c>
      <c r="BV6" s="306">
        <v>0</v>
      </c>
      <c r="BW6" s="306">
        <v>0</v>
      </c>
      <c r="BX6" s="306">
        <v>0</v>
      </c>
      <c r="BY6" s="306">
        <v>0</v>
      </c>
      <c r="BZ6" s="306">
        <v>0</v>
      </c>
      <c r="CA6" s="306">
        <v>0</v>
      </c>
      <c r="CB6" s="306">
        <v>0</v>
      </c>
      <c r="CC6" s="306">
        <v>0</v>
      </c>
      <c r="CD6" s="306">
        <v>0</v>
      </c>
      <c r="CE6" s="306">
        <v>0</v>
      </c>
      <c r="CF6" s="306">
        <v>0</v>
      </c>
      <c r="CG6" s="306">
        <v>0</v>
      </c>
      <c r="CH6" s="306">
        <v>0</v>
      </c>
      <c r="CI6" s="306">
        <v>0</v>
      </c>
      <c r="CJ6" s="306">
        <v>0</v>
      </c>
      <c r="CK6" s="306">
        <v>0</v>
      </c>
      <c r="CL6" s="306">
        <v>0</v>
      </c>
      <c r="CM6" s="306">
        <v>0</v>
      </c>
      <c r="CN6" s="306">
        <v>0</v>
      </c>
      <c r="CO6" s="306">
        <v>0</v>
      </c>
      <c r="CP6" s="306">
        <v>0</v>
      </c>
      <c r="CQ6" s="306">
        <v>0</v>
      </c>
      <c r="CR6" s="306">
        <v>0</v>
      </c>
      <c r="CS6" s="306">
        <v>0</v>
      </c>
      <c r="CT6" s="306">
        <v>0</v>
      </c>
      <c r="CU6" s="306">
        <v>0</v>
      </c>
      <c r="CV6" s="306">
        <v>0</v>
      </c>
      <c r="CW6" s="306">
        <v>0</v>
      </c>
      <c r="CX6" s="306">
        <v>0</v>
      </c>
      <c r="CY6" s="306">
        <v>0</v>
      </c>
      <c r="CZ6" s="306">
        <v>0</v>
      </c>
      <c r="DA6" s="306">
        <v>0</v>
      </c>
      <c r="DB6" s="306">
        <v>0</v>
      </c>
      <c r="DC6" s="306">
        <v>0</v>
      </c>
      <c r="DD6" s="306">
        <v>0</v>
      </c>
      <c r="DE6" s="306">
        <v>0</v>
      </c>
      <c r="DF6" s="306">
        <v>0</v>
      </c>
      <c r="DG6" s="306">
        <v>0</v>
      </c>
      <c r="DH6" s="306">
        <v>0</v>
      </c>
      <c r="DI6" s="306">
        <v>0</v>
      </c>
    </row>
    <row r="7" spans="1:113">
      <c r="A7" s="304" t="s">
        <v>767</v>
      </c>
      <c r="B7" s="306">
        <v>1</v>
      </c>
      <c r="AD7" s="304" t="s">
        <v>711</v>
      </c>
      <c r="AE7" s="306">
        <v>0</v>
      </c>
      <c r="AF7" s="306">
        <v>0</v>
      </c>
      <c r="AG7" s="306">
        <v>0</v>
      </c>
      <c r="AH7" s="306">
        <v>0</v>
      </c>
      <c r="AI7" s="306">
        <v>0</v>
      </c>
      <c r="AJ7" s="306">
        <v>0</v>
      </c>
      <c r="AK7" s="306">
        <v>0</v>
      </c>
      <c r="AL7" s="306">
        <v>0</v>
      </c>
      <c r="AM7" s="306">
        <v>0</v>
      </c>
      <c r="AN7" s="306">
        <v>0</v>
      </c>
      <c r="AO7" s="306">
        <v>0</v>
      </c>
      <c r="AP7" s="306">
        <v>0</v>
      </c>
      <c r="AQ7" s="306">
        <v>0</v>
      </c>
      <c r="AR7" s="306">
        <v>0</v>
      </c>
      <c r="AS7" s="306">
        <v>0</v>
      </c>
      <c r="AT7" s="306">
        <v>0</v>
      </c>
      <c r="AU7" s="306">
        <v>0</v>
      </c>
      <c r="AV7" s="306">
        <v>0</v>
      </c>
      <c r="AW7" s="306">
        <v>0</v>
      </c>
      <c r="AX7" s="306">
        <v>0</v>
      </c>
      <c r="AY7" s="306">
        <v>0</v>
      </c>
      <c r="AZ7" s="306">
        <v>0</v>
      </c>
      <c r="BA7" s="306">
        <v>0</v>
      </c>
      <c r="BB7" s="306">
        <v>0</v>
      </c>
      <c r="BC7" s="306">
        <v>0</v>
      </c>
      <c r="BD7" s="306">
        <v>0</v>
      </c>
      <c r="BE7" s="306">
        <v>0</v>
      </c>
      <c r="BF7" s="306">
        <v>0</v>
      </c>
      <c r="BG7" s="306">
        <v>0</v>
      </c>
      <c r="BH7" s="306">
        <v>0</v>
      </c>
      <c r="BI7" s="306">
        <v>0</v>
      </c>
      <c r="BJ7" s="306">
        <v>0</v>
      </c>
      <c r="BK7" s="306">
        <v>0</v>
      </c>
      <c r="BL7" s="306">
        <v>0</v>
      </c>
      <c r="BM7" s="306">
        <v>0</v>
      </c>
      <c r="BN7" s="306">
        <v>0</v>
      </c>
      <c r="BO7" s="306">
        <v>0</v>
      </c>
      <c r="BP7" s="306">
        <v>0</v>
      </c>
      <c r="BQ7" s="306">
        <v>0</v>
      </c>
      <c r="BR7" s="306">
        <v>0</v>
      </c>
      <c r="BU7" s="304" t="s">
        <v>711</v>
      </c>
      <c r="BV7" s="306">
        <v>0</v>
      </c>
      <c r="BW7" s="306">
        <v>0</v>
      </c>
      <c r="BX7" s="306">
        <v>0</v>
      </c>
      <c r="BY7" s="306">
        <v>0</v>
      </c>
      <c r="BZ7" s="306">
        <v>0</v>
      </c>
      <c r="CA7" s="306">
        <v>0</v>
      </c>
      <c r="CB7" s="306">
        <v>0</v>
      </c>
      <c r="CC7" s="306">
        <v>0</v>
      </c>
      <c r="CD7" s="306">
        <v>0</v>
      </c>
      <c r="CE7" s="306">
        <v>0</v>
      </c>
      <c r="CF7" s="306">
        <v>0</v>
      </c>
      <c r="CG7" s="306">
        <v>0</v>
      </c>
      <c r="CH7" s="306">
        <v>0</v>
      </c>
      <c r="CI7" s="306">
        <v>0</v>
      </c>
      <c r="CJ7" s="306">
        <v>0</v>
      </c>
      <c r="CK7" s="306">
        <v>0</v>
      </c>
      <c r="CL7" s="306">
        <v>0</v>
      </c>
      <c r="CM7" s="306">
        <v>0</v>
      </c>
      <c r="CN7" s="306">
        <v>0</v>
      </c>
      <c r="CO7" s="306">
        <v>0</v>
      </c>
      <c r="CP7" s="306">
        <v>0</v>
      </c>
      <c r="CQ7" s="306">
        <v>0</v>
      </c>
      <c r="CR7" s="306">
        <v>0</v>
      </c>
      <c r="CS7" s="306">
        <v>0</v>
      </c>
      <c r="CT7" s="306">
        <v>0</v>
      </c>
      <c r="CU7" s="306">
        <v>0</v>
      </c>
      <c r="CV7" s="306">
        <v>0</v>
      </c>
      <c r="CW7" s="306">
        <v>0</v>
      </c>
      <c r="CX7" s="306">
        <v>0</v>
      </c>
      <c r="CY7" s="306">
        <v>0</v>
      </c>
      <c r="CZ7" s="306">
        <v>0</v>
      </c>
      <c r="DA7" s="306">
        <v>0</v>
      </c>
      <c r="DB7" s="306">
        <v>0</v>
      </c>
      <c r="DC7" s="306">
        <v>0</v>
      </c>
      <c r="DD7" s="306">
        <v>0</v>
      </c>
      <c r="DE7" s="306">
        <v>0</v>
      </c>
      <c r="DF7" s="306">
        <v>0</v>
      </c>
      <c r="DG7" s="306">
        <v>0</v>
      </c>
      <c r="DH7" s="306">
        <v>0</v>
      </c>
      <c r="DI7" s="306">
        <v>0</v>
      </c>
    </row>
    <row r="8" spans="1:113">
      <c r="A8" s="304" t="s">
        <v>749</v>
      </c>
      <c r="B8" s="306">
        <v>0</v>
      </c>
      <c r="AD8" s="304" t="s">
        <v>656</v>
      </c>
      <c r="AE8" s="306">
        <v>0</v>
      </c>
      <c r="AF8" s="306">
        <v>0</v>
      </c>
      <c r="AG8" s="306">
        <v>5820.7321553561396</v>
      </c>
      <c r="AH8" s="306">
        <v>0</v>
      </c>
      <c r="AI8" s="306">
        <v>0</v>
      </c>
      <c r="AJ8" s="306">
        <v>0</v>
      </c>
      <c r="AK8" s="306">
        <v>0</v>
      </c>
      <c r="AL8" s="306">
        <v>0</v>
      </c>
      <c r="AM8" s="306">
        <v>0</v>
      </c>
      <c r="AN8" s="306">
        <v>0</v>
      </c>
      <c r="AO8" s="306">
        <v>0</v>
      </c>
      <c r="AP8" s="306">
        <v>0</v>
      </c>
      <c r="AQ8" s="306">
        <v>67354.020465940004</v>
      </c>
      <c r="AR8" s="306">
        <v>0</v>
      </c>
      <c r="AS8" s="306">
        <v>0</v>
      </c>
      <c r="AT8" s="306">
        <v>0</v>
      </c>
      <c r="AU8" s="306">
        <v>0</v>
      </c>
      <c r="AV8" s="306">
        <v>0</v>
      </c>
      <c r="AW8" s="306">
        <v>0</v>
      </c>
      <c r="AX8" s="306">
        <v>0</v>
      </c>
      <c r="AY8" s="306">
        <v>0</v>
      </c>
      <c r="AZ8" s="306">
        <v>0</v>
      </c>
      <c r="BA8" s="306">
        <v>0</v>
      </c>
      <c r="BB8" s="306">
        <v>0</v>
      </c>
      <c r="BC8" s="306">
        <v>0</v>
      </c>
      <c r="BD8" s="306">
        <v>0</v>
      </c>
      <c r="BE8" s="306">
        <v>0</v>
      </c>
      <c r="BF8" s="306">
        <v>0</v>
      </c>
      <c r="BG8" s="306">
        <v>3155.63573488975</v>
      </c>
      <c r="BH8" s="306">
        <v>0</v>
      </c>
      <c r="BI8" s="306">
        <v>0</v>
      </c>
      <c r="BJ8" s="306">
        <v>0</v>
      </c>
      <c r="BK8" s="306">
        <v>0</v>
      </c>
      <c r="BL8" s="306">
        <v>0</v>
      </c>
      <c r="BM8" s="306">
        <v>0</v>
      </c>
      <c r="BN8" s="306">
        <v>0</v>
      </c>
      <c r="BO8" s="306">
        <v>0</v>
      </c>
      <c r="BP8" s="306">
        <v>0</v>
      </c>
      <c r="BQ8" s="306">
        <v>0</v>
      </c>
      <c r="BR8" s="306">
        <v>0</v>
      </c>
      <c r="BU8" s="304" t="s">
        <v>656</v>
      </c>
      <c r="BV8" s="306">
        <v>0</v>
      </c>
      <c r="BW8" s="306">
        <v>0</v>
      </c>
      <c r="BX8" s="306">
        <v>1</v>
      </c>
      <c r="BY8" s="306">
        <v>0</v>
      </c>
      <c r="BZ8" s="306">
        <v>0</v>
      </c>
      <c r="CA8" s="306">
        <v>0</v>
      </c>
      <c r="CB8" s="306">
        <v>0</v>
      </c>
      <c r="CC8" s="306">
        <v>0</v>
      </c>
      <c r="CD8" s="306">
        <v>0</v>
      </c>
      <c r="CE8" s="306">
        <v>0</v>
      </c>
      <c r="CF8" s="306">
        <v>0</v>
      </c>
      <c r="CG8" s="306">
        <v>0</v>
      </c>
      <c r="CH8" s="306">
        <v>1</v>
      </c>
      <c r="CI8" s="306">
        <v>0</v>
      </c>
      <c r="CJ8" s="306">
        <v>0</v>
      </c>
      <c r="CK8" s="306">
        <v>0</v>
      </c>
      <c r="CL8" s="306">
        <v>0</v>
      </c>
      <c r="CM8" s="306">
        <v>0</v>
      </c>
      <c r="CN8" s="306">
        <v>0</v>
      </c>
      <c r="CO8" s="306">
        <v>0</v>
      </c>
      <c r="CP8" s="306">
        <v>0</v>
      </c>
      <c r="CQ8" s="306">
        <v>0</v>
      </c>
      <c r="CR8" s="306">
        <v>0</v>
      </c>
      <c r="CS8" s="306">
        <v>0</v>
      </c>
      <c r="CT8" s="306">
        <v>0</v>
      </c>
      <c r="CU8" s="306">
        <v>0</v>
      </c>
      <c r="CV8" s="306">
        <v>0</v>
      </c>
      <c r="CW8" s="306">
        <v>0</v>
      </c>
      <c r="CX8" s="306">
        <v>1</v>
      </c>
      <c r="CY8" s="306">
        <v>0</v>
      </c>
      <c r="CZ8" s="306">
        <v>0</v>
      </c>
      <c r="DA8" s="306">
        <v>0</v>
      </c>
      <c r="DB8" s="306">
        <v>0</v>
      </c>
      <c r="DC8" s="306">
        <v>0</v>
      </c>
      <c r="DD8" s="306">
        <v>0</v>
      </c>
      <c r="DE8" s="306">
        <v>0</v>
      </c>
      <c r="DF8" s="306">
        <v>0</v>
      </c>
      <c r="DG8" s="306">
        <v>0</v>
      </c>
      <c r="DH8" s="306">
        <v>0</v>
      </c>
      <c r="DI8" s="306">
        <v>0</v>
      </c>
    </row>
    <row r="9" spans="1:113">
      <c r="A9" s="304" t="s">
        <v>750</v>
      </c>
      <c r="B9" s="306">
        <v>0</v>
      </c>
      <c r="AD9" s="304" t="s">
        <v>657</v>
      </c>
      <c r="AE9" s="306">
        <v>0</v>
      </c>
      <c r="AF9" s="306">
        <v>0</v>
      </c>
      <c r="AG9" s="306">
        <v>0</v>
      </c>
      <c r="AH9" s="306">
        <v>0</v>
      </c>
      <c r="AI9" s="306">
        <v>0</v>
      </c>
      <c r="AJ9" s="306">
        <v>0</v>
      </c>
      <c r="AK9" s="306">
        <v>0</v>
      </c>
      <c r="AL9" s="306">
        <v>0</v>
      </c>
      <c r="AM9" s="306">
        <v>0</v>
      </c>
      <c r="AN9" s="306">
        <v>0</v>
      </c>
      <c r="AO9" s="306">
        <v>0</v>
      </c>
      <c r="AP9" s="306">
        <v>0</v>
      </c>
      <c r="AQ9" s="306">
        <v>0</v>
      </c>
      <c r="AR9" s="306">
        <v>0</v>
      </c>
      <c r="AS9" s="306">
        <v>0</v>
      </c>
      <c r="AT9" s="306">
        <v>0</v>
      </c>
      <c r="AU9" s="306">
        <v>0</v>
      </c>
      <c r="AV9" s="306">
        <v>0</v>
      </c>
      <c r="AW9" s="306">
        <v>0</v>
      </c>
      <c r="AX9" s="306">
        <v>0</v>
      </c>
      <c r="AY9" s="306">
        <v>0</v>
      </c>
      <c r="AZ9" s="306">
        <v>0</v>
      </c>
      <c r="BA9" s="306">
        <v>0</v>
      </c>
      <c r="BB9" s="306">
        <v>0</v>
      </c>
      <c r="BC9" s="306">
        <v>0</v>
      </c>
      <c r="BD9" s="306">
        <v>0</v>
      </c>
      <c r="BE9" s="306">
        <v>0</v>
      </c>
      <c r="BF9" s="306">
        <v>0</v>
      </c>
      <c r="BG9" s="306">
        <v>0</v>
      </c>
      <c r="BH9" s="306">
        <v>0</v>
      </c>
      <c r="BI9" s="306">
        <v>0</v>
      </c>
      <c r="BJ9" s="306">
        <v>0</v>
      </c>
      <c r="BK9" s="306">
        <v>0</v>
      </c>
      <c r="BL9" s="306">
        <v>0</v>
      </c>
      <c r="BM9" s="306">
        <v>0</v>
      </c>
      <c r="BN9" s="306">
        <v>0</v>
      </c>
      <c r="BO9" s="306">
        <v>0</v>
      </c>
      <c r="BP9" s="306">
        <v>0</v>
      </c>
      <c r="BQ9" s="306">
        <v>0</v>
      </c>
      <c r="BR9" s="306">
        <v>0</v>
      </c>
      <c r="BU9" s="304" t="s">
        <v>657</v>
      </c>
      <c r="BV9" s="306">
        <v>0</v>
      </c>
      <c r="BW9" s="306">
        <v>0</v>
      </c>
      <c r="BX9" s="306">
        <v>0</v>
      </c>
      <c r="BY9" s="306">
        <v>0</v>
      </c>
      <c r="BZ9" s="306">
        <v>0</v>
      </c>
      <c r="CA9" s="306">
        <v>0</v>
      </c>
      <c r="CB9" s="306">
        <v>0</v>
      </c>
      <c r="CC9" s="306">
        <v>0</v>
      </c>
      <c r="CD9" s="306">
        <v>0</v>
      </c>
      <c r="CE9" s="306">
        <v>0</v>
      </c>
      <c r="CF9" s="306">
        <v>0</v>
      </c>
      <c r="CG9" s="306">
        <v>0</v>
      </c>
      <c r="CH9" s="306">
        <v>0</v>
      </c>
      <c r="CI9" s="306">
        <v>0</v>
      </c>
      <c r="CJ9" s="306">
        <v>0</v>
      </c>
      <c r="CK9" s="306">
        <v>0</v>
      </c>
      <c r="CL9" s="306">
        <v>0</v>
      </c>
      <c r="CM9" s="306">
        <v>0</v>
      </c>
      <c r="CN9" s="306">
        <v>0</v>
      </c>
      <c r="CO9" s="306">
        <v>0</v>
      </c>
      <c r="CP9" s="306">
        <v>0</v>
      </c>
      <c r="CQ9" s="306">
        <v>0</v>
      </c>
      <c r="CR9" s="306">
        <v>0</v>
      </c>
      <c r="CS9" s="306">
        <v>0</v>
      </c>
      <c r="CT9" s="306">
        <v>0</v>
      </c>
      <c r="CU9" s="306">
        <v>0</v>
      </c>
      <c r="CV9" s="306">
        <v>0</v>
      </c>
      <c r="CW9" s="306">
        <v>0</v>
      </c>
      <c r="CX9" s="306">
        <v>0</v>
      </c>
      <c r="CY9" s="306">
        <v>0</v>
      </c>
      <c r="CZ9" s="306">
        <v>0</v>
      </c>
      <c r="DA9" s="306">
        <v>0</v>
      </c>
      <c r="DB9" s="306">
        <v>0</v>
      </c>
      <c r="DC9" s="306">
        <v>0</v>
      </c>
      <c r="DD9" s="306">
        <v>0</v>
      </c>
      <c r="DE9" s="306">
        <v>0</v>
      </c>
      <c r="DF9" s="306">
        <v>0</v>
      </c>
      <c r="DG9" s="306">
        <v>0</v>
      </c>
      <c r="DH9" s="306">
        <v>0</v>
      </c>
      <c r="DI9" s="306">
        <v>0</v>
      </c>
    </row>
    <row r="10" spans="1:113">
      <c r="A10" s="304" t="s">
        <v>768</v>
      </c>
      <c r="B10" s="306">
        <v>1</v>
      </c>
      <c r="AD10" s="304" t="s">
        <v>751</v>
      </c>
      <c r="AE10" s="306">
        <v>0</v>
      </c>
      <c r="AF10" s="306">
        <v>0</v>
      </c>
      <c r="AG10" s="306">
        <v>0</v>
      </c>
      <c r="AH10" s="306">
        <v>0</v>
      </c>
      <c r="AI10" s="306">
        <v>0</v>
      </c>
      <c r="AJ10" s="306">
        <v>0</v>
      </c>
      <c r="AK10" s="306">
        <v>0</v>
      </c>
      <c r="AL10" s="306">
        <v>0</v>
      </c>
      <c r="AM10" s="306">
        <v>0</v>
      </c>
      <c r="AN10" s="306">
        <v>0</v>
      </c>
      <c r="AO10" s="306">
        <v>0</v>
      </c>
      <c r="AP10" s="306">
        <v>0</v>
      </c>
      <c r="AQ10" s="306">
        <v>0</v>
      </c>
      <c r="AR10" s="306">
        <v>0</v>
      </c>
      <c r="AS10" s="306">
        <v>0</v>
      </c>
      <c r="AT10" s="306">
        <v>0</v>
      </c>
      <c r="AU10" s="306">
        <v>0</v>
      </c>
      <c r="AV10" s="306">
        <v>0</v>
      </c>
      <c r="AW10" s="306">
        <v>0</v>
      </c>
      <c r="AX10" s="306">
        <v>0</v>
      </c>
      <c r="AY10" s="306">
        <v>0</v>
      </c>
      <c r="AZ10" s="306">
        <v>0</v>
      </c>
      <c r="BA10" s="306">
        <v>0</v>
      </c>
      <c r="BB10" s="306">
        <v>0</v>
      </c>
      <c r="BC10" s="306">
        <v>0</v>
      </c>
      <c r="BD10" s="306">
        <v>0</v>
      </c>
      <c r="BE10" s="306">
        <v>0</v>
      </c>
      <c r="BF10" s="306">
        <v>0</v>
      </c>
      <c r="BG10" s="306">
        <v>0</v>
      </c>
      <c r="BH10" s="306">
        <v>0</v>
      </c>
      <c r="BI10" s="306">
        <v>0</v>
      </c>
      <c r="BJ10" s="306">
        <v>0</v>
      </c>
      <c r="BK10" s="306">
        <v>0</v>
      </c>
      <c r="BL10" s="306">
        <v>0</v>
      </c>
      <c r="BM10" s="306">
        <v>0</v>
      </c>
      <c r="BN10" s="306">
        <v>0</v>
      </c>
      <c r="BO10" s="306">
        <v>0</v>
      </c>
      <c r="BP10" s="306">
        <v>0</v>
      </c>
      <c r="BQ10" s="306">
        <v>0</v>
      </c>
      <c r="BR10" s="306">
        <v>0</v>
      </c>
      <c r="BU10" s="304" t="s">
        <v>751</v>
      </c>
      <c r="BV10" s="306">
        <v>0</v>
      </c>
      <c r="BW10" s="306">
        <v>0</v>
      </c>
      <c r="BX10" s="306">
        <v>0</v>
      </c>
      <c r="BY10" s="306">
        <v>0</v>
      </c>
      <c r="BZ10" s="306">
        <v>0</v>
      </c>
      <c r="CA10" s="306">
        <v>0</v>
      </c>
      <c r="CB10" s="306">
        <v>0</v>
      </c>
      <c r="CC10" s="306">
        <v>0</v>
      </c>
      <c r="CD10" s="306">
        <v>0</v>
      </c>
      <c r="CE10" s="306">
        <v>0</v>
      </c>
      <c r="CF10" s="306">
        <v>0</v>
      </c>
      <c r="CG10" s="306">
        <v>0</v>
      </c>
      <c r="CH10" s="306">
        <v>0</v>
      </c>
      <c r="CI10" s="306">
        <v>0</v>
      </c>
      <c r="CJ10" s="306">
        <v>0</v>
      </c>
      <c r="CK10" s="306">
        <v>0</v>
      </c>
      <c r="CL10" s="306">
        <v>0</v>
      </c>
      <c r="CM10" s="306">
        <v>0</v>
      </c>
      <c r="CN10" s="306">
        <v>0</v>
      </c>
      <c r="CO10" s="306">
        <v>0</v>
      </c>
      <c r="CP10" s="306">
        <v>0</v>
      </c>
      <c r="CQ10" s="306">
        <v>0</v>
      </c>
      <c r="CR10" s="306">
        <v>0</v>
      </c>
      <c r="CS10" s="306">
        <v>0</v>
      </c>
      <c r="CT10" s="306">
        <v>0</v>
      </c>
      <c r="CU10" s="306">
        <v>0</v>
      </c>
      <c r="CV10" s="306">
        <v>0</v>
      </c>
      <c r="CW10" s="306">
        <v>0</v>
      </c>
      <c r="CX10" s="306">
        <v>0</v>
      </c>
      <c r="CY10" s="306">
        <v>0</v>
      </c>
      <c r="CZ10" s="306">
        <v>0</v>
      </c>
      <c r="DA10" s="306">
        <v>0</v>
      </c>
      <c r="DB10" s="306">
        <v>0</v>
      </c>
      <c r="DC10" s="306">
        <v>0</v>
      </c>
      <c r="DD10" s="306">
        <v>0</v>
      </c>
      <c r="DE10" s="306">
        <v>0</v>
      </c>
      <c r="DF10" s="306">
        <v>0</v>
      </c>
      <c r="DG10" s="306">
        <v>0</v>
      </c>
      <c r="DH10" s="306">
        <v>0</v>
      </c>
      <c r="DI10" s="306">
        <v>0</v>
      </c>
    </row>
    <row r="11" spans="1:113">
      <c r="A11" s="304" t="s">
        <v>769</v>
      </c>
      <c r="B11" s="306">
        <v>1</v>
      </c>
      <c r="AD11" s="304" t="s">
        <v>658</v>
      </c>
      <c r="AE11" s="306">
        <v>0</v>
      </c>
      <c r="AF11" s="306">
        <v>0</v>
      </c>
      <c r="AG11" s="306">
        <v>0</v>
      </c>
      <c r="AH11" s="306">
        <v>0</v>
      </c>
      <c r="AI11" s="306">
        <v>0</v>
      </c>
      <c r="AJ11" s="306">
        <v>0</v>
      </c>
      <c r="AK11" s="306">
        <v>0</v>
      </c>
      <c r="AL11" s="306">
        <v>0</v>
      </c>
      <c r="AM11" s="306">
        <v>0</v>
      </c>
      <c r="AN11" s="306">
        <v>0</v>
      </c>
      <c r="AO11" s="306">
        <v>0</v>
      </c>
      <c r="AP11" s="306">
        <v>0</v>
      </c>
      <c r="AQ11" s="306">
        <v>0</v>
      </c>
      <c r="AR11" s="306">
        <v>0</v>
      </c>
      <c r="AS11" s="306">
        <v>0</v>
      </c>
      <c r="AT11" s="306">
        <v>0</v>
      </c>
      <c r="AU11" s="306">
        <v>0</v>
      </c>
      <c r="AV11" s="306">
        <v>0</v>
      </c>
      <c r="AW11" s="306">
        <v>0</v>
      </c>
      <c r="AX11" s="306">
        <v>0</v>
      </c>
      <c r="AY11" s="306">
        <v>0</v>
      </c>
      <c r="AZ11" s="306">
        <v>0</v>
      </c>
      <c r="BA11" s="306">
        <v>0</v>
      </c>
      <c r="BB11" s="306">
        <v>0</v>
      </c>
      <c r="BC11" s="306">
        <v>0</v>
      </c>
      <c r="BD11" s="306">
        <v>0</v>
      </c>
      <c r="BE11" s="306">
        <v>0</v>
      </c>
      <c r="BF11" s="306">
        <v>0</v>
      </c>
      <c r="BG11" s="306">
        <v>0</v>
      </c>
      <c r="BH11" s="306">
        <v>0</v>
      </c>
      <c r="BI11" s="306">
        <v>0</v>
      </c>
      <c r="BJ11" s="306">
        <v>0</v>
      </c>
      <c r="BK11" s="306">
        <v>0</v>
      </c>
      <c r="BL11" s="306">
        <v>0</v>
      </c>
      <c r="BM11" s="306">
        <v>0</v>
      </c>
      <c r="BN11" s="306">
        <v>0</v>
      </c>
      <c r="BO11" s="306">
        <v>0</v>
      </c>
      <c r="BP11" s="306">
        <v>0</v>
      </c>
      <c r="BQ11" s="306">
        <v>0</v>
      </c>
      <c r="BR11" s="306">
        <v>0</v>
      </c>
      <c r="BU11" s="304" t="s">
        <v>658</v>
      </c>
      <c r="BV11" s="306">
        <v>0</v>
      </c>
      <c r="BW11" s="306">
        <v>0</v>
      </c>
      <c r="BX11" s="306">
        <v>0</v>
      </c>
      <c r="BY11" s="306">
        <v>0</v>
      </c>
      <c r="BZ11" s="306">
        <v>0</v>
      </c>
      <c r="CA11" s="306">
        <v>0</v>
      </c>
      <c r="CB11" s="306">
        <v>0</v>
      </c>
      <c r="CC11" s="306">
        <v>0</v>
      </c>
      <c r="CD11" s="306">
        <v>0</v>
      </c>
      <c r="CE11" s="306">
        <v>0</v>
      </c>
      <c r="CF11" s="306">
        <v>0</v>
      </c>
      <c r="CG11" s="306">
        <v>0</v>
      </c>
      <c r="CH11" s="306">
        <v>0</v>
      </c>
      <c r="CI11" s="306">
        <v>0</v>
      </c>
      <c r="CJ11" s="306">
        <v>0</v>
      </c>
      <c r="CK11" s="306">
        <v>0</v>
      </c>
      <c r="CL11" s="306">
        <v>0</v>
      </c>
      <c r="CM11" s="306">
        <v>0</v>
      </c>
      <c r="CN11" s="306">
        <v>0</v>
      </c>
      <c r="CO11" s="306">
        <v>0</v>
      </c>
      <c r="CP11" s="306">
        <v>0</v>
      </c>
      <c r="CQ11" s="306">
        <v>0</v>
      </c>
      <c r="CR11" s="306">
        <v>0</v>
      </c>
      <c r="CS11" s="306">
        <v>0</v>
      </c>
      <c r="CT11" s="306">
        <v>0</v>
      </c>
      <c r="CU11" s="306">
        <v>0</v>
      </c>
      <c r="CV11" s="306">
        <v>0</v>
      </c>
      <c r="CW11" s="306">
        <v>0</v>
      </c>
      <c r="CX11" s="306">
        <v>0</v>
      </c>
      <c r="CY11" s="306">
        <v>0</v>
      </c>
      <c r="CZ11" s="306">
        <v>0</v>
      </c>
      <c r="DA11" s="306">
        <v>0</v>
      </c>
      <c r="DB11" s="306">
        <v>0</v>
      </c>
      <c r="DC11" s="306">
        <v>0</v>
      </c>
      <c r="DD11" s="306">
        <v>0</v>
      </c>
      <c r="DE11" s="306">
        <v>0</v>
      </c>
      <c r="DF11" s="306">
        <v>0</v>
      </c>
      <c r="DG11" s="306">
        <v>0</v>
      </c>
      <c r="DH11" s="306">
        <v>0</v>
      </c>
      <c r="DI11" s="306">
        <v>0</v>
      </c>
    </row>
    <row r="12" spans="1:113">
      <c r="A12" s="304" t="s">
        <v>770</v>
      </c>
      <c r="B12" s="306">
        <v>1</v>
      </c>
      <c r="AD12" s="304" t="s">
        <v>712</v>
      </c>
      <c r="AE12" s="306">
        <v>0</v>
      </c>
      <c r="AF12" s="306">
        <v>0</v>
      </c>
      <c r="AG12" s="306">
        <v>0</v>
      </c>
      <c r="AH12" s="306">
        <v>0</v>
      </c>
      <c r="AI12" s="306">
        <v>0</v>
      </c>
      <c r="AJ12" s="306">
        <v>0</v>
      </c>
      <c r="AK12" s="306">
        <v>0</v>
      </c>
      <c r="AL12" s="306">
        <v>0</v>
      </c>
      <c r="AM12" s="306">
        <v>0</v>
      </c>
      <c r="AN12" s="306">
        <v>0</v>
      </c>
      <c r="AO12" s="306">
        <v>0</v>
      </c>
      <c r="AP12" s="306">
        <v>0</v>
      </c>
      <c r="AQ12" s="306">
        <v>0</v>
      </c>
      <c r="AR12" s="306">
        <v>0</v>
      </c>
      <c r="AS12" s="306">
        <v>0</v>
      </c>
      <c r="AT12" s="306">
        <v>0</v>
      </c>
      <c r="AU12" s="306">
        <v>0</v>
      </c>
      <c r="AV12" s="306">
        <v>0</v>
      </c>
      <c r="AW12" s="306">
        <v>0</v>
      </c>
      <c r="AX12" s="306">
        <v>0</v>
      </c>
      <c r="AY12" s="306">
        <v>0</v>
      </c>
      <c r="AZ12" s="306">
        <v>0</v>
      </c>
      <c r="BA12" s="306">
        <v>0</v>
      </c>
      <c r="BB12" s="306">
        <v>0</v>
      </c>
      <c r="BC12" s="306">
        <v>0</v>
      </c>
      <c r="BD12" s="306">
        <v>0</v>
      </c>
      <c r="BE12" s="306">
        <v>0</v>
      </c>
      <c r="BF12" s="306">
        <v>0</v>
      </c>
      <c r="BG12" s="306">
        <v>0</v>
      </c>
      <c r="BH12" s="306">
        <v>0</v>
      </c>
      <c r="BI12" s="306">
        <v>0</v>
      </c>
      <c r="BJ12" s="306">
        <v>0</v>
      </c>
      <c r="BK12" s="306">
        <v>0</v>
      </c>
      <c r="BL12" s="306">
        <v>0</v>
      </c>
      <c r="BM12" s="306">
        <v>0</v>
      </c>
      <c r="BN12" s="306">
        <v>0</v>
      </c>
      <c r="BO12" s="306">
        <v>0</v>
      </c>
      <c r="BP12" s="306">
        <v>0</v>
      </c>
      <c r="BQ12" s="306">
        <v>0</v>
      </c>
      <c r="BR12" s="306">
        <v>0</v>
      </c>
      <c r="BU12" s="304" t="s">
        <v>712</v>
      </c>
      <c r="BV12" s="306">
        <v>0</v>
      </c>
      <c r="BW12" s="306">
        <v>0</v>
      </c>
      <c r="BX12" s="306">
        <v>0</v>
      </c>
      <c r="BY12" s="306">
        <v>0</v>
      </c>
      <c r="BZ12" s="306">
        <v>0</v>
      </c>
      <c r="CA12" s="306">
        <v>0</v>
      </c>
      <c r="CB12" s="306">
        <v>0</v>
      </c>
      <c r="CC12" s="306">
        <v>0</v>
      </c>
      <c r="CD12" s="306">
        <v>0</v>
      </c>
      <c r="CE12" s="306">
        <v>0</v>
      </c>
      <c r="CF12" s="306">
        <v>0</v>
      </c>
      <c r="CG12" s="306">
        <v>0</v>
      </c>
      <c r="CH12" s="306">
        <v>0</v>
      </c>
      <c r="CI12" s="306">
        <v>0</v>
      </c>
      <c r="CJ12" s="306">
        <v>0</v>
      </c>
      <c r="CK12" s="306">
        <v>0</v>
      </c>
      <c r="CL12" s="306">
        <v>0</v>
      </c>
      <c r="CM12" s="306">
        <v>0</v>
      </c>
      <c r="CN12" s="306">
        <v>0</v>
      </c>
      <c r="CO12" s="306">
        <v>0</v>
      </c>
      <c r="CP12" s="306">
        <v>0</v>
      </c>
      <c r="CQ12" s="306">
        <v>0</v>
      </c>
      <c r="CR12" s="306">
        <v>0</v>
      </c>
      <c r="CS12" s="306">
        <v>0</v>
      </c>
      <c r="CT12" s="306">
        <v>0</v>
      </c>
      <c r="CU12" s="306">
        <v>0</v>
      </c>
      <c r="CV12" s="306">
        <v>0</v>
      </c>
      <c r="CW12" s="306">
        <v>0</v>
      </c>
      <c r="CX12" s="306">
        <v>0</v>
      </c>
      <c r="CY12" s="306">
        <v>0</v>
      </c>
      <c r="CZ12" s="306">
        <v>0</v>
      </c>
      <c r="DA12" s="306">
        <v>0</v>
      </c>
      <c r="DB12" s="306">
        <v>0</v>
      </c>
      <c r="DC12" s="306">
        <v>0</v>
      </c>
      <c r="DD12" s="306">
        <v>0</v>
      </c>
      <c r="DE12" s="306">
        <v>0</v>
      </c>
      <c r="DF12" s="306">
        <v>0</v>
      </c>
      <c r="DG12" s="306">
        <v>0</v>
      </c>
      <c r="DH12" s="306">
        <v>0</v>
      </c>
      <c r="DI12" s="306">
        <v>0</v>
      </c>
    </row>
    <row r="13" spans="1:113">
      <c r="A13" s="304" t="s">
        <v>709</v>
      </c>
      <c r="B13" s="306">
        <v>1</v>
      </c>
      <c r="AD13" s="304" t="s">
        <v>713</v>
      </c>
      <c r="AE13" s="306">
        <v>0</v>
      </c>
      <c r="AF13" s="306">
        <v>0</v>
      </c>
      <c r="AG13" s="306">
        <v>0</v>
      </c>
      <c r="AH13" s="306">
        <v>0</v>
      </c>
      <c r="AI13" s="306">
        <v>0</v>
      </c>
      <c r="AJ13" s="306">
        <v>0</v>
      </c>
      <c r="AK13" s="306">
        <v>0</v>
      </c>
      <c r="AL13" s="306">
        <v>0</v>
      </c>
      <c r="AM13" s="306">
        <v>0</v>
      </c>
      <c r="AN13" s="306">
        <v>0</v>
      </c>
      <c r="AO13" s="306">
        <v>0</v>
      </c>
      <c r="AP13" s="306">
        <v>0</v>
      </c>
      <c r="AQ13" s="306">
        <v>0</v>
      </c>
      <c r="AR13" s="306">
        <v>0</v>
      </c>
      <c r="AS13" s="306">
        <v>0</v>
      </c>
      <c r="AT13" s="306">
        <v>0</v>
      </c>
      <c r="AU13" s="306">
        <v>0</v>
      </c>
      <c r="AV13" s="306">
        <v>0</v>
      </c>
      <c r="AW13" s="306">
        <v>0</v>
      </c>
      <c r="AX13" s="306">
        <v>0</v>
      </c>
      <c r="AY13" s="306">
        <v>0</v>
      </c>
      <c r="AZ13" s="306">
        <v>0</v>
      </c>
      <c r="BA13" s="306">
        <v>0</v>
      </c>
      <c r="BB13" s="306">
        <v>0</v>
      </c>
      <c r="BC13" s="306">
        <v>0</v>
      </c>
      <c r="BD13" s="306">
        <v>0</v>
      </c>
      <c r="BE13" s="306">
        <v>0</v>
      </c>
      <c r="BF13" s="306">
        <v>0</v>
      </c>
      <c r="BG13" s="306">
        <v>0</v>
      </c>
      <c r="BH13" s="306">
        <v>0</v>
      </c>
      <c r="BI13" s="306">
        <v>0</v>
      </c>
      <c r="BJ13" s="306">
        <v>0</v>
      </c>
      <c r="BK13" s="306">
        <v>0</v>
      </c>
      <c r="BL13" s="306">
        <v>0</v>
      </c>
      <c r="BM13" s="306">
        <v>0</v>
      </c>
      <c r="BN13" s="306">
        <v>0</v>
      </c>
      <c r="BO13" s="306">
        <v>0</v>
      </c>
      <c r="BP13" s="306">
        <v>0</v>
      </c>
      <c r="BQ13" s="306">
        <v>0</v>
      </c>
      <c r="BR13" s="306">
        <v>0</v>
      </c>
      <c r="BU13" s="304" t="s">
        <v>713</v>
      </c>
      <c r="BV13" s="306">
        <v>0</v>
      </c>
      <c r="BW13" s="306">
        <v>0</v>
      </c>
      <c r="BX13" s="306">
        <v>0</v>
      </c>
      <c r="BY13" s="306">
        <v>0</v>
      </c>
      <c r="BZ13" s="306">
        <v>0</v>
      </c>
      <c r="CA13" s="306">
        <v>0</v>
      </c>
      <c r="CB13" s="306">
        <v>0</v>
      </c>
      <c r="CC13" s="306">
        <v>0</v>
      </c>
      <c r="CD13" s="306">
        <v>0</v>
      </c>
      <c r="CE13" s="306">
        <v>0</v>
      </c>
      <c r="CF13" s="306">
        <v>0</v>
      </c>
      <c r="CG13" s="306">
        <v>0</v>
      </c>
      <c r="CH13" s="306">
        <v>0</v>
      </c>
      <c r="CI13" s="306">
        <v>0</v>
      </c>
      <c r="CJ13" s="306">
        <v>0</v>
      </c>
      <c r="CK13" s="306">
        <v>0</v>
      </c>
      <c r="CL13" s="306">
        <v>0</v>
      </c>
      <c r="CM13" s="306">
        <v>0</v>
      </c>
      <c r="CN13" s="306">
        <v>0</v>
      </c>
      <c r="CO13" s="306">
        <v>0</v>
      </c>
      <c r="CP13" s="306">
        <v>0</v>
      </c>
      <c r="CQ13" s="306">
        <v>0</v>
      </c>
      <c r="CR13" s="306">
        <v>0</v>
      </c>
      <c r="CS13" s="306">
        <v>0</v>
      </c>
      <c r="CT13" s="306">
        <v>0</v>
      </c>
      <c r="CU13" s="306">
        <v>0</v>
      </c>
      <c r="CV13" s="306">
        <v>0</v>
      </c>
      <c r="CW13" s="306">
        <v>0</v>
      </c>
      <c r="CX13" s="306">
        <v>0</v>
      </c>
      <c r="CY13" s="306">
        <v>0</v>
      </c>
      <c r="CZ13" s="306">
        <v>0</v>
      </c>
      <c r="DA13" s="306">
        <v>0</v>
      </c>
      <c r="DB13" s="306">
        <v>0</v>
      </c>
      <c r="DC13" s="306">
        <v>0</v>
      </c>
      <c r="DD13" s="306">
        <v>0</v>
      </c>
      <c r="DE13" s="306">
        <v>0</v>
      </c>
      <c r="DF13" s="306">
        <v>0</v>
      </c>
      <c r="DG13" s="306">
        <v>0</v>
      </c>
      <c r="DH13" s="306">
        <v>0</v>
      </c>
      <c r="DI13" s="306">
        <v>0</v>
      </c>
    </row>
    <row r="14" spans="1:113">
      <c r="A14" s="304" t="s">
        <v>710</v>
      </c>
      <c r="B14" s="306">
        <v>1</v>
      </c>
      <c r="AD14" s="304" t="s">
        <v>752</v>
      </c>
      <c r="AE14" s="306">
        <v>0</v>
      </c>
      <c r="AF14" s="306">
        <v>0</v>
      </c>
      <c r="AG14" s="306">
        <v>0</v>
      </c>
      <c r="AH14" s="306">
        <v>0</v>
      </c>
      <c r="AI14" s="306">
        <v>0</v>
      </c>
      <c r="AJ14" s="306">
        <v>0</v>
      </c>
      <c r="AK14" s="306">
        <v>0</v>
      </c>
      <c r="AL14" s="306">
        <v>0</v>
      </c>
      <c r="AM14" s="306">
        <v>0</v>
      </c>
      <c r="AN14" s="306">
        <v>0</v>
      </c>
      <c r="AO14" s="306">
        <v>0</v>
      </c>
      <c r="AP14" s="306">
        <v>0</v>
      </c>
      <c r="AQ14" s="306">
        <v>0</v>
      </c>
      <c r="AR14" s="306">
        <v>0</v>
      </c>
      <c r="AS14" s="306">
        <v>0</v>
      </c>
      <c r="AT14" s="306">
        <v>0</v>
      </c>
      <c r="AU14" s="306">
        <v>0</v>
      </c>
      <c r="AV14" s="306">
        <v>0</v>
      </c>
      <c r="AW14" s="306">
        <v>0</v>
      </c>
      <c r="AX14" s="306">
        <v>0</v>
      </c>
      <c r="AY14" s="306">
        <v>0</v>
      </c>
      <c r="AZ14" s="306">
        <v>0</v>
      </c>
      <c r="BA14" s="306">
        <v>0</v>
      </c>
      <c r="BB14" s="306">
        <v>0</v>
      </c>
      <c r="BC14" s="306">
        <v>0</v>
      </c>
      <c r="BD14" s="306">
        <v>0</v>
      </c>
      <c r="BE14" s="306">
        <v>0</v>
      </c>
      <c r="BF14" s="306">
        <v>0</v>
      </c>
      <c r="BG14" s="306">
        <v>0</v>
      </c>
      <c r="BH14" s="306">
        <v>0</v>
      </c>
      <c r="BI14" s="306">
        <v>0</v>
      </c>
      <c r="BJ14" s="306">
        <v>0</v>
      </c>
      <c r="BK14" s="306">
        <v>0</v>
      </c>
      <c r="BL14" s="306">
        <v>0</v>
      </c>
      <c r="BM14" s="306">
        <v>0</v>
      </c>
      <c r="BN14" s="306">
        <v>0</v>
      </c>
      <c r="BO14" s="306">
        <v>0</v>
      </c>
      <c r="BP14" s="306">
        <v>0</v>
      </c>
      <c r="BQ14" s="306">
        <v>0</v>
      </c>
      <c r="BR14" s="306">
        <v>0</v>
      </c>
      <c r="BU14" s="304" t="s">
        <v>752</v>
      </c>
      <c r="BV14" s="306">
        <v>0</v>
      </c>
      <c r="BW14" s="306">
        <v>0</v>
      </c>
      <c r="BX14" s="306">
        <v>0</v>
      </c>
      <c r="BY14" s="306">
        <v>0</v>
      </c>
      <c r="BZ14" s="306">
        <v>0</v>
      </c>
      <c r="CA14" s="306">
        <v>0</v>
      </c>
      <c r="CB14" s="306">
        <v>0</v>
      </c>
      <c r="CC14" s="306">
        <v>0</v>
      </c>
      <c r="CD14" s="306">
        <v>0</v>
      </c>
      <c r="CE14" s="306">
        <v>0</v>
      </c>
      <c r="CF14" s="306">
        <v>0</v>
      </c>
      <c r="CG14" s="306">
        <v>0</v>
      </c>
      <c r="CH14" s="306">
        <v>0</v>
      </c>
      <c r="CI14" s="306">
        <v>0</v>
      </c>
      <c r="CJ14" s="306">
        <v>0</v>
      </c>
      <c r="CK14" s="306">
        <v>0</v>
      </c>
      <c r="CL14" s="306">
        <v>0</v>
      </c>
      <c r="CM14" s="306">
        <v>0</v>
      </c>
      <c r="CN14" s="306">
        <v>0</v>
      </c>
      <c r="CO14" s="306">
        <v>0</v>
      </c>
      <c r="CP14" s="306">
        <v>0</v>
      </c>
      <c r="CQ14" s="306">
        <v>0</v>
      </c>
      <c r="CR14" s="306">
        <v>0</v>
      </c>
      <c r="CS14" s="306">
        <v>0</v>
      </c>
      <c r="CT14" s="306">
        <v>0</v>
      </c>
      <c r="CU14" s="306">
        <v>0</v>
      </c>
      <c r="CV14" s="306">
        <v>0</v>
      </c>
      <c r="CW14" s="306">
        <v>0</v>
      </c>
      <c r="CX14" s="306">
        <v>0</v>
      </c>
      <c r="CY14" s="306">
        <v>0</v>
      </c>
      <c r="CZ14" s="306">
        <v>0</v>
      </c>
      <c r="DA14" s="306">
        <v>0</v>
      </c>
      <c r="DB14" s="306">
        <v>0</v>
      </c>
      <c r="DC14" s="306">
        <v>0</v>
      </c>
      <c r="DD14" s="306">
        <v>0</v>
      </c>
      <c r="DE14" s="306">
        <v>0</v>
      </c>
      <c r="DF14" s="306">
        <v>0</v>
      </c>
      <c r="DG14" s="306">
        <v>0</v>
      </c>
      <c r="DH14" s="306">
        <v>0</v>
      </c>
      <c r="DI14" s="306">
        <v>0</v>
      </c>
    </row>
    <row r="15" spans="1:113">
      <c r="A15" s="304" t="s">
        <v>711</v>
      </c>
      <c r="B15" s="306">
        <v>1</v>
      </c>
      <c r="AD15" s="304" t="s">
        <v>753</v>
      </c>
      <c r="AE15" s="306">
        <v>0</v>
      </c>
      <c r="AF15" s="306">
        <v>0</v>
      </c>
      <c r="AG15" s="306">
        <v>0</v>
      </c>
      <c r="AH15" s="306">
        <v>0</v>
      </c>
      <c r="AI15" s="306">
        <v>0</v>
      </c>
      <c r="AJ15" s="306">
        <v>0</v>
      </c>
      <c r="AK15" s="306">
        <v>0</v>
      </c>
      <c r="AL15" s="306">
        <v>0</v>
      </c>
      <c r="AM15" s="306">
        <v>0</v>
      </c>
      <c r="AN15" s="306">
        <v>0</v>
      </c>
      <c r="AO15" s="306">
        <v>0</v>
      </c>
      <c r="AP15" s="306">
        <v>0</v>
      </c>
      <c r="AQ15" s="306">
        <v>0</v>
      </c>
      <c r="AR15" s="306">
        <v>0</v>
      </c>
      <c r="AS15" s="306">
        <v>0</v>
      </c>
      <c r="AT15" s="306">
        <v>0</v>
      </c>
      <c r="AU15" s="306">
        <v>0</v>
      </c>
      <c r="AV15" s="306">
        <v>0</v>
      </c>
      <c r="AW15" s="306">
        <v>0</v>
      </c>
      <c r="AX15" s="306">
        <v>0</v>
      </c>
      <c r="AY15" s="306">
        <v>0</v>
      </c>
      <c r="AZ15" s="306">
        <v>0</v>
      </c>
      <c r="BA15" s="306">
        <v>0</v>
      </c>
      <c r="BB15" s="306">
        <v>0</v>
      </c>
      <c r="BC15" s="306">
        <v>0</v>
      </c>
      <c r="BD15" s="306">
        <v>0</v>
      </c>
      <c r="BE15" s="306">
        <v>0</v>
      </c>
      <c r="BF15" s="306">
        <v>0</v>
      </c>
      <c r="BG15" s="306">
        <v>0</v>
      </c>
      <c r="BH15" s="306">
        <v>0</v>
      </c>
      <c r="BI15" s="306">
        <v>0</v>
      </c>
      <c r="BJ15" s="306">
        <v>0</v>
      </c>
      <c r="BK15" s="306">
        <v>0</v>
      </c>
      <c r="BL15" s="306">
        <v>0</v>
      </c>
      <c r="BM15" s="306">
        <v>0</v>
      </c>
      <c r="BN15" s="306">
        <v>0</v>
      </c>
      <c r="BO15" s="306">
        <v>0</v>
      </c>
      <c r="BP15" s="306">
        <v>0</v>
      </c>
      <c r="BQ15" s="306">
        <v>0</v>
      </c>
      <c r="BR15" s="306">
        <v>0</v>
      </c>
      <c r="BU15" s="304" t="s">
        <v>753</v>
      </c>
      <c r="BV15" s="306">
        <v>0</v>
      </c>
      <c r="BW15" s="306">
        <v>0</v>
      </c>
      <c r="BX15" s="306">
        <v>0</v>
      </c>
      <c r="BY15" s="306">
        <v>0</v>
      </c>
      <c r="BZ15" s="306">
        <v>0</v>
      </c>
      <c r="CA15" s="306">
        <v>0</v>
      </c>
      <c r="CB15" s="306">
        <v>0</v>
      </c>
      <c r="CC15" s="306">
        <v>0</v>
      </c>
      <c r="CD15" s="306">
        <v>0</v>
      </c>
      <c r="CE15" s="306">
        <v>0</v>
      </c>
      <c r="CF15" s="306">
        <v>0</v>
      </c>
      <c r="CG15" s="306">
        <v>0</v>
      </c>
      <c r="CH15" s="306">
        <v>0</v>
      </c>
      <c r="CI15" s="306">
        <v>0</v>
      </c>
      <c r="CJ15" s="306">
        <v>0</v>
      </c>
      <c r="CK15" s="306">
        <v>0</v>
      </c>
      <c r="CL15" s="306">
        <v>0</v>
      </c>
      <c r="CM15" s="306">
        <v>0</v>
      </c>
      <c r="CN15" s="306">
        <v>0</v>
      </c>
      <c r="CO15" s="306">
        <v>0</v>
      </c>
      <c r="CP15" s="306">
        <v>0</v>
      </c>
      <c r="CQ15" s="306">
        <v>0</v>
      </c>
      <c r="CR15" s="306">
        <v>0</v>
      </c>
      <c r="CS15" s="306">
        <v>0</v>
      </c>
      <c r="CT15" s="306">
        <v>0</v>
      </c>
      <c r="CU15" s="306">
        <v>0</v>
      </c>
      <c r="CV15" s="306">
        <v>0</v>
      </c>
      <c r="CW15" s="306">
        <v>0</v>
      </c>
      <c r="CX15" s="306">
        <v>0</v>
      </c>
      <c r="CY15" s="306">
        <v>0</v>
      </c>
      <c r="CZ15" s="306">
        <v>0</v>
      </c>
      <c r="DA15" s="306">
        <v>0</v>
      </c>
      <c r="DB15" s="306">
        <v>0</v>
      </c>
      <c r="DC15" s="306">
        <v>0</v>
      </c>
      <c r="DD15" s="306">
        <v>0</v>
      </c>
      <c r="DE15" s="306">
        <v>0</v>
      </c>
      <c r="DF15" s="306">
        <v>0</v>
      </c>
      <c r="DG15" s="306">
        <v>0</v>
      </c>
      <c r="DH15" s="306">
        <v>0</v>
      </c>
      <c r="DI15" s="306">
        <v>0</v>
      </c>
    </row>
    <row r="16" spans="1:113">
      <c r="A16" s="304" t="s">
        <v>656</v>
      </c>
      <c r="B16" s="306">
        <v>1</v>
      </c>
      <c r="AD16" s="304" t="s">
        <v>754</v>
      </c>
      <c r="AE16" s="306">
        <v>0</v>
      </c>
      <c r="AF16" s="306">
        <v>0</v>
      </c>
      <c r="AG16" s="306">
        <v>0</v>
      </c>
      <c r="AH16" s="306">
        <v>0</v>
      </c>
      <c r="AI16" s="306">
        <v>0</v>
      </c>
      <c r="AJ16" s="306">
        <v>0</v>
      </c>
      <c r="AK16" s="306">
        <v>0</v>
      </c>
      <c r="AL16" s="306">
        <v>0</v>
      </c>
      <c r="AM16" s="306">
        <v>0</v>
      </c>
      <c r="AN16" s="306">
        <v>0</v>
      </c>
      <c r="AO16" s="306">
        <v>0</v>
      </c>
      <c r="AP16" s="306">
        <v>0</v>
      </c>
      <c r="AQ16" s="306">
        <v>0</v>
      </c>
      <c r="AR16" s="306">
        <v>0</v>
      </c>
      <c r="AS16" s="306">
        <v>0</v>
      </c>
      <c r="AT16" s="306">
        <v>0</v>
      </c>
      <c r="AU16" s="306">
        <v>0</v>
      </c>
      <c r="AV16" s="306">
        <v>0</v>
      </c>
      <c r="AW16" s="306">
        <v>0</v>
      </c>
      <c r="AX16" s="306">
        <v>0</v>
      </c>
      <c r="AY16" s="306">
        <v>0</v>
      </c>
      <c r="AZ16" s="306">
        <v>0</v>
      </c>
      <c r="BA16" s="306">
        <v>0</v>
      </c>
      <c r="BB16" s="306">
        <v>0</v>
      </c>
      <c r="BC16" s="306">
        <v>0</v>
      </c>
      <c r="BD16" s="306">
        <v>0</v>
      </c>
      <c r="BE16" s="306">
        <v>0</v>
      </c>
      <c r="BF16" s="306">
        <v>0</v>
      </c>
      <c r="BG16" s="306">
        <v>0</v>
      </c>
      <c r="BH16" s="306">
        <v>0</v>
      </c>
      <c r="BI16" s="306">
        <v>0</v>
      </c>
      <c r="BJ16" s="306">
        <v>0</v>
      </c>
      <c r="BK16" s="306">
        <v>0</v>
      </c>
      <c r="BL16" s="306">
        <v>0</v>
      </c>
      <c r="BM16" s="306">
        <v>0</v>
      </c>
      <c r="BN16" s="306">
        <v>0</v>
      </c>
      <c r="BO16" s="306">
        <v>0</v>
      </c>
      <c r="BP16" s="306">
        <v>0</v>
      </c>
      <c r="BQ16" s="306">
        <v>0</v>
      </c>
      <c r="BR16" s="306">
        <v>0</v>
      </c>
      <c r="BU16" s="304" t="s">
        <v>754</v>
      </c>
      <c r="BV16" s="306">
        <v>0</v>
      </c>
      <c r="BW16" s="306">
        <v>0</v>
      </c>
      <c r="BX16" s="306">
        <v>0</v>
      </c>
      <c r="BY16" s="306">
        <v>0</v>
      </c>
      <c r="BZ16" s="306">
        <v>0</v>
      </c>
      <c r="CA16" s="306">
        <v>0</v>
      </c>
      <c r="CB16" s="306">
        <v>0</v>
      </c>
      <c r="CC16" s="306">
        <v>0</v>
      </c>
      <c r="CD16" s="306">
        <v>0</v>
      </c>
      <c r="CE16" s="306">
        <v>0</v>
      </c>
      <c r="CF16" s="306">
        <v>0</v>
      </c>
      <c r="CG16" s="306">
        <v>0</v>
      </c>
      <c r="CH16" s="306">
        <v>0</v>
      </c>
      <c r="CI16" s="306">
        <v>0</v>
      </c>
      <c r="CJ16" s="306">
        <v>0</v>
      </c>
      <c r="CK16" s="306">
        <v>0</v>
      </c>
      <c r="CL16" s="306">
        <v>0</v>
      </c>
      <c r="CM16" s="306">
        <v>0</v>
      </c>
      <c r="CN16" s="306">
        <v>0</v>
      </c>
      <c r="CO16" s="306">
        <v>0</v>
      </c>
      <c r="CP16" s="306">
        <v>0</v>
      </c>
      <c r="CQ16" s="306">
        <v>0</v>
      </c>
      <c r="CR16" s="306">
        <v>0</v>
      </c>
      <c r="CS16" s="306">
        <v>0</v>
      </c>
      <c r="CT16" s="306">
        <v>0</v>
      </c>
      <c r="CU16" s="306">
        <v>0</v>
      </c>
      <c r="CV16" s="306">
        <v>0</v>
      </c>
      <c r="CW16" s="306">
        <v>0</v>
      </c>
      <c r="CX16" s="306">
        <v>0</v>
      </c>
      <c r="CY16" s="306">
        <v>0</v>
      </c>
      <c r="CZ16" s="306">
        <v>0</v>
      </c>
      <c r="DA16" s="306">
        <v>0</v>
      </c>
      <c r="DB16" s="306">
        <v>0</v>
      </c>
      <c r="DC16" s="306">
        <v>0</v>
      </c>
      <c r="DD16" s="306">
        <v>0</v>
      </c>
      <c r="DE16" s="306">
        <v>0</v>
      </c>
      <c r="DF16" s="306">
        <v>0</v>
      </c>
      <c r="DG16" s="306">
        <v>0</v>
      </c>
      <c r="DH16" s="306">
        <v>0</v>
      </c>
      <c r="DI16" s="306">
        <v>0</v>
      </c>
    </row>
    <row r="17" spans="1:113">
      <c r="A17" s="304" t="s">
        <v>657</v>
      </c>
      <c r="B17" s="306">
        <v>1</v>
      </c>
      <c r="AD17" s="304" t="s">
        <v>755</v>
      </c>
      <c r="AE17" s="306">
        <v>0</v>
      </c>
      <c r="AF17" s="306">
        <v>0</v>
      </c>
      <c r="AG17" s="306">
        <v>0</v>
      </c>
      <c r="AH17" s="306">
        <v>0</v>
      </c>
      <c r="AI17" s="306">
        <v>0</v>
      </c>
      <c r="AJ17" s="306">
        <v>0</v>
      </c>
      <c r="AK17" s="306">
        <v>0</v>
      </c>
      <c r="AL17" s="306">
        <v>0</v>
      </c>
      <c r="AM17" s="306">
        <v>0</v>
      </c>
      <c r="AN17" s="306">
        <v>0</v>
      </c>
      <c r="AO17" s="306">
        <v>0</v>
      </c>
      <c r="AP17" s="306">
        <v>0</v>
      </c>
      <c r="AQ17" s="306">
        <v>0</v>
      </c>
      <c r="AR17" s="306">
        <v>0</v>
      </c>
      <c r="AS17" s="306">
        <v>0</v>
      </c>
      <c r="AT17" s="306">
        <v>0</v>
      </c>
      <c r="AU17" s="306">
        <v>0</v>
      </c>
      <c r="AV17" s="306">
        <v>0</v>
      </c>
      <c r="AW17" s="306">
        <v>0</v>
      </c>
      <c r="AX17" s="306">
        <v>0</v>
      </c>
      <c r="AY17" s="306">
        <v>0</v>
      </c>
      <c r="AZ17" s="306">
        <v>0</v>
      </c>
      <c r="BA17" s="306">
        <v>0</v>
      </c>
      <c r="BB17" s="306">
        <v>0</v>
      </c>
      <c r="BC17" s="306">
        <v>0</v>
      </c>
      <c r="BD17" s="306">
        <v>0</v>
      </c>
      <c r="BE17" s="306">
        <v>0</v>
      </c>
      <c r="BF17" s="306">
        <v>0</v>
      </c>
      <c r="BG17" s="306">
        <v>0</v>
      </c>
      <c r="BH17" s="306">
        <v>0</v>
      </c>
      <c r="BI17" s="306">
        <v>0</v>
      </c>
      <c r="BJ17" s="306">
        <v>0</v>
      </c>
      <c r="BK17" s="306">
        <v>0</v>
      </c>
      <c r="BL17" s="306">
        <v>0</v>
      </c>
      <c r="BM17" s="306">
        <v>0</v>
      </c>
      <c r="BN17" s="306">
        <v>0</v>
      </c>
      <c r="BO17" s="306">
        <v>0</v>
      </c>
      <c r="BP17" s="306">
        <v>0</v>
      </c>
      <c r="BQ17" s="306">
        <v>0</v>
      </c>
      <c r="BR17" s="306">
        <v>0</v>
      </c>
      <c r="BU17" s="304" t="s">
        <v>755</v>
      </c>
      <c r="BV17" s="306">
        <v>0</v>
      </c>
      <c r="BW17" s="306">
        <v>0</v>
      </c>
      <c r="BX17" s="306">
        <v>0</v>
      </c>
      <c r="BY17" s="306">
        <v>0</v>
      </c>
      <c r="BZ17" s="306">
        <v>0</v>
      </c>
      <c r="CA17" s="306">
        <v>0</v>
      </c>
      <c r="CB17" s="306">
        <v>0</v>
      </c>
      <c r="CC17" s="306">
        <v>0</v>
      </c>
      <c r="CD17" s="306">
        <v>0</v>
      </c>
      <c r="CE17" s="306">
        <v>0</v>
      </c>
      <c r="CF17" s="306">
        <v>0</v>
      </c>
      <c r="CG17" s="306">
        <v>0</v>
      </c>
      <c r="CH17" s="306">
        <v>0</v>
      </c>
      <c r="CI17" s="306">
        <v>0</v>
      </c>
      <c r="CJ17" s="306">
        <v>0</v>
      </c>
      <c r="CK17" s="306">
        <v>0</v>
      </c>
      <c r="CL17" s="306">
        <v>0</v>
      </c>
      <c r="CM17" s="306">
        <v>0</v>
      </c>
      <c r="CN17" s="306">
        <v>0</v>
      </c>
      <c r="CO17" s="306">
        <v>0</v>
      </c>
      <c r="CP17" s="306">
        <v>0</v>
      </c>
      <c r="CQ17" s="306">
        <v>0</v>
      </c>
      <c r="CR17" s="306">
        <v>0</v>
      </c>
      <c r="CS17" s="306">
        <v>0</v>
      </c>
      <c r="CT17" s="306">
        <v>0</v>
      </c>
      <c r="CU17" s="306">
        <v>0</v>
      </c>
      <c r="CV17" s="306">
        <v>0</v>
      </c>
      <c r="CW17" s="306">
        <v>0</v>
      </c>
      <c r="CX17" s="306">
        <v>0</v>
      </c>
      <c r="CY17" s="306">
        <v>0</v>
      </c>
      <c r="CZ17" s="306">
        <v>0</v>
      </c>
      <c r="DA17" s="306">
        <v>0</v>
      </c>
      <c r="DB17" s="306">
        <v>0</v>
      </c>
      <c r="DC17" s="306">
        <v>0</v>
      </c>
      <c r="DD17" s="306">
        <v>0</v>
      </c>
      <c r="DE17" s="306">
        <v>0</v>
      </c>
      <c r="DF17" s="306">
        <v>0</v>
      </c>
      <c r="DG17" s="306">
        <v>0</v>
      </c>
      <c r="DH17" s="306">
        <v>0</v>
      </c>
      <c r="DI17" s="306">
        <v>0</v>
      </c>
    </row>
    <row r="18" spans="1:113">
      <c r="A18" s="304" t="s">
        <v>771</v>
      </c>
      <c r="B18" s="306">
        <v>1</v>
      </c>
      <c r="AD18" s="304" t="s">
        <v>756</v>
      </c>
      <c r="AE18" s="306">
        <v>0</v>
      </c>
      <c r="AF18" s="306">
        <v>0</v>
      </c>
      <c r="AG18" s="306">
        <v>0</v>
      </c>
      <c r="AH18" s="306">
        <v>0</v>
      </c>
      <c r="AI18" s="306">
        <v>0</v>
      </c>
      <c r="AJ18" s="306">
        <v>0</v>
      </c>
      <c r="AK18" s="306">
        <v>0</v>
      </c>
      <c r="AL18" s="306">
        <v>0</v>
      </c>
      <c r="AM18" s="306">
        <v>0</v>
      </c>
      <c r="AN18" s="306">
        <v>0</v>
      </c>
      <c r="AO18" s="306">
        <v>0</v>
      </c>
      <c r="AP18" s="306">
        <v>0</v>
      </c>
      <c r="AQ18" s="306">
        <v>0</v>
      </c>
      <c r="AR18" s="306">
        <v>0</v>
      </c>
      <c r="AS18" s="306">
        <v>0</v>
      </c>
      <c r="AT18" s="306">
        <v>0</v>
      </c>
      <c r="AU18" s="306">
        <v>0</v>
      </c>
      <c r="AV18" s="306">
        <v>0</v>
      </c>
      <c r="AW18" s="306">
        <v>0</v>
      </c>
      <c r="AX18" s="306">
        <v>0</v>
      </c>
      <c r="AY18" s="306">
        <v>0</v>
      </c>
      <c r="AZ18" s="306">
        <v>0</v>
      </c>
      <c r="BA18" s="306">
        <v>0</v>
      </c>
      <c r="BB18" s="306">
        <v>0</v>
      </c>
      <c r="BC18" s="306">
        <v>0</v>
      </c>
      <c r="BD18" s="306">
        <v>0</v>
      </c>
      <c r="BE18" s="306">
        <v>0</v>
      </c>
      <c r="BF18" s="306">
        <v>0</v>
      </c>
      <c r="BG18" s="306">
        <v>0</v>
      </c>
      <c r="BH18" s="306">
        <v>0</v>
      </c>
      <c r="BI18" s="306">
        <v>0</v>
      </c>
      <c r="BJ18" s="306">
        <v>0</v>
      </c>
      <c r="BK18" s="306">
        <v>0</v>
      </c>
      <c r="BL18" s="306">
        <v>0</v>
      </c>
      <c r="BM18" s="306">
        <v>0</v>
      </c>
      <c r="BN18" s="306">
        <v>0</v>
      </c>
      <c r="BO18" s="306">
        <v>0</v>
      </c>
      <c r="BP18" s="306">
        <v>0</v>
      </c>
      <c r="BQ18" s="306">
        <v>0</v>
      </c>
      <c r="BR18" s="306">
        <v>0</v>
      </c>
      <c r="BU18" s="304" t="s">
        <v>756</v>
      </c>
      <c r="BV18" s="306">
        <v>0</v>
      </c>
      <c r="BW18" s="306">
        <v>0</v>
      </c>
      <c r="BX18" s="306">
        <v>0</v>
      </c>
      <c r="BY18" s="306">
        <v>0</v>
      </c>
      <c r="BZ18" s="306">
        <v>0</v>
      </c>
      <c r="CA18" s="306">
        <v>0</v>
      </c>
      <c r="CB18" s="306">
        <v>0</v>
      </c>
      <c r="CC18" s="306">
        <v>0</v>
      </c>
      <c r="CD18" s="306">
        <v>0</v>
      </c>
      <c r="CE18" s="306">
        <v>0</v>
      </c>
      <c r="CF18" s="306">
        <v>0</v>
      </c>
      <c r="CG18" s="306">
        <v>0</v>
      </c>
      <c r="CH18" s="306">
        <v>0</v>
      </c>
      <c r="CI18" s="306">
        <v>0</v>
      </c>
      <c r="CJ18" s="306">
        <v>0</v>
      </c>
      <c r="CK18" s="306">
        <v>0</v>
      </c>
      <c r="CL18" s="306">
        <v>0</v>
      </c>
      <c r="CM18" s="306">
        <v>0</v>
      </c>
      <c r="CN18" s="306">
        <v>0</v>
      </c>
      <c r="CO18" s="306">
        <v>0</v>
      </c>
      <c r="CP18" s="306">
        <v>0</v>
      </c>
      <c r="CQ18" s="306">
        <v>0</v>
      </c>
      <c r="CR18" s="306">
        <v>0</v>
      </c>
      <c r="CS18" s="306">
        <v>0</v>
      </c>
      <c r="CT18" s="306">
        <v>0</v>
      </c>
      <c r="CU18" s="306">
        <v>0</v>
      </c>
      <c r="CV18" s="306">
        <v>0</v>
      </c>
      <c r="CW18" s="306">
        <v>0</v>
      </c>
      <c r="CX18" s="306">
        <v>0</v>
      </c>
      <c r="CY18" s="306">
        <v>0</v>
      </c>
      <c r="CZ18" s="306">
        <v>0</v>
      </c>
      <c r="DA18" s="306">
        <v>0</v>
      </c>
      <c r="DB18" s="306">
        <v>0</v>
      </c>
      <c r="DC18" s="306">
        <v>0</v>
      </c>
      <c r="DD18" s="306">
        <v>0</v>
      </c>
      <c r="DE18" s="306">
        <v>0</v>
      </c>
      <c r="DF18" s="306">
        <v>0</v>
      </c>
      <c r="DG18" s="306">
        <v>0</v>
      </c>
      <c r="DH18" s="306">
        <v>0</v>
      </c>
      <c r="DI18" s="306">
        <v>0</v>
      </c>
    </row>
    <row r="19" spans="1:113">
      <c r="A19" s="304" t="s">
        <v>751</v>
      </c>
      <c r="B19" s="306">
        <v>0</v>
      </c>
      <c r="AD19" s="304" t="s">
        <v>757</v>
      </c>
      <c r="AE19" s="306">
        <v>0</v>
      </c>
      <c r="AF19" s="306">
        <v>0</v>
      </c>
      <c r="AG19" s="306">
        <v>0</v>
      </c>
      <c r="AH19" s="306">
        <v>0</v>
      </c>
      <c r="AI19" s="306">
        <v>0</v>
      </c>
      <c r="AJ19" s="306">
        <v>0</v>
      </c>
      <c r="AK19" s="306">
        <v>0</v>
      </c>
      <c r="AL19" s="306">
        <v>0</v>
      </c>
      <c r="AM19" s="306">
        <v>0</v>
      </c>
      <c r="AN19" s="306">
        <v>0</v>
      </c>
      <c r="AO19" s="306">
        <v>0</v>
      </c>
      <c r="AP19" s="306">
        <v>0</v>
      </c>
      <c r="AQ19" s="306">
        <v>0</v>
      </c>
      <c r="AR19" s="306">
        <v>0</v>
      </c>
      <c r="AS19" s="306">
        <v>0</v>
      </c>
      <c r="AT19" s="306">
        <v>0</v>
      </c>
      <c r="AU19" s="306">
        <v>0</v>
      </c>
      <c r="AV19" s="306">
        <v>0</v>
      </c>
      <c r="AW19" s="306">
        <v>0</v>
      </c>
      <c r="AX19" s="306">
        <v>0</v>
      </c>
      <c r="AY19" s="306">
        <v>0</v>
      </c>
      <c r="AZ19" s="306">
        <v>0</v>
      </c>
      <c r="BA19" s="306">
        <v>0</v>
      </c>
      <c r="BB19" s="306">
        <v>0</v>
      </c>
      <c r="BC19" s="306">
        <v>0</v>
      </c>
      <c r="BD19" s="306">
        <v>0</v>
      </c>
      <c r="BE19" s="306">
        <v>0</v>
      </c>
      <c r="BF19" s="306">
        <v>0</v>
      </c>
      <c r="BG19" s="306">
        <v>0</v>
      </c>
      <c r="BH19" s="306">
        <v>0</v>
      </c>
      <c r="BI19" s="306">
        <v>0</v>
      </c>
      <c r="BJ19" s="306">
        <v>0</v>
      </c>
      <c r="BK19" s="306">
        <v>0</v>
      </c>
      <c r="BL19" s="306">
        <v>0</v>
      </c>
      <c r="BM19" s="306">
        <v>0</v>
      </c>
      <c r="BN19" s="306">
        <v>0</v>
      </c>
      <c r="BO19" s="306">
        <v>0</v>
      </c>
      <c r="BP19" s="306">
        <v>0</v>
      </c>
      <c r="BQ19" s="306">
        <v>0</v>
      </c>
      <c r="BR19" s="306">
        <v>0</v>
      </c>
      <c r="BU19" s="304" t="s">
        <v>757</v>
      </c>
      <c r="BV19" s="306">
        <v>0</v>
      </c>
      <c r="BW19" s="306">
        <v>0</v>
      </c>
      <c r="BX19" s="306">
        <v>0</v>
      </c>
      <c r="BY19" s="306">
        <v>0</v>
      </c>
      <c r="BZ19" s="306">
        <v>0</v>
      </c>
      <c r="CA19" s="306">
        <v>0</v>
      </c>
      <c r="CB19" s="306">
        <v>0</v>
      </c>
      <c r="CC19" s="306">
        <v>0</v>
      </c>
      <c r="CD19" s="306">
        <v>0</v>
      </c>
      <c r="CE19" s="306">
        <v>0</v>
      </c>
      <c r="CF19" s="306">
        <v>0</v>
      </c>
      <c r="CG19" s="306">
        <v>0</v>
      </c>
      <c r="CH19" s="306">
        <v>0</v>
      </c>
      <c r="CI19" s="306">
        <v>0</v>
      </c>
      <c r="CJ19" s="306">
        <v>0</v>
      </c>
      <c r="CK19" s="306">
        <v>0</v>
      </c>
      <c r="CL19" s="306">
        <v>0</v>
      </c>
      <c r="CM19" s="306">
        <v>0</v>
      </c>
      <c r="CN19" s="306">
        <v>0</v>
      </c>
      <c r="CO19" s="306">
        <v>0</v>
      </c>
      <c r="CP19" s="306">
        <v>0</v>
      </c>
      <c r="CQ19" s="306">
        <v>0</v>
      </c>
      <c r="CR19" s="306">
        <v>0</v>
      </c>
      <c r="CS19" s="306">
        <v>0</v>
      </c>
      <c r="CT19" s="306">
        <v>0</v>
      </c>
      <c r="CU19" s="306">
        <v>0</v>
      </c>
      <c r="CV19" s="306">
        <v>0</v>
      </c>
      <c r="CW19" s="306">
        <v>0</v>
      </c>
      <c r="CX19" s="306">
        <v>0</v>
      </c>
      <c r="CY19" s="306">
        <v>0</v>
      </c>
      <c r="CZ19" s="306">
        <v>0</v>
      </c>
      <c r="DA19" s="306">
        <v>0</v>
      </c>
      <c r="DB19" s="306">
        <v>0</v>
      </c>
      <c r="DC19" s="306">
        <v>0</v>
      </c>
      <c r="DD19" s="306">
        <v>0</v>
      </c>
      <c r="DE19" s="306">
        <v>0</v>
      </c>
      <c r="DF19" s="306">
        <v>0</v>
      </c>
      <c r="DG19" s="306">
        <v>0</v>
      </c>
      <c r="DH19" s="306">
        <v>0</v>
      </c>
      <c r="DI19" s="306">
        <v>0</v>
      </c>
    </row>
    <row r="20" spans="1:113">
      <c r="A20" s="304" t="s">
        <v>658</v>
      </c>
      <c r="B20" s="306">
        <v>1</v>
      </c>
      <c r="AD20" s="304" t="s">
        <v>670</v>
      </c>
      <c r="AE20" s="306">
        <v>0</v>
      </c>
      <c r="AF20" s="306">
        <v>0</v>
      </c>
      <c r="AG20" s="306">
        <v>0</v>
      </c>
      <c r="AH20" s="306">
        <v>0</v>
      </c>
      <c r="AI20" s="306">
        <v>0</v>
      </c>
      <c r="AJ20" s="306">
        <v>0</v>
      </c>
      <c r="AK20" s="306">
        <v>0</v>
      </c>
      <c r="AL20" s="306">
        <v>0</v>
      </c>
      <c r="AM20" s="306">
        <v>0</v>
      </c>
      <c r="AN20" s="306">
        <v>0</v>
      </c>
      <c r="AO20" s="306">
        <v>0</v>
      </c>
      <c r="AP20" s="306">
        <v>0</v>
      </c>
      <c r="AQ20" s="306">
        <v>0</v>
      </c>
      <c r="AR20" s="306">
        <v>0</v>
      </c>
      <c r="AS20" s="306">
        <v>0</v>
      </c>
      <c r="AT20" s="306">
        <v>0</v>
      </c>
      <c r="AU20" s="306">
        <v>0</v>
      </c>
      <c r="AV20" s="306">
        <v>0</v>
      </c>
      <c r="AW20" s="306">
        <v>0</v>
      </c>
      <c r="AX20" s="306">
        <v>0</v>
      </c>
      <c r="AY20" s="306">
        <v>0</v>
      </c>
      <c r="AZ20" s="306">
        <v>0</v>
      </c>
      <c r="BA20" s="306">
        <v>0</v>
      </c>
      <c r="BB20" s="306">
        <v>0</v>
      </c>
      <c r="BC20" s="306">
        <v>0</v>
      </c>
      <c r="BD20" s="306">
        <v>0</v>
      </c>
      <c r="BE20" s="306">
        <v>0</v>
      </c>
      <c r="BF20" s="306">
        <v>0</v>
      </c>
      <c r="BG20" s="306">
        <v>0</v>
      </c>
      <c r="BH20" s="306">
        <v>0</v>
      </c>
      <c r="BI20" s="306">
        <v>0</v>
      </c>
      <c r="BJ20" s="306">
        <v>0</v>
      </c>
      <c r="BK20" s="306">
        <v>0</v>
      </c>
      <c r="BL20" s="306">
        <v>0</v>
      </c>
      <c r="BM20" s="306">
        <v>0</v>
      </c>
      <c r="BN20" s="306">
        <v>0</v>
      </c>
      <c r="BO20" s="306">
        <v>0</v>
      </c>
      <c r="BP20" s="306">
        <v>0</v>
      </c>
      <c r="BQ20" s="306">
        <v>0</v>
      </c>
      <c r="BR20" s="306">
        <v>0</v>
      </c>
      <c r="BU20" s="304" t="s">
        <v>670</v>
      </c>
      <c r="BV20" s="306">
        <v>0</v>
      </c>
      <c r="BW20" s="306">
        <v>0</v>
      </c>
      <c r="BX20" s="306">
        <v>0</v>
      </c>
      <c r="BY20" s="306">
        <v>0</v>
      </c>
      <c r="BZ20" s="306">
        <v>0</v>
      </c>
      <c r="CA20" s="306">
        <v>0</v>
      </c>
      <c r="CB20" s="306">
        <v>0</v>
      </c>
      <c r="CC20" s="306">
        <v>0</v>
      </c>
      <c r="CD20" s="306">
        <v>0</v>
      </c>
      <c r="CE20" s="306">
        <v>0</v>
      </c>
      <c r="CF20" s="306">
        <v>0</v>
      </c>
      <c r="CG20" s="306">
        <v>0</v>
      </c>
      <c r="CH20" s="306">
        <v>0</v>
      </c>
      <c r="CI20" s="306">
        <v>0</v>
      </c>
      <c r="CJ20" s="306">
        <v>0</v>
      </c>
      <c r="CK20" s="306">
        <v>0</v>
      </c>
      <c r="CL20" s="306">
        <v>0</v>
      </c>
      <c r="CM20" s="306">
        <v>0</v>
      </c>
      <c r="CN20" s="306">
        <v>0</v>
      </c>
      <c r="CO20" s="306">
        <v>0</v>
      </c>
      <c r="CP20" s="306">
        <v>0</v>
      </c>
      <c r="CQ20" s="306">
        <v>0</v>
      </c>
      <c r="CR20" s="306">
        <v>0</v>
      </c>
      <c r="CS20" s="306">
        <v>0</v>
      </c>
      <c r="CT20" s="306">
        <v>0</v>
      </c>
      <c r="CU20" s="306">
        <v>0</v>
      </c>
      <c r="CV20" s="306">
        <v>0</v>
      </c>
      <c r="CW20" s="306">
        <v>0</v>
      </c>
      <c r="CX20" s="306">
        <v>0</v>
      </c>
      <c r="CY20" s="306">
        <v>0</v>
      </c>
      <c r="CZ20" s="306">
        <v>0</v>
      </c>
      <c r="DA20" s="306">
        <v>0</v>
      </c>
      <c r="DB20" s="306">
        <v>0</v>
      </c>
      <c r="DC20" s="306">
        <v>0</v>
      </c>
      <c r="DD20" s="306">
        <v>0</v>
      </c>
      <c r="DE20" s="306">
        <v>0</v>
      </c>
      <c r="DF20" s="306">
        <v>0</v>
      </c>
      <c r="DG20" s="306">
        <v>0</v>
      </c>
      <c r="DH20" s="306">
        <v>0</v>
      </c>
      <c r="DI20" s="306">
        <v>0</v>
      </c>
    </row>
    <row r="21" spans="1:113">
      <c r="A21" s="304" t="s">
        <v>712</v>
      </c>
      <c r="B21" s="306">
        <v>1</v>
      </c>
      <c r="AD21" s="304" t="s">
        <v>671</v>
      </c>
      <c r="AE21" s="306">
        <v>0</v>
      </c>
      <c r="AF21" s="306">
        <v>0</v>
      </c>
      <c r="AG21" s="306">
        <v>0</v>
      </c>
      <c r="AH21" s="306">
        <v>0</v>
      </c>
      <c r="AI21" s="306">
        <v>0</v>
      </c>
      <c r="AJ21" s="306">
        <v>0</v>
      </c>
      <c r="AK21" s="306">
        <v>0</v>
      </c>
      <c r="AL21" s="306">
        <v>0</v>
      </c>
      <c r="AM21" s="306">
        <v>0</v>
      </c>
      <c r="AN21" s="306">
        <v>0</v>
      </c>
      <c r="AO21" s="306">
        <v>0</v>
      </c>
      <c r="AP21" s="306">
        <v>0</v>
      </c>
      <c r="AQ21" s="306">
        <v>0</v>
      </c>
      <c r="AR21" s="306">
        <v>0</v>
      </c>
      <c r="AS21" s="306">
        <v>0</v>
      </c>
      <c r="AT21" s="306">
        <v>0</v>
      </c>
      <c r="AU21" s="306">
        <v>0</v>
      </c>
      <c r="AV21" s="306">
        <v>0</v>
      </c>
      <c r="AW21" s="306">
        <v>0</v>
      </c>
      <c r="AX21" s="306">
        <v>0</v>
      </c>
      <c r="AY21" s="306">
        <v>0</v>
      </c>
      <c r="AZ21" s="306">
        <v>0</v>
      </c>
      <c r="BA21" s="306">
        <v>0</v>
      </c>
      <c r="BB21" s="306">
        <v>0</v>
      </c>
      <c r="BC21" s="306">
        <v>0</v>
      </c>
      <c r="BD21" s="306">
        <v>0</v>
      </c>
      <c r="BE21" s="306">
        <v>0</v>
      </c>
      <c r="BF21" s="306">
        <v>0</v>
      </c>
      <c r="BG21" s="306">
        <v>0</v>
      </c>
      <c r="BH21" s="306">
        <v>0</v>
      </c>
      <c r="BI21" s="306">
        <v>0</v>
      </c>
      <c r="BJ21" s="306">
        <v>0</v>
      </c>
      <c r="BK21" s="306">
        <v>0</v>
      </c>
      <c r="BL21" s="306">
        <v>0</v>
      </c>
      <c r="BM21" s="306">
        <v>0</v>
      </c>
      <c r="BN21" s="306">
        <v>0</v>
      </c>
      <c r="BO21" s="306">
        <v>0</v>
      </c>
      <c r="BP21" s="306">
        <v>0</v>
      </c>
      <c r="BQ21" s="306">
        <v>0</v>
      </c>
      <c r="BR21" s="306">
        <v>0</v>
      </c>
      <c r="BU21" s="304" t="s">
        <v>671</v>
      </c>
      <c r="BV21" s="306">
        <v>0</v>
      </c>
      <c r="BW21" s="306">
        <v>0</v>
      </c>
      <c r="BX21" s="306">
        <v>0</v>
      </c>
      <c r="BY21" s="306">
        <v>0</v>
      </c>
      <c r="BZ21" s="306">
        <v>0</v>
      </c>
      <c r="CA21" s="306">
        <v>0</v>
      </c>
      <c r="CB21" s="306">
        <v>0</v>
      </c>
      <c r="CC21" s="306">
        <v>0</v>
      </c>
      <c r="CD21" s="306">
        <v>0</v>
      </c>
      <c r="CE21" s="306">
        <v>0</v>
      </c>
      <c r="CF21" s="306">
        <v>0</v>
      </c>
      <c r="CG21" s="306">
        <v>0</v>
      </c>
      <c r="CH21" s="306">
        <v>0</v>
      </c>
      <c r="CI21" s="306">
        <v>0</v>
      </c>
      <c r="CJ21" s="306">
        <v>0</v>
      </c>
      <c r="CK21" s="306">
        <v>0</v>
      </c>
      <c r="CL21" s="306">
        <v>0</v>
      </c>
      <c r="CM21" s="306">
        <v>0</v>
      </c>
      <c r="CN21" s="306">
        <v>0</v>
      </c>
      <c r="CO21" s="306">
        <v>0</v>
      </c>
      <c r="CP21" s="306">
        <v>0</v>
      </c>
      <c r="CQ21" s="306">
        <v>0</v>
      </c>
      <c r="CR21" s="306">
        <v>0</v>
      </c>
      <c r="CS21" s="306">
        <v>0</v>
      </c>
      <c r="CT21" s="306">
        <v>0</v>
      </c>
      <c r="CU21" s="306">
        <v>0</v>
      </c>
      <c r="CV21" s="306">
        <v>0</v>
      </c>
      <c r="CW21" s="306">
        <v>0</v>
      </c>
      <c r="CX21" s="306">
        <v>0</v>
      </c>
      <c r="CY21" s="306">
        <v>0</v>
      </c>
      <c r="CZ21" s="306">
        <v>0</v>
      </c>
      <c r="DA21" s="306">
        <v>0</v>
      </c>
      <c r="DB21" s="306">
        <v>0</v>
      </c>
      <c r="DC21" s="306">
        <v>0</v>
      </c>
      <c r="DD21" s="306">
        <v>0</v>
      </c>
      <c r="DE21" s="306">
        <v>0</v>
      </c>
      <c r="DF21" s="306">
        <v>0</v>
      </c>
      <c r="DG21" s="306">
        <v>0</v>
      </c>
      <c r="DH21" s="306">
        <v>0</v>
      </c>
      <c r="DI21" s="306">
        <v>0</v>
      </c>
    </row>
    <row r="22" spans="1:113">
      <c r="A22" s="304" t="s">
        <v>713</v>
      </c>
      <c r="B22" s="306">
        <v>1</v>
      </c>
      <c r="AD22" s="304" t="s">
        <v>714</v>
      </c>
      <c r="AE22" s="306">
        <v>0</v>
      </c>
      <c r="AF22" s="306">
        <v>0</v>
      </c>
      <c r="AG22" s="306">
        <v>0</v>
      </c>
      <c r="AH22" s="306">
        <v>0</v>
      </c>
      <c r="AI22" s="306">
        <v>0</v>
      </c>
      <c r="AJ22" s="306">
        <v>0</v>
      </c>
      <c r="AK22" s="306">
        <v>0</v>
      </c>
      <c r="AL22" s="306">
        <v>0</v>
      </c>
      <c r="AM22" s="306">
        <v>0</v>
      </c>
      <c r="AN22" s="306">
        <v>0</v>
      </c>
      <c r="AO22" s="306">
        <v>0</v>
      </c>
      <c r="AP22" s="306">
        <v>0</v>
      </c>
      <c r="AQ22" s="306">
        <v>0</v>
      </c>
      <c r="AR22" s="306">
        <v>0</v>
      </c>
      <c r="AS22" s="306">
        <v>0</v>
      </c>
      <c r="AT22" s="306">
        <v>0</v>
      </c>
      <c r="AU22" s="306">
        <v>0</v>
      </c>
      <c r="AV22" s="306">
        <v>0</v>
      </c>
      <c r="AW22" s="306">
        <v>0</v>
      </c>
      <c r="AX22" s="306">
        <v>0</v>
      </c>
      <c r="AY22" s="306">
        <v>0</v>
      </c>
      <c r="AZ22" s="306">
        <v>0</v>
      </c>
      <c r="BA22" s="306">
        <v>0</v>
      </c>
      <c r="BB22" s="306">
        <v>0</v>
      </c>
      <c r="BC22" s="306">
        <v>0</v>
      </c>
      <c r="BD22" s="306">
        <v>0</v>
      </c>
      <c r="BE22" s="306">
        <v>0</v>
      </c>
      <c r="BF22" s="306">
        <v>0</v>
      </c>
      <c r="BG22" s="306">
        <v>0</v>
      </c>
      <c r="BH22" s="306">
        <v>0</v>
      </c>
      <c r="BI22" s="306">
        <v>0</v>
      </c>
      <c r="BJ22" s="306">
        <v>0</v>
      </c>
      <c r="BK22" s="306">
        <v>0</v>
      </c>
      <c r="BL22" s="306">
        <v>0</v>
      </c>
      <c r="BM22" s="306">
        <v>0</v>
      </c>
      <c r="BN22" s="306">
        <v>0</v>
      </c>
      <c r="BO22" s="306">
        <v>0</v>
      </c>
      <c r="BP22" s="306">
        <v>0</v>
      </c>
      <c r="BQ22" s="306">
        <v>0</v>
      </c>
      <c r="BR22" s="306">
        <v>0</v>
      </c>
      <c r="BU22" s="304" t="s">
        <v>714</v>
      </c>
      <c r="BV22" s="306">
        <v>0</v>
      </c>
      <c r="BW22" s="306">
        <v>0</v>
      </c>
      <c r="BX22" s="306">
        <v>0</v>
      </c>
      <c r="BY22" s="306">
        <v>0</v>
      </c>
      <c r="BZ22" s="306">
        <v>0</v>
      </c>
      <c r="CA22" s="306">
        <v>0</v>
      </c>
      <c r="CB22" s="306">
        <v>0</v>
      </c>
      <c r="CC22" s="306">
        <v>0</v>
      </c>
      <c r="CD22" s="306">
        <v>0</v>
      </c>
      <c r="CE22" s="306">
        <v>0</v>
      </c>
      <c r="CF22" s="306">
        <v>0</v>
      </c>
      <c r="CG22" s="306">
        <v>0</v>
      </c>
      <c r="CH22" s="306">
        <v>0</v>
      </c>
      <c r="CI22" s="306">
        <v>0</v>
      </c>
      <c r="CJ22" s="306">
        <v>0</v>
      </c>
      <c r="CK22" s="306">
        <v>0</v>
      </c>
      <c r="CL22" s="306">
        <v>0</v>
      </c>
      <c r="CM22" s="306">
        <v>0</v>
      </c>
      <c r="CN22" s="306">
        <v>0</v>
      </c>
      <c r="CO22" s="306">
        <v>0</v>
      </c>
      <c r="CP22" s="306">
        <v>0</v>
      </c>
      <c r="CQ22" s="306">
        <v>0</v>
      </c>
      <c r="CR22" s="306">
        <v>0</v>
      </c>
      <c r="CS22" s="306">
        <v>0</v>
      </c>
      <c r="CT22" s="306">
        <v>0</v>
      </c>
      <c r="CU22" s="306">
        <v>0</v>
      </c>
      <c r="CV22" s="306">
        <v>0</v>
      </c>
      <c r="CW22" s="306">
        <v>0</v>
      </c>
      <c r="CX22" s="306">
        <v>0</v>
      </c>
      <c r="CY22" s="306">
        <v>0</v>
      </c>
      <c r="CZ22" s="306">
        <v>0</v>
      </c>
      <c r="DA22" s="306">
        <v>0</v>
      </c>
      <c r="DB22" s="306">
        <v>0</v>
      </c>
      <c r="DC22" s="306">
        <v>0</v>
      </c>
      <c r="DD22" s="306">
        <v>0</v>
      </c>
      <c r="DE22" s="306">
        <v>0</v>
      </c>
      <c r="DF22" s="306">
        <v>0</v>
      </c>
      <c r="DG22" s="306">
        <v>0</v>
      </c>
      <c r="DH22" s="306">
        <v>0</v>
      </c>
      <c r="DI22" s="306">
        <v>0</v>
      </c>
    </row>
    <row r="23" spans="1:113">
      <c r="A23" s="304" t="s">
        <v>772</v>
      </c>
      <c r="B23" s="306">
        <v>1</v>
      </c>
      <c r="AD23" s="304" t="s">
        <v>758</v>
      </c>
      <c r="AE23" s="306">
        <v>0</v>
      </c>
      <c r="AF23" s="306">
        <v>0</v>
      </c>
      <c r="AG23" s="306">
        <v>0</v>
      </c>
      <c r="AH23" s="306">
        <v>0</v>
      </c>
      <c r="AI23" s="306">
        <v>0</v>
      </c>
      <c r="AJ23" s="306">
        <v>0</v>
      </c>
      <c r="AK23" s="306">
        <v>0</v>
      </c>
      <c r="AL23" s="306">
        <v>0</v>
      </c>
      <c r="AM23" s="306">
        <v>0</v>
      </c>
      <c r="AN23" s="306">
        <v>0</v>
      </c>
      <c r="AO23" s="306">
        <v>0</v>
      </c>
      <c r="AP23" s="306">
        <v>0</v>
      </c>
      <c r="AQ23" s="306">
        <v>0</v>
      </c>
      <c r="AR23" s="306">
        <v>0</v>
      </c>
      <c r="AS23" s="306">
        <v>0</v>
      </c>
      <c r="AT23" s="306">
        <v>0</v>
      </c>
      <c r="AU23" s="306">
        <v>0</v>
      </c>
      <c r="AV23" s="306">
        <v>0</v>
      </c>
      <c r="AW23" s="306">
        <v>0</v>
      </c>
      <c r="AX23" s="306">
        <v>0</v>
      </c>
      <c r="AY23" s="306">
        <v>0</v>
      </c>
      <c r="AZ23" s="306">
        <v>0</v>
      </c>
      <c r="BA23" s="306">
        <v>0</v>
      </c>
      <c r="BB23" s="306">
        <v>0</v>
      </c>
      <c r="BC23" s="306">
        <v>0</v>
      </c>
      <c r="BD23" s="306">
        <v>0</v>
      </c>
      <c r="BE23" s="306">
        <v>0</v>
      </c>
      <c r="BF23" s="306">
        <v>0</v>
      </c>
      <c r="BG23" s="306">
        <v>0</v>
      </c>
      <c r="BH23" s="306">
        <v>0</v>
      </c>
      <c r="BI23" s="306">
        <v>0</v>
      </c>
      <c r="BJ23" s="306">
        <v>0</v>
      </c>
      <c r="BK23" s="306">
        <v>0</v>
      </c>
      <c r="BL23" s="306">
        <v>0</v>
      </c>
      <c r="BM23" s="306">
        <v>0</v>
      </c>
      <c r="BN23" s="306">
        <v>0</v>
      </c>
      <c r="BO23" s="306">
        <v>0</v>
      </c>
      <c r="BP23" s="306">
        <v>0</v>
      </c>
      <c r="BQ23" s="306">
        <v>0</v>
      </c>
      <c r="BR23" s="306">
        <v>0</v>
      </c>
      <c r="BU23" s="304" t="s">
        <v>758</v>
      </c>
      <c r="BV23" s="306">
        <v>0</v>
      </c>
      <c r="BW23" s="306">
        <v>0</v>
      </c>
      <c r="BX23" s="306">
        <v>0</v>
      </c>
      <c r="BY23" s="306">
        <v>0</v>
      </c>
      <c r="BZ23" s="306">
        <v>0</v>
      </c>
      <c r="CA23" s="306">
        <v>0</v>
      </c>
      <c r="CB23" s="306">
        <v>0</v>
      </c>
      <c r="CC23" s="306">
        <v>0</v>
      </c>
      <c r="CD23" s="306">
        <v>0</v>
      </c>
      <c r="CE23" s="306">
        <v>0</v>
      </c>
      <c r="CF23" s="306">
        <v>0</v>
      </c>
      <c r="CG23" s="306">
        <v>0</v>
      </c>
      <c r="CH23" s="306">
        <v>0</v>
      </c>
      <c r="CI23" s="306">
        <v>0</v>
      </c>
      <c r="CJ23" s="306">
        <v>0</v>
      </c>
      <c r="CK23" s="306">
        <v>0</v>
      </c>
      <c r="CL23" s="306">
        <v>0</v>
      </c>
      <c r="CM23" s="306">
        <v>0</v>
      </c>
      <c r="CN23" s="306">
        <v>0</v>
      </c>
      <c r="CO23" s="306">
        <v>0</v>
      </c>
      <c r="CP23" s="306">
        <v>0</v>
      </c>
      <c r="CQ23" s="306">
        <v>0</v>
      </c>
      <c r="CR23" s="306">
        <v>0</v>
      </c>
      <c r="CS23" s="306">
        <v>0</v>
      </c>
      <c r="CT23" s="306">
        <v>0</v>
      </c>
      <c r="CU23" s="306">
        <v>0</v>
      </c>
      <c r="CV23" s="306">
        <v>0</v>
      </c>
      <c r="CW23" s="306">
        <v>0</v>
      </c>
      <c r="CX23" s="306">
        <v>0</v>
      </c>
      <c r="CY23" s="306">
        <v>0</v>
      </c>
      <c r="CZ23" s="306">
        <v>0</v>
      </c>
      <c r="DA23" s="306">
        <v>0</v>
      </c>
      <c r="DB23" s="306">
        <v>0</v>
      </c>
      <c r="DC23" s="306">
        <v>0</v>
      </c>
      <c r="DD23" s="306">
        <v>0</v>
      </c>
      <c r="DE23" s="306">
        <v>0</v>
      </c>
      <c r="DF23" s="306">
        <v>0</v>
      </c>
      <c r="DG23" s="306">
        <v>0</v>
      </c>
      <c r="DH23" s="306">
        <v>0</v>
      </c>
      <c r="DI23" s="306">
        <v>0</v>
      </c>
    </row>
    <row r="24" spans="1:113">
      <c r="A24" s="304" t="s">
        <v>773</v>
      </c>
      <c r="B24" s="306">
        <v>1</v>
      </c>
      <c r="AD24" s="304" t="s">
        <v>715</v>
      </c>
      <c r="AE24" s="306">
        <v>0</v>
      </c>
      <c r="AF24" s="306">
        <v>0</v>
      </c>
      <c r="AG24" s="306">
        <v>0</v>
      </c>
      <c r="AH24" s="306">
        <v>0</v>
      </c>
      <c r="AI24" s="306">
        <v>0</v>
      </c>
      <c r="AJ24" s="306">
        <v>0</v>
      </c>
      <c r="AK24" s="306">
        <v>0</v>
      </c>
      <c r="AL24" s="306">
        <v>0</v>
      </c>
      <c r="AM24" s="306">
        <v>0</v>
      </c>
      <c r="AN24" s="306">
        <v>0</v>
      </c>
      <c r="AO24" s="306">
        <v>0</v>
      </c>
      <c r="AP24" s="306">
        <v>0</v>
      </c>
      <c r="AQ24" s="306">
        <v>0</v>
      </c>
      <c r="AR24" s="306">
        <v>0</v>
      </c>
      <c r="AS24" s="306">
        <v>0</v>
      </c>
      <c r="AT24" s="306">
        <v>0</v>
      </c>
      <c r="AU24" s="306">
        <v>0</v>
      </c>
      <c r="AV24" s="306">
        <v>0</v>
      </c>
      <c r="AW24" s="306">
        <v>0</v>
      </c>
      <c r="AX24" s="306">
        <v>0</v>
      </c>
      <c r="AY24" s="306">
        <v>0</v>
      </c>
      <c r="AZ24" s="306">
        <v>0</v>
      </c>
      <c r="BA24" s="306">
        <v>0</v>
      </c>
      <c r="BB24" s="306">
        <v>0</v>
      </c>
      <c r="BC24" s="306">
        <v>0</v>
      </c>
      <c r="BD24" s="306">
        <v>0</v>
      </c>
      <c r="BE24" s="306">
        <v>0</v>
      </c>
      <c r="BF24" s="306">
        <v>0</v>
      </c>
      <c r="BG24" s="306">
        <v>0</v>
      </c>
      <c r="BH24" s="306">
        <v>0</v>
      </c>
      <c r="BI24" s="306">
        <v>0</v>
      </c>
      <c r="BJ24" s="306">
        <v>0</v>
      </c>
      <c r="BK24" s="306">
        <v>0</v>
      </c>
      <c r="BL24" s="306">
        <v>0</v>
      </c>
      <c r="BM24" s="306">
        <v>0</v>
      </c>
      <c r="BN24" s="306">
        <v>0</v>
      </c>
      <c r="BO24" s="306">
        <v>0</v>
      </c>
      <c r="BP24" s="306">
        <v>0</v>
      </c>
      <c r="BQ24" s="306">
        <v>0</v>
      </c>
      <c r="BR24" s="306">
        <v>0</v>
      </c>
      <c r="BU24" s="304" t="s">
        <v>715</v>
      </c>
      <c r="BV24" s="306">
        <v>0</v>
      </c>
      <c r="BW24" s="306">
        <v>0</v>
      </c>
      <c r="BX24" s="306">
        <v>0</v>
      </c>
      <c r="BY24" s="306">
        <v>0</v>
      </c>
      <c r="BZ24" s="306">
        <v>0</v>
      </c>
      <c r="CA24" s="306">
        <v>0</v>
      </c>
      <c r="CB24" s="306">
        <v>0</v>
      </c>
      <c r="CC24" s="306">
        <v>0</v>
      </c>
      <c r="CD24" s="306">
        <v>0</v>
      </c>
      <c r="CE24" s="306">
        <v>0</v>
      </c>
      <c r="CF24" s="306">
        <v>0</v>
      </c>
      <c r="CG24" s="306">
        <v>0</v>
      </c>
      <c r="CH24" s="306">
        <v>0</v>
      </c>
      <c r="CI24" s="306">
        <v>0</v>
      </c>
      <c r="CJ24" s="306">
        <v>0</v>
      </c>
      <c r="CK24" s="306">
        <v>0</v>
      </c>
      <c r="CL24" s="306">
        <v>0</v>
      </c>
      <c r="CM24" s="306">
        <v>0</v>
      </c>
      <c r="CN24" s="306">
        <v>0</v>
      </c>
      <c r="CO24" s="306">
        <v>0</v>
      </c>
      <c r="CP24" s="306">
        <v>0</v>
      </c>
      <c r="CQ24" s="306">
        <v>0</v>
      </c>
      <c r="CR24" s="306">
        <v>0</v>
      </c>
      <c r="CS24" s="306">
        <v>0</v>
      </c>
      <c r="CT24" s="306">
        <v>0</v>
      </c>
      <c r="CU24" s="306">
        <v>0</v>
      </c>
      <c r="CV24" s="306">
        <v>0</v>
      </c>
      <c r="CW24" s="306">
        <v>0</v>
      </c>
      <c r="CX24" s="306">
        <v>0</v>
      </c>
      <c r="CY24" s="306">
        <v>0</v>
      </c>
      <c r="CZ24" s="306">
        <v>0</v>
      </c>
      <c r="DA24" s="306">
        <v>0</v>
      </c>
      <c r="DB24" s="306">
        <v>0</v>
      </c>
      <c r="DC24" s="306">
        <v>0</v>
      </c>
      <c r="DD24" s="306">
        <v>0</v>
      </c>
      <c r="DE24" s="306">
        <v>0</v>
      </c>
      <c r="DF24" s="306">
        <v>0</v>
      </c>
      <c r="DG24" s="306">
        <v>0</v>
      </c>
      <c r="DH24" s="306">
        <v>0</v>
      </c>
      <c r="DI24" s="306">
        <v>0</v>
      </c>
    </row>
    <row r="25" spans="1:113">
      <c r="A25" s="304" t="s">
        <v>774</v>
      </c>
      <c r="B25" s="306">
        <v>1</v>
      </c>
      <c r="AD25" s="304" t="s">
        <v>716</v>
      </c>
      <c r="AE25" s="306">
        <v>0</v>
      </c>
      <c r="AF25" s="306">
        <v>0</v>
      </c>
      <c r="AG25" s="306">
        <v>0</v>
      </c>
      <c r="AH25" s="306">
        <v>0</v>
      </c>
      <c r="AI25" s="306">
        <v>0</v>
      </c>
      <c r="AJ25" s="306">
        <v>0</v>
      </c>
      <c r="AK25" s="306">
        <v>0</v>
      </c>
      <c r="AL25" s="306">
        <v>0</v>
      </c>
      <c r="AM25" s="306">
        <v>0</v>
      </c>
      <c r="AN25" s="306">
        <v>0</v>
      </c>
      <c r="AO25" s="306">
        <v>0</v>
      </c>
      <c r="AP25" s="306">
        <v>0</v>
      </c>
      <c r="AQ25" s="306">
        <v>0</v>
      </c>
      <c r="AR25" s="306">
        <v>0</v>
      </c>
      <c r="AS25" s="306">
        <v>0</v>
      </c>
      <c r="AT25" s="306">
        <v>0</v>
      </c>
      <c r="AU25" s="306">
        <v>0</v>
      </c>
      <c r="AV25" s="306">
        <v>0</v>
      </c>
      <c r="AW25" s="306">
        <v>0</v>
      </c>
      <c r="AX25" s="306">
        <v>0</v>
      </c>
      <c r="AY25" s="306">
        <v>0</v>
      </c>
      <c r="AZ25" s="306">
        <v>0</v>
      </c>
      <c r="BA25" s="306">
        <v>0</v>
      </c>
      <c r="BB25" s="306">
        <v>0</v>
      </c>
      <c r="BC25" s="306">
        <v>0</v>
      </c>
      <c r="BD25" s="306">
        <v>0</v>
      </c>
      <c r="BE25" s="306">
        <v>0</v>
      </c>
      <c r="BF25" s="306">
        <v>0</v>
      </c>
      <c r="BG25" s="306">
        <v>0</v>
      </c>
      <c r="BH25" s="306">
        <v>0</v>
      </c>
      <c r="BI25" s="306">
        <v>0</v>
      </c>
      <c r="BJ25" s="306">
        <v>0</v>
      </c>
      <c r="BK25" s="306">
        <v>0</v>
      </c>
      <c r="BL25" s="306">
        <v>0</v>
      </c>
      <c r="BM25" s="306">
        <v>0</v>
      </c>
      <c r="BN25" s="306">
        <v>0</v>
      </c>
      <c r="BO25" s="306">
        <v>0</v>
      </c>
      <c r="BP25" s="306">
        <v>0</v>
      </c>
      <c r="BQ25" s="306">
        <v>0</v>
      </c>
      <c r="BR25" s="306">
        <v>0</v>
      </c>
      <c r="BU25" s="304" t="s">
        <v>716</v>
      </c>
      <c r="BV25" s="306">
        <v>0</v>
      </c>
      <c r="BW25" s="306">
        <v>0</v>
      </c>
      <c r="BX25" s="306">
        <v>0</v>
      </c>
      <c r="BY25" s="306">
        <v>0</v>
      </c>
      <c r="BZ25" s="306">
        <v>0</v>
      </c>
      <c r="CA25" s="306">
        <v>0</v>
      </c>
      <c r="CB25" s="306">
        <v>0</v>
      </c>
      <c r="CC25" s="306">
        <v>0</v>
      </c>
      <c r="CD25" s="306">
        <v>0</v>
      </c>
      <c r="CE25" s="306">
        <v>0</v>
      </c>
      <c r="CF25" s="306">
        <v>0</v>
      </c>
      <c r="CG25" s="306">
        <v>0</v>
      </c>
      <c r="CH25" s="306">
        <v>0</v>
      </c>
      <c r="CI25" s="306">
        <v>0</v>
      </c>
      <c r="CJ25" s="306">
        <v>0</v>
      </c>
      <c r="CK25" s="306">
        <v>0</v>
      </c>
      <c r="CL25" s="306">
        <v>0</v>
      </c>
      <c r="CM25" s="306">
        <v>0</v>
      </c>
      <c r="CN25" s="306">
        <v>0</v>
      </c>
      <c r="CO25" s="306">
        <v>0</v>
      </c>
      <c r="CP25" s="306">
        <v>0</v>
      </c>
      <c r="CQ25" s="306">
        <v>0</v>
      </c>
      <c r="CR25" s="306">
        <v>0</v>
      </c>
      <c r="CS25" s="306">
        <v>0</v>
      </c>
      <c r="CT25" s="306">
        <v>0</v>
      </c>
      <c r="CU25" s="306">
        <v>0</v>
      </c>
      <c r="CV25" s="306">
        <v>0</v>
      </c>
      <c r="CW25" s="306">
        <v>0</v>
      </c>
      <c r="CX25" s="306">
        <v>0</v>
      </c>
      <c r="CY25" s="306">
        <v>0</v>
      </c>
      <c r="CZ25" s="306">
        <v>0</v>
      </c>
      <c r="DA25" s="306">
        <v>0</v>
      </c>
      <c r="DB25" s="306">
        <v>0</v>
      </c>
      <c r="DC25" s="306">
        <v>0</v>
      </c>
      <c r="DD25" s="306">
        <v>0</v>
      </c>
      <c r="DE25" s="306">
        <v>0</v>
      </c>
      <c r="DF25" s="306">
        <v>0</v>
      </c>
      <c r="DG25" s="306">
        <v>0</v>
      </c>
      <c r="DH25" s="306">
        <v>0</v>
      </c>
      <c r="DI25" s="306">
        <v>0</v>
      </c>
    </row>
    <row r="26" spans="1:113">
      <c r="A26" s="304" t="s">
        <v>752</v>
      </c>
      <c r="B26" s="306">
        <v>0</v>
      </c>
      <c r="AD26" s="304" t="s">
        <v>717</v>
      </c>
      <c r="AE26" s="306">
        <v>0</v>
      </c>
      <c r="AF26" s="306">
        <v>0</v>
      </c>
      <c r="AG26" s="306">
        <v>0</v>
      </c>
      <c r="AH26" s="306">
        <v>0</v>
      </c>
      <c r="AI26" s="306">
        <v>0</v>
      </c>
      <c r="AJ26" s="306">
        <v>0</v>
      </c>
      <c r="AK26" s="306">
        <v>0</v>
      </c>
      <c r="AL26" s="306">
        <v>0</v>
      </c>
      <c r="AM26" s="306">
        <v>0</v>
      </c>
      <c r="AN26" s="306">
        <v>0</v>
      </c>
      <c r="AO26" s="306">
        <v>0</v>
      </c>
      <c r="AP26" s="306">
        <v>0</v>
      </c>
      <c r="AQ26" s="306">
        <v>0</v>
      </c>
      <c r="AR26" s="306">
        <v>0</v>
      </c>
      <c r="AS26" s="306">
        <v>0</v>
      </c>
      <c r="AT26" s="306">
        <v>0</v>
      </c>
      <c r="AU26" s="306">
        <v>0</v>
      </c>
      <c r="AV26" s="306">
        <v>0</v>
      </c>
      <c r="AW26" s="306">
        <v>0</v>
      </c>
      <c r="AX26" s="306">
        <v>0</v>
      </c>
      <c r="AY26" s="306">
        <v>0</v>
      </c>
      <c r="AZ26" s="306">
        <v>0</v>
      </c>
      <c r="BA26" s="306">
        <v>0</v>
      </c>
      <c r="BB26" s="306">
        <v>0</v>
      </c>
      <c r="BC26" s="306">
        <v>0</v>
      </c>
      <c r="BD26" s="306">
        <v>0</v>
      </c>
      <c r="BE26" s="306">
        <v>0</v>
      </c>
      <c r="BF26" s="306">
        <v>0</v>
      </c>
      <c r="BG26" s="306">
        <v>0</v>
      </c>
      <c r="BH26" s="306">
        <v>0</v>
      </c>
      <c r="BI26" s="306">
        <v>0</v>
      </c>
      <c r="BJ26" s="306">
        <v>0</v>
      </c>
      <c r="BK26" s="306">
        <v>0</v>
      </c>
      <c r="BL26" s="306">
        <v>0</v>
      </c>
      <c r="BM26" s="306">
        <v>0</v>
      </c>
      <c r="BN26" s="306">
        <v>0</v>
      </c>
      <c r="BO26" s="306">
        <v>0</v>
      </c>
      <c r="BP26" s="306">
        <v>0</v>
      </c>
      <c r="BQ26" s="306">
        <v>0</v>
      </c>
      <c r="BR26" s="306">
        <v>0</v>
      </c>
      <c r="BU26" s="304" t="s">
        <v>717</v>
      </c>
      <c r="BV26" s="306">
        <v>0</v>
      </c>
      <c r="BW26" s="306">
        <v>0</v>
      </c>
      <c r="BX26" s="306">
        <v>0</v>
      </c>
      <c r="BY26" s="306">
        <v>0</v>
      </c>
      <c r="BZ26" s="306">
        <v>0</v>
      </c>
      <c r="CA26" s="306">
        <v>0</v>
      </c>
      <c r="CB26" s="306">
        <v>0</v>
      </c>
      <c r="CC26" s="306">
        <v>0</v>
      </c>
      <c r="CD26" s="306">
        <v>0</v>
      </c>
      <c r="CE26" s="306">
        <v>0</v>
      </c>
      <c r="CF26" s="306">
        <v>0</v>
      </c>
      <c r="CG26" s="306">
        <v>0</v>
      </c>
      <c r="CH26" s="306">
        <v>0</v>
      </c>
      <c r="CI26" s="306">
        <v>0</v>
      </c>
      <c r="CJ26" s="306">
        <v>0</v>
      </c>
      <c r="CK26" s="306">
        <v>0</v>
      </c>
      <c r="CL26" s="306">
        <v>0</v>
      </c>
      <c r="CM26" s="306">
        <v>0</v>
      </c>
      <c r="CN26" s="306">
        <v>0</v>
      </c>
      <c r="CO26" s="306">
        <v>0</v>
      </c>
      <c r="CP26" s="306">
        <v>0</v>
      </c>
      <c r="CQ26" s="306">
        <v>0</v>
      </c>
      <c r="CR26" s="306">
        <v>0</v>
      </c>
      <c r="CS26" s="306">
        <v>0</v>
      </c>
      <c r="CT26" s="306">
        <v>0</v>
      </c>
      <c r="CU26" s="306">
        <v>0</v>
      </c>
      <c r="CV26" s="306">
        <v>0</v>
      </c>
      <c r="CW26" s="306">
        <v>0</v>
      </c>
      <c r="CX26" s="306">
        <v>0</v>
      </c>
      <c r="CY26" s="306">
        <v>0</v>
      </c>
      <c r="CZ26" s="306">
        <v>0</v>
      </c>
      <c r="DA26" s="306">
        <v>0</v>
      </c>
      <c r="DB26" s="306">
        <v>0</v>
      </c>
      <c r="DC26" s="306">
        <v>0</v>
      </c>
      <c r="DD26" s="306">
        <v>0</v>
      </c>
      <c r="DE26" s="306">
        <v>0</v>
      </c>
      <c r="DF26" s="306">
        <v>0</v>
      </c>
      <c r="DG26" s="306">
        <v>0</v>
      </c>
      <c r="DH26" s="306">
        <v>0</v>
      </c>
      <c r="DI26" s="306">
        <v>0</v>
      </c>
    </row>
    <row r="27" spans="1:113">
      <c r="A27" s="304" t="s">
        <v>753</v>
      </c>
      <c r="B27" s="306">
        <v>0</v>
      </c>
      <c r="AD27" s="304" t="s">
        <v>718</v>
      </c>
      <c r="AE27" s="306">
        <v>0</v>
      </c>
      <c r="AF27" s="306">
        <v>0</v>
      </c>
      <c r="AG27" s="306">
        <v>0</v>
      </c>
      <c r="AH27" s="306">
        <v>0</v>
      </c>
      <c r="AI27" s="306">
        <v>0</v>
      </c>
      <c r="AJ27" s="306">
        <v>0</v>
      </c>
      <c r="AK27" s="306">
        <v>0</v>
      </c>
      <c r="AL27" s="306">
        <v>0</v>
      </c>
      <c r="AM27" s="306">
        <v>0</v>
      </c>
      <c r="AN27" s="306">
        <v>0</v>
      </c>
      <c r="AO27" s="306">
        <v>0</v>
      </c>
      <c r="AP27" s="306">
        <v>0</v>
      </c>
      <c r="AQ27" s="306">
        <v>0</v>
      </c>
      <c r="AR27" s="306">
        <v>0</v>
      </c>
      <c r="AS27" s="306">
        <v>0</v>
      </c>
      <c r="AT27" s="306">
        <v>0</v>
      </c>
      <c r="AU27" s="306">
        <v>0</v>
      </c>
      <c r="AV27" s="306">
        <v>0</v>
      </c>
      <c r="AW27" s="306">
        <v>0</v>
      </c>
      <c r="AX27" s="306">
        <v>0</v>
      </c>
      <c r="AY27" s="306">
        <v>0</v>
      </c>
      <c r="AZ27" s="306">
        <v>0</v>
      </c>
      <c r="BA27" s="306">
        <v>0</v>
      </c>
      <c r="BB27" s="306">
        <v>0</v>
      </c>
      <c r="BC27" s="306">
        <v>0</v>
      </c>
      <c r="BD27" s="306">
        <v>0</v>
      </c>
      <c r="BE27" s="306">
        <v>0</v>
      </c>
      <c r="BF27" s="306">
        <v>0</v>
      </c>
      <c r="BG27" s="306">
        <v>0</v>
      </c>
      <c r="BH27" s="306">
        <v>0</v>
      </c>
      <c r="BI27" s="306">
        <v>0</v>
      </c>
      <c r="BJ27" s="306">
        <v>0</v>
      </c>
      <c r="BK27" s="306">
        <v>0</v>
      </c>
      <c r="BL27" s="306">
        <v>0</v>
      </c>
      <c r="BM27" s="306">
        <v>0</v>
      </c>
      <c r="BN27" s="306">
        <v>0</v>
      </c>
      <c r="BO27" s="306">
        <v>0</v>
      </c>
      <c r="BP27" s="306">
        <v>0</v>
      </c>
      <c r="BQ27" s="306">
        <v>0</v>
      </c>
      <c r="BR27" s="306">
        <v>0</v>
      </c>
      <c r="BU27" s="304" t="s">
        <v>718</v>
      </c>
      <c r="BV27" s="306">
        <v>0</v>
      </c>
      <c r="BW27" s="306">
        <v>0</v>
      </c>
      <c r="BX27" s="306">
        <v>0</v>
      </c>
      <c r="BY27" s="306">
        <v>0</v>
      </c>
      <c r="BZ27" s="306">
        <v>0</v>
      </c>
      <c r="CA27" s="306">
        <v>0</v>
      </c>
      <c r="CB27" s="306">
        <v>0</v>
      </c>
      <c r="CC27" s="306">
        <v>0</v>
      </c>
      <c r="CD27" s="306">
        <v>0</v>
      </c>
      <c r="CE27" s="306">
        <v>0</v>
      </c>
      <c r="CF27" s="306">
        <v>0</v>
      </c>
      <c r="CG27" s="306">
        <v>0</v>
      </c>
      <c r="CH27" s="306">
        <v>0</v>
      </c>
      <c r="CI27" s="306">
        <v>0</v>
      </c>
      <c r="CJ27" s="306">
        <v>0</v>
      </c>
      <c r="CK27" s="306">
        <v>0</v>
      </c>
      <c r="CL27" s="306">
        <v>0</v>
      </c>
      <c r="CM27" s="306">
        <v>0</v>
      </c>
      <c r="CN27" s="306">
        <v>0</v>
      </c>
      <c r="CO27" s="306">
        <v>0</v>
      </c>
      <c r="CP27" s="306">
        <v>0</v>
      </c>
      <c r="CQ27" s="306">
        <v>0</v>
      </c>
      <c r="CR27" s="306">
        <v>0</v>
      </c>
      <c r="CS27" s="306">
        <v>0</v>
      </c>
      <c r="CT27" s="306">
        <v>0</v>
      </c>
      <c r="CU27" s="306">
        <v>0</v>
      </c>
      <c r="CV27" s="306">
        <v>0</v>
      </c>
      <c r="CW27" s="306">
        <v>0</v>
      </c>
      <c r="CX27" s="306">
        <v>0</v>
      </c>
      <c r="CY27" s="306">
        <v>0</v>
      </c>
      <c r="CZ27" s="306">
        <v>0</v>
      </c>
      <c r="DA27" s="306">
        <v>0</v>
      </c>
      <c r="DB27" s="306">
        <v>0</v>
      </c>
      <c r="DC27" s="306">
        <v>0</v>
      </c>
      <c r="DD27" s="306">
        <v>0</v>
      </c>
      <c r="DE27" s="306">
        <v>0</v>
      </c>
      <c r="DF27" s="306">
        <v>0</v>
      </c>
      <c r="DG27" s="306">
        <v>0</v>
      </c>
      <c r="DH27" s="306">
        <v>0</v>
      </c>
      <c r="DI27" s="306">
        <v>0</v>
      </c>
    </row>
    <row r="28" spans="1:113">
      <c r="A28" s="304" t="s">
        <v>754</v>
      </c>
      <c r="B28" s="306">
        <v>0</v>
      </c>
      <c r="AD28" s="304" t="s">
        <v>759</v>
      </c>
      <c r="AE28" s="306">
        <v>0</v>
      </c>
      <c r="AF28" s="306">
        <v>0</v>
      </c>
      <c r="AG28" s="306">
        <v>0</v>
      </c>
      <c r="AH28" s="306">
        <v>0</v>
      </c>
      <c r="AI28" s="306">
        <v>0</v>
      </c>
      <c r="AJ28" s="306">
        <v>0</v>
      </c>
      <c r="AK28" s="306">
        <v>0</v>
      </c>
      <c r="AL28" s="306">
        <v>0</v>
      </c>
      <c r="AM28" s="306">
        <v>0</v>
      </c>
      <c r="AN28" s="306">
        <v>0</v>
      </c>
      <c r="AO28" s="306">
        <v>0</v>
      </c>
      <c r="AP28" s="306">
        <v>0</v>
      </c>
      <c r="AQ28" s="306">
        <v>0</v>
      </c>
      <c r="AR28" s="306">
        <v>0</v>
      </c>
      <c r="AS28" s="306">
        <v>0</v>
      </c>
      <c r="AT28" s="306">
        <v>0</v>
      </c>
      <c r="AU28" s="306">
        <v>0</v>
      </c>
      <c r="AV28" s="306">
        <v>0</v>
      </c>
      <c r="AW28" s="306">
        <v>0</v>
      </c>
      <c r="AX28" s="306">
        <v>0</v>
      </c>
      <c r="AY28" s="306">
        <v>0</v>
      </c>
      <c r="AZ28" s="306">
        <v>0</v>
      </c>
      <c r="BA28" s="306">
        <v>0</v>
      </c>
      <c r="BB28" s="306">
        <v>0</v>
      </c>
      <c r="BC28" s="306">
        <v>0</v>
      </c>
      <c r="BD28" s="306">
        <v>0</v>
      </c>
      <c r="BE28" s="306">
        <v>0</v>
      </c>
      <c r="BF28" s="306">
        <v>0</v>
      </c>
      <c r="BG28" s="306">
        <v>0</v>
      </c>
      <c r="BH28" s="306">
        <v>0</v>
      </c>
      <c r="BI28" s="306">
        <v>0</v>
      </c>
      <c r="BJ28" s="306">
        <v>0</v>
      </c>
      <c r="BK28" s="306">
        <v>0</v>
      </c>
      <c r="BL28" s="306">
        <v>0</v>
      </c>
      <c r="BM28" s="306">
        <v>0</v>
      </c>
      <c r="BN28" s="306">
        <v>0</v>
      </c>
      <c r="BO28" s="306">
        <v>0</v>
      </c>
      <c r="BP28" s="306">
        <v>0</v>
      </c>
      <c r="BQ28" s="306">
        <v>0</v>
      </c>
      <c r="BR28" s="306">
        <v>0</v>
      </c>
      <c r="BU28" s="304" t="s">
        <v>759</v>
      </c>
      <c r="BV28" s="306">
        <v>0</v>
      </c>
      <c r="BW28" s="306">
        <v>0</v>
      </c>
      <c r="BX28" s="306">
        <v>0</v>
      </c>
      <c r="BY28" s="306">
        <v>0</v>
      </c>
      <c r="BZ28" s="306">
        <v>0</v>
      </c>
      <c r="CA28" s="306">
        <v>0</v>
      </c>
      <c r="CB28" s="306">
        <v>0</v>
      </c>
      <c r="CC28" s="306">
        <v>0</v>
      </c>
      <c r="CD28" s="306">
        <v>0</v>
      </c>
      <c r="CE28" s="306">
        <v>0</v>
      </c>
      <c r="CF28" s="306">
        <v>0</v>
      </c>
      <c r="CG28" s="306">
        <v>0</v>
      </c>
      <c r="CH28" s="306">
        <v>0</v>
      </c>
      <c r="CI28" s="306">
        <v>0</v>
      </c>
      <c r="CJ28" s="306">
        <v>0</v>
      </c>
      <c r="CK28" s="306">
        <v>0</v>
      </c>
      <c r="CL28" s="306">
        <v>0</v>
      </c>
      <c r="CM28" s="306">
        <v>0</v>
      </c>
      <c r="CN28" s="306">
        <v>0</v>
      </c>
      <c r="CO28" s="306">
        <v>0</v>
      </c>
      <c r="CP28" s="306">
        <v>0</v>
      </c>
      <c r="CQ28" s="306">
        <v>0</v>
      </c>
      <c r="CR28" s="306">
        <v>0</v>
      </c>
      <c r="CS28" s="306">
        <v>0</v>
      </c>
      <c r="CT28" s="306">
        <v>0</v>
      </c>
      <c r="CU28" s="306">
        <v>0</v>
      </c>
      <c r="CV28" s="306">
        <v>0</v>
      </c>
      <c r="CW28" s="306">
        <v>0</v>
      </c>
      <c r="CX28" s="306">
        <v>0</v>
      </c>
      <c r="CY28" s="306">
        <v>0</v>
      </c>
      <c r="CZ28" s="306">
        <v>0</v>
      </c>
      <c r="DA28" s="306">
        <v>0</v>
      </c>
      <c r="DB28" s="306">
        <v>0</v>
      </c>
      <c r="DC28" s="306">
        <v>0</v>
      </c>
      <c r="DD28" s="306">
        <v>0</v>
      </c>
      <c r="DE28" s="306">
        <v>0</v>
      </c>
      <c r="DF28" s="306">
        <v>0</v>
      </c>
      <c r="DG28" s="306">
        <v>0</v>
      </c>
      <c r="DH28" s="306">
        <v>0</v>
      </c>
      <c r="DI28" s="306">
        <v>0</v>
      </c>
    </row>
    <row r="29" spans="1:113">
      <c r="A29" s="304" t="s">
        <v>755</v>
      </c>
      <c r="B29" s="306">
        <v>0</v>
      </c>
      <c r="AD29" s="304" t="s">
        <v>760</v>
      </c>
      <c r="AE29" s="306">
        <v>0</v>
      </c>
      <c r="AF29" s="306">
        <v>0</v>
      </c>
      <c r="AG29" s="306">
        <v>0</v>
      </c>
      <c r="AH29" s="306">
        <v>0</v>
      </c>
      <c r="AI29" s="306">
        <v>0</v>
      </c>
      <c r="AJ29" s="306">
        <v>0</v>
      </c>
      <c r="AK29" s="306">
        <v>0</v>
      </c>
      <c r="AL29" s="306">
        <v>0</v>
      </c>
      <c r="AM29" s="306">
        <v>0</v>
      </c>
      <c r="AN29" s="306">
        <v>0</v>
      </c>
      <c r="AO29" s="306">
        <v>0</v>
      </c>
      <c r="AP29" s="306">
        <v>0</v>
      </c>
      <c r="AQ29" s="306">
        <v>0</v>
      </c>
      <c r="AR29" s="306">
        <v>0</v>
      </c>
      <c r="AS29" s="306">
        <v>0</v>
      </c>
      <c r="AT29" s="306">
        <v>0</v>
      </c>
      <c r="AU29" s="306">
        <v>0</v>
      </c>
      <c r="AV29" s="306">
        <v>0</v>
      </c>
      <c r="AW29" s="306">
        <v>0</v>
      </c>
      <c r="AX29" s="306">
        <v>0</v>
      </c>
      <c r="AY29" s="306">
        <v>0</v>
      </c>
      <c r="AZ29" s="306">
        <v>0</v>
      </c>
      <c r="BA29" s="306">
        <v>0</v>
      </c>
      <c r="BB29" s="306">
        <v>0</v>
      </c>
      <c r="BC29" s="306">
        <v>0</v>
      </c>
      <c r="BD29" s="306">
        <v>0</v>
      </c>
      <c r="BE29" s="306">
        <v>0</v>
      </c>
      <c r="BF29" s="306">
        <v>0</v>
      </c>
      <c r="BG29" s="306">
        <v>0</v>
      </c>
      <c r="BH29" s="306">
        <v>0</v>
      </c>
      <c r="BI29" s="306">
        <v>0</v>
      </c>
      <c r="BJ29" s="306">
        <v>0</v>
      </c>
      <c r="BK29" s="306">
        <v>0</v>
      </c>
      <c r="BL29" s="306">
        <v>0</v>
      </c>
      <c r="BM29" s="306">
        <v>0</v>
      </c>
      <c r="BN29" s="306">
        <v>0</v>
      </c>
      <c r="BO29" s="306">
        <v>0</v>
      </c>
      <c r="BP29" s="306">
        <v>0</v>
      </c>
      <c r="BQ29" s="306">
        <v>0</v>
      </c>
      <c r="BR29" s="306">
        <v>0</v>
      </c>
      <c r="BU29" s="304" t="s">
        <v>760</v>
      </c>
      <c r="BV29" s="306">
        <v>0</v>
      </c>
      <c r="BW29" s="306">
        <v>0</v>
      </c>
      <c r="BX29" s="306">
        <v>0</v>
      </c>
      <c r="BY29" s="306">
        <v>0</v>
      </c>
      <c r="BZ29" s="306">
        <v>0</v>
      </c>
      <c r="CA29" s="306">
        <v>0</v>
      </c>
      <c r="CB29" s="306">
        <v>0</v>
      </c>
      <c r="CC29" s="306">
        <v>0</v>
      </c>
      <c r="CD29" s="306">
        <v>0</v>
      </c>
      <c r="CE29" s="306">
        <v>0</v>
      </c>
      <c r="CF29" s="306">
        <v>0</v>
      </c>
      <c r="CG29" s="306">
        <v>0</v>
      </c>
      <c r="CH29" s="306">
        <v>0</v>
      </c>
      <c r="CI29" s="306">
        <v>0</v>
      </c>
      <c r="CJ29" s="306">
        <v>0</v>
      </c>
      <c r="CK29" s="306">
        <v>0</v>
      </c>
      <c r="CL29" s="306">
        <v>0</v>
      </c>
      <c r="CM29" s="306">
        <v>0</v>
      </c>
      <c r="CN29" s="306">
        <v>0</v>
      </c>
      <c r="CO29" s="306">
        <v>0</v>
      </c>
      <c r="CP29" s="306">
        <v>0</v>
      </c>
      <c r="CQ29" s="306">
        <v>0</v>
      </c>
      <c r="CR29" s="306">
        <v>0</v>
      </c>
      <c r="CS29" s="306">
        <v>0</v>
      </c>
      <c r="CT29" s="306">
        <v>0</v>
      </c>
      <c r="CU29" s="306">
        <v>0</v>
      </c>
      <c r="CV29" s="306">
        <v>0</v>
      </c>
      <c r="CW29" s="306">
        <v>0</v>
      </c>
      <c r="CX29" s="306">
        <v>0</v>
      </c>
      <c r="CY29" s="306">
        <v>0</v>
      </c>
      <c r="CZ29" s="306">
        <v>0</v>
      </c>
      <c r="DA29" s="306">
        <v>0</v>
      </c>
      <c r="DB29" s="306">
        <v>0</v>
      </c>
      <c r="DC29" s="306">
        <v>0</v>
      </c>
      <c r="DD29" s="306">
        <v>0</v>
      </c>
      <c r="DE29" s="306">
        <v>0</v>
      </c>
      <c r="DF29" s="306">
        <v>0</v>
      </c>
      <c r="DG29" s="306">
        <v>0</v>
      </c>
      <c r="DH29" s="306">
        <v>0</v>
      </c>
      <c r="DI29" s="306">
        <v>0</v>
      </c>
    </row>
    <row r="30" spans="1:113">
      <c r="A30" s="304" t="s">
        <v>756</v>
      </c>
      <c r="B30" s="306">
        <v>0</v>
      </c>
      <c r="AD30" s="304" t="s">
        <v>761</v>
      </c>
      <c r="AE30" s="306">
        <v>0</v>
      </c>
      <c r="AF30" s="306">
        <v>0</v>
      </c>
      <c r="AG30" s="306">
        <v>0</v>
      </c>
      <c r="AH30" s="306">
        <v>0</v>
      </c>
      <c r="AI30" s="306">
        <v>0</v>
      </c>
      <c r="AJ30" s="306">
        <v>0</v>
      </c>
      <c r="AK30" s="306">
        <v>0</v>
      </c>
      <c r="AL30" s="306">
        <v>0</v>
      </c>
      <c r="AM30" s="306">
        <v>0</v>
      </c>
      <c r="AN30" s="306">
        <v>0</v>
      </c>
      <c r="AO30" s="306">
        <v>0</v>
      </c>
      <c r="AP30" s="306">
        <v>0</v>
      </c>
      <c r="AQ30" s="306">
        <v>0</v>
      </c>
      <c r="AR30" s="306">
        <v>0</v>
      </c>
      <c r="AS30" s="306">
        <v>0</v>
      </c>
      <c r="AT30" s="306">
        <v>0</v>
      </c>
      <c r="AU30" s="306">
        <v>0</v>
      </c>
      <c r="AV30" s="306">
        <v>0</v>
      </c>
      <c r="AW30" s="306">
        <v>0</v>
      </c>
      <c r="AX30" s="306">
        <v>0</v>
      </c>
      <c r="AY30" s="306">
        <v>0</v>
      </c>
      <c r="AZ30" s="306">
        <v>0</v>
      </c>
      <c r="BA30" s="306">
        <v>0</v>
      </c>
      <c r="BB30" s="306">
        <v>0</v>
      </c>
      <c r="BC30" s="306">
        <v>0</v>
      </c>
      <c r="BD30" s="306">
        <v>0</v>
      </c>
      <c r="BE30" s="306">
        <v>0</v>
      </c>
      <c r="BF30" s="306">
        <v>0</v>
      </c>
      <c r="BG30" s="306">
        <v>0</v>
      </c>
      <c r="BH30" s="306">
        <v>0</v>
      </c>
      <c r="BI30" s="306">
        <v>0</v>
      </c>
      <c r="BJ30" s="306">
        <v>0</v>
      </c>
      <c r="BK30" s="306">
        <v>0</v>
      </c>
      <c r="BL30" s="306">
        <v>0</v>
      </c>
      <c r="BM30" s="306">
        <v>0</v>
      </c>
      <c r="BN30" s="306">
        <v>0</v>
      </c>
      <c r="BO30" s="306">
        <v>0</v>
      </c>
      <c r="BP30" s="306">
        <v>0</v>
      </c>
      <c r="BQ30" s="306">
        <v>0</v>
      </c>
      <c r="BR30" s="306">
        <v>0</v>
      </c>
      <c r="BU30" s="304" t="s">
        <v>761</v>
      </c>
      <c r="BV30" s="306">
        <v>0</v>
      </c>
      <c r="BW30" s="306">
        <v>0</v>
      </c>
      <c r="BX30" s="306">
        <v>0</v>
      </c>
      <c r="BY30" s="306">
        <v>0</v>
      </c>
      <c r="BZ30" s="306">
        <v>0</v>
      </c>
      <c r="CA30" s="306">
        <v>0</v>
      </c>
      <c r="CB30" s="306">
        <v>0</v>
      </c>
      <c r="CC30" s="306">
        <v>0</v>
      </c>
      <c r="CD30" s="306">
        <v>0</v>
      </c>
      <c r="CE30" s="306">
        <v>0</v>
      </c>
      <c r="CF30" s="306">
        <v>0</v>
      </c>
      <c r="CG30" s="306">
        <v>0</v>
      </c>
      <c r="CH30" s="306">
        <v>0</v>
      </c>
      <c r="CI30" s="306">
        <v>0</v>
      </c>
      <c r="CJ30" s="306">
        <v>0</v>
      </c>
      <c r="CK30" s="306">
        <v>0</v>
      </c>
      <c r="CL30" s="306">
        <v>0</v>
      </c>
      <c r="CM30" s="306">
        <v>0</v>
      </c>
      <c r="CN30" s="306">
        <v>0</v>
      </c>
      <c r="CO30" s="306">
        <v>0</v>
      </c>
      <c r="CP30" s="306">
        <v>0</v>
      </c>
      <c r="CQ30" s="306">
        <v>0</v>
      </c>
      <c r="CR30" s="306">
        <v>0</v>
      </c>
      <c r="CS30" s="306">
        <v>0</v>
      </c>
      <c r="CT30" s="306">
        <v>0</v>
      </c>
      <c r="CU30" s="306">
        <v>0</v>
      </c>
      <c r="CV30" s="306">
        <v>0</v>
      </c>
      <c r="CW30" s="306">
        <v>0</v>
      </c>
      <c r="CX30" s="306">
        <v>0</v>
      </c>
      <c r="CY30" s="306">
        <v>0</v>
      </c>
      <c r="CZ30" s="306">
        <v>0</v>
      </c>
      <c r="DA30" s="306">
        <v>0</v>
      </c>
      <c r="DB30" s="306">
        <v>0</v>
      </c>
      <c r="DC30" s="306">
        <v>0</v>
      </c>
      <c r="DD30" s="306">
        <v>0</v>
      </c>
      <c r="DE30" s="306">
        <v>0</v>
      </c>
      <c r="DF30" s="306">
        <v>0</v>
      </c>
      <c r="DG30" s="306">
        <v>0</v>
      </c>
      <c r="DH30" s="306">
        <v>0</v>
      </c>
      <c r="DI30" s="306">
        <v>0</v>
      </c>
    </row>
    <row r="31" spans="1:113">
      <c r="A31" s="304" t="s">
        <v>757</v>
      </c>
      <c r="B31" s="306">
        <v>0</v>
      </c>
      <c r="AD31" s="304" t="s">
        <v>719</v>
      </c>
      <c r="AE31" s="306">
        <v>0</v>
      </c>
      <c r="AF31" s="306">
        <v>58054.575227689304</v>
      </c>
      <c r="AG31" s="306">
        <v>0</v>
      </c>
      <c r="AH31" s="306">
        <v>0</v>
      </c>
      <c r="AI31" s="306">
        <v>0</v>
      </c>
      <c r="AJ31" s="306">
        <v>0</v>
      </c>
      <c r="AK31" s="306">
        <v>0</v>
      </c>
      <c r="AL31" s="306">
        <v>0</v>
      </c>
      <c r="AM31" s="306">
        <v>0</v>
      </c>
      <c r="AN31" s="306">
        <v>0</v>
      </c>
      <c r="AO31" s="306">
        <v>0</v>
      </c>
      <c r="AP31" s="306">
        <v>0</v>
      </c>
      <c r="AQ31" s="306">
        <v>0</v>
      </c>
      <c r="AR31" s="306">
        <v>0</v>
      </c>
      <c r="AS31" s="306">
        <v>0</v>
      </c>
      <c r="AT31" s="306">
        <v>0</v>
      </c>
      <c r="AU31" s="306">
        <v>0</v>
      </c>
      <c r="AV31" s="306">
        <v>0</v>
      </c>
      <c r="AW31" s="306">
        <v>0</v>
      </c>
      <c r="AX31" s="306">
        <v>0</v>
      </c>
      <c r="AY31" s="306">
        <v>0</v>
      </c>
      <c r="AZ31" s="306">
        <v>0</v>
      </c>
      <c r="BA31" s="306">
        <v>0</v>
      </c>
      <c r="BB31" s="306">
        <v>0</v>
      </c>
      <c r="BC31" s="306">
        <v>0</v>
      </c>
      <c r="BD31" s="306">
        <v>0</v>
      </c>
      <c r="BE31" s="306">
        <v>0</v>
      </c>
      <c r="BF31" s="306">
        <v>0</v>
      </c>
      <c r="BG31" s="306">
        <v>0</v>
      </c>
      <c r="BH31" s="306">
        <v>0</v>
      </c>
      <c r="BI31" s="306">
        <v>0</v>
      </c>
      <c r="BJ31" s="306">
        <v>0</v>
      </c>
      <c r="BK31" s="306">
        <v>0</v>
      </c>
      <c r="BL31" s="306">
        <v>0</v>
      </c>
      <c r="BM31" s="306">
        <v>0</v>
      </c>
      <c r="BN31" s="306">
        <v>0</v>
      </c>
      <c r="BO31" s="306">
        <v>0</v>
      </c>
      <c r="BP31" s="306">
        <v>0</v>
      </c>
      <c r="BQ31" s="306">
        <v>0</v>
      </c>
      <c r="BR31" s="306">
        <v>0</v>
      </c>
      <c r="BU31" s="304" t="s">
        <v>719</v>
      </c>
      <c r="BV31" s="306">
        <v>0</v>
      </c>
      <c r="BW31" s="306">
        <v>0.72465121788954501</v>
      </c>
      <c r="BX31" s="306">
        <v>0</v>
      </c>
      <c r="BY31" s="306">
        <v>0</v>
      </c>
      <c r="BZ31" s="306">
        <v>0</v>
      </c>
      <c r="CA31" s="306">
        <v>0</v>
      </c>
      <c r="CB31" s="306">
        <v>0</v>
      </c>
      <c r="CC31" s="306">
        <v>0</v>
      </c>
      <c r="CD31" s="306">
        <v>0</v>
      </c>
      <c r="CE31" s="306">
        <v>0</v>
      </c>
      <c r="CF31" s="306">
        <v>0</v>
      </c>
      <c r="CG31" s="306">
        <v>0</v>
      </c>
      <c r="CH31" s="306">
        <v>0</v>
      </c>
      <c r="CI31" s="306">
        <v>0</v>
      </c>
      <c r="CJ31" s="306">
        <v>0</v>
      </c>
      <c r="CK31" s="306">
        <v>0</v>
      </c>
      <c r="CL31" s="306">
        <v>0</v>
      </c>
      <c r="CM31" s="306">
        <v>0</v>
      </c>
      <c r="CN31" s="306">
        <v>0</v>
      </c>
      <c r="CO31" s="306">
        <v>0</v>
      </c>
      <c r="CP31" s="306">
        <v>0</v>
      </c>
      <c r="CQ31" s="306">
        <v>0</v>
      </c>
      <c r="CR31" s="306">
        <v>0</v>
      </c>
      <c r="CS31" s="306">
        <v>0</v>
      </c>
      <c r="CT31" s="306">
        <v>0</v>
      </c>
      <c r="CU31" s="306">
        <v>0</v>
      </c>
      <c r="CV31" s="306">
        <v>0</v>
      </c>
      <c r="CW31" s="306">
        <v>0</v>
      </c>
      <c r="CX31" s="306">
        <v>0</v>
      </c>
      <c r="CY31" s="306">
        <v>0</v>
      </c>
      <c r="CZ31" s="306">
        <v>0</v>
      </c>
      <c r="DA31" s="306">
        <v>0</v>
      </c>
      <c r="DB31" s="306">
        <v>0</v>
      </c>
      <c r="DC31" s="306">
        <v>0</v>
      </c>
      <c r="DD31" s="306">
        <v>0</v>
      </c>
      <c r="DE31" s="306">
        <v>0</v>
      </c>
      <c r="DF31" s="306">
        <v>0</v>
      </c>
      <c r="DG31" s="306">
        <v>0</v>
      </c>
      <c r="DH31" s="306">
        <v>0</v>
      </c>
      <c r="DI31" s="306">
        <v>0</v>
      </c>
    </row>
    <row r="32" spans="1:113">
      <c r="A32" s="304" t="s">
        <v>670</v>
      </c>
      <c r="B32" s="306">
        <v>1</v>
      </c>
      <c r="AD32" s="304" t="s">
        <v>720</v>
      </c>
      <c r="AE32" s="306">
        <v>0</v>
      </c>
      <c r="AF32" s="306">
        <v>0</v>
      </c>
      <c r="AG32" s="306">
        <v>0</v>
      </c>
      <c r="AH32" s="306">
        <v>0</v>
      </c>
      <c r="AI32" s="306">
        <v>0</v>
      </c>
      <c r="AJ32" s="306">
        <v>0</v>
      </c>
      <c r="AK32" s="306">
        <v>0</v>
      </c>
      <c r="AL32" s="306">
        <v>0</v>
      </c>
      <c r="AM32" s="306">
        <v>0</v>
      </c>
      <c r="AN32" s="306">
        <v>0</v>
      </c>
      <c r="AO32" s="306">
        <v>0</v>
      </c>
      <c r="AP32" s="306">
        <v>0</v>
      </c>
      <c r="AQ32" s="306">
        <v>0</v>
      </c>
      <c r="AR32" s="306">
        <v>0</v>
      </c>
      <c r="AS32" s="306">
        <v>0</v>
      </c>
      <c r="AT32" s="306">
        <v>0</v>
      </c>
      <c r="AU32" s="306">
        <v>0</v>
      </c>
      <c r="AV32" s="306">
        <v>0</v>
      </c>
      <c r="AW32" s="306">
        <v>0</v>
      </c>
      <c r="AX32" s="306">
        <v>0</v>
      </c>
      <c r="AY32" s="306">
        <v>0</v>
      </c>
      <c r="AZ32" s="306">
        <v>0</v>
      </c>
      <c r="BA32" s="306">
        <v>0</v>
      </c>
      <c r="BB32" s="306">
        <v>0</v>
      </c>
      <c r="BC32" s="306">
        <v>0</v>
      </c>
      <c r="BD32" s="306">
        <v>0</v>
      </c>
      <c r="BE32" s="306">
        <v>0</v>
      </c>
      <c r="BF32" s="306">
        <v>0</v>
      </c>
      <c r="BG32" s="306">
        <v>0</v>
      </c>
      <c r="BH32" s="306">
        <v>0</v>
      </c>
      <c r="BI32" s="306">
        <v>0</v>
      </c>
      <c r="BJ32" s="306">
        <v>0</v>
      </c>
      <c r="BK32" s="306">
        <v>0</v>
      </c>
      <c r="BL32" s="306">
        <v>0</v>
      </c>
      <c r="BM32" s="306">
        <v>0</v>
      </c>
      <c r="BN32" s="306">
        <v>0</v>
      </c>
      <c r="BO32" s="306">
        <v>0</v>
      </c>
      <c r="BP32" s="306">
        <v>0</v>
      </c>
      <c r="BQ32" s="306">
        <v>0</v>
      </c>
      <c r="BR32" s="306">
        <v>0</v>
      </c>
      <c r="BU32" s="304" t="s">
        <v>720</v>
      </c>
      <c r="BV32" s="306">
        <v>0</v>
      </c>
      <c r="BW32" s="306">
        <v>0</v>
      </c>
      <c r="BX32" s="306">
        <v>0</v>
      </c>
      <c r="BY32" s="306">
        <v>0</v>
      </c>
      <c r="BZ32" s="306">
        <v>0</v>
      </c>
      <c r="CA32" s="306">
        <v>0</v>
      </c>
      <c r="CB32" s="306">
        <v>0</v>
      </c>
      <c r="CC32" s="306">
        <v>0</v>
      </c>
      <c r="CD32" s="306">
        <v>0</v>
      </c>
      <c r="CE32" s="306">
        <v>0</v>
      </c>
      <c r="CF32" s="306">
        <v>0</v>
      </c>
      <c r="CG32" s="306">
        <v>0</v>
      </c>
      <c r="CH32" s="306">
        <v>0</v>
      </c>
      <c r="CI32" s="306">
        <v>0</v>
      </c>
      <c r="CJ32" s="306">
        <v>0</v>
      </c>
      <c r="CK32" s="306">
        <v>0</v>
      </c>
      <c r="CL32" s="306">
        <v>0</v>
      </c>
      <c r="CM32" s="306">
        <v>0</v>
      </c>
      <c r="CN32" s="306">
        <v>0</v>
      </c>
      <c r="CO32" s="306">
        <v>0</v>
      </c>
      <c r="CP32" s="306">
        <v>0</v>
      </c>
      <c r="CQ32" s="306">
        <v>0</v>
      </c>
      <c r="CR32" s="306">
        <v>0</v>
      </c>
      <c r="CS32" s="306">
        <v>0</v>
      </c>
      <c r="CT32" s="306">
        <v>0</v>
      </c>
      <c r="CU32" s="306">
        <v>0</v>
      </c>
      <c r="CV32" s="306">
        <v>0</v>
      </c>
      <c r="CW32" s="306">
        <v>0</v>
      </c>
      <c r="CX32" s="306">
        <v>0</v>
      </c>
      <c r="CY32" s="306">
        <v>0</v>
      </c>
      <c r="CZ32" s="306">
        <v>0</v>
      </c>
      <c r="DA32" s="306">
        <v>0</v>
      </c>
      <c r="DB32" s="306">
        <v>0</v>
      </c>
      <c r="DC32" s="306">
        <v>0</v>
      </c>
      <c r="DD32" s="306">
        <v>0</v>
      </c>
      <c r="DE32" s="306">
        <v>0</v>
      </c>
      <c r="DF32" s="306">
        <v>0</v>
      </c>
      <c r="DG32" s="306">
        <v>0</v>
      </c>
      <c r="DH32" s="306">
        <v>0</v>
      </c>
      <c r="DI32" s="306">
        <v>0</v>
      </c>
    </row>
    <row r="33" spans="1:113">
      <c r="A33" s="304" t="s">
        <v>671</v>
      </c>
      <c r="B33" s="306">
        <v>1</v>
      </c>
      <c r="AD33" s="304" t="s">
        <v>721</v>
      </c>
      <c r="AE33" s="306">
        <v>0</v>
      </c>
      <c r="AF33" s="306">
        <v>0</v>
      </c>
      <c r="AG33" s="306">
        <v>0</v>
      </c>
      <c r="AH33" s="306">
        <v>0</v>
      </c>
      <c r="AI33" s="306">
        <v>0</v>
      </c>
      <c r="AJ33" s="306">
        <v>0</v>
      </c>
      <c r="AK33" s="306">
        <v>0</v>
      </c>
      <c r="AL33" s="306">
        <v>0</v>
      </c>
      <c r="AM33" s="306">
        <v>0</v>
      </c>
      <c r="AN33" s="306">
        <v>0</v>
      </c>
      <c r="AO33" s="306">
        <v>0</v>
      </c>
      <c r="AP33" s="306">
        <v>0</v>
      </c>
      <c r="AQ33" s="306">
        <v>0</v>
      </c>
      <c r="AR33" s="306">
        <v>0</v>
      </c>
      <c r="AS33" s="306">
        <v>0</v>
      </c>
      <c r="AT33" s="306">
        <v>0</v>
      </c>
      <c r="AU33" s="306">
        <v>0</v>
      </c>
      <c r="AV33" s="306">
        <v>0</v>
      </c>
      <c r="AW33" s="306">
        <v>0</v>
      </c>
      <c r="AX33" s="306">
        <v>0</v>
      </c>
      <c r="AY33" s="306">
        <v>0</v>
      </c>
      <c r="AZ33" s="306">
        <v>0</v>
      </c>
      <c r="BA33" s="306">
        <v>0</v>
      </c>
      <c r="BB33" s="306">
        <v>0</v>
      </c>
      <c r="BC33" s="306">
        <v>0</v>
      </c>
      <c r="BD33" s="306">
        <v>0</v>
      </c>
      <c r="BE33" s="306">
        <v>0</v>
      </c>
      <c r="BF33" s="306">
        <v>0</v>
      </c>
      <c r="BG33" s="306">
        <v>0</v>
      </c>
      <c r="BH33" s="306">
        <v>0</v>
      </c>
      <c r="BI33" s="306">
        <v>0</v>
      </c>
      <c r="BJ33" s="306">
        <v>0</v>
      </c>
      <c r="BK33" s="306">
        <v>0</v>
      </c>
      <c r="BL33" s="306">
        <v>0</v>
      </c>
      <c r="BM33" s="306">
        <v>0</v>
      </c>
      <c r="BN33" s="306">
        <v>0</v>
      </c>
      <c r="BO33" s="306">
        <v>0</v>
      </c>
      <c r="BP33" s="306">
        <v>0</v>
      </c>
      <c r="BQ33" s="306">
        <v>0</v>
      </c>
      <c r="BR33" s="306">
        <v>0</v>
      </c>
      <c r="BU33" s="304" t="s">
        <v>721</v>
      </c>
      <c r="BV33" s="306">
        <v>0</v>
      </c>
      <c r="BW33" s="306">
        <v>0</v>
      </c>
      <c r="BX33" s="306">
        <v>0</v>
      </c>
      <c r="BY33" s="306">
        <v>0</v>
      </c>
      <c r="BZ33" s="306">
        <v>0</v>
      </c>
      <c r="CA33" s="306">
        <v>0</v>
      </c>
      <c r="CB33" s="306">
        <v>0</v>
      </c>
      <c r="CC33" s="306">
        <v>0</v>
      </c>
      <c r="CD33" s="306">
        <v>0</v>
      </c>
      <c r="CE33" s="306">
        <v>0</v>
      </c>
      <c r="CF33" s="306">
        <v>0</v>
      </c>
      <c r="CG33" s="306">
        <v>0</v>
      </c>
      <c r="CH33" s="306">
        <v>0</v>
      </c>
      <c r="CI33" s="306">
        <v>0</v>
      </c>
      <c r="CJ33" s="306">
        <v>0</v>
      </c>
      <c r="CK33" s="306">
        <v>0</v>
      </c>
      <c r="CL33" s="306">
        <v>0</v>
      </c>
      <c r="CM33" s="306">
        <v>0</v>
      </c>
      <c r="CN33" s="306">
        <v>0</v>
      </c>
      <c r="CO33" s="306">
        <v>0</v>
      </c>
      <c r="CP33" s="306">
        <v>0</v>
      </c>
      <c r="CQ33" s="306">
        <v>0</v>
      </c>
      <c r="CR33" s="306">
        <v>0</v>
      </c>
      <c r="CS33" s="306">
        <v>0</v>
      </c>
      <c r="CT33" s="306">
        <v>0</v>
      </c>
      <c r="CU33" s="306">
        <v>0</v>
      </c>
      <c r="CV33" s="306">
        <v>0</v>
      </c>
      <c r="CW33" s="306">
        <v>0</v>
      </c>
      <c r="CX33" s="306">
        <v>0</v>
      </c>
      <c r="CY33" s="306">
        <v>0</v>
      </c>
      <c r="CZ33" s="306">
        <v>0</v>
      </c>
      <c r="DA33" s="306">
        <v>0</v>
      </c>
      <c r="DB33" s="306">
        <v>0</v>
      </c>
      <c r="DC33" s="306">
        <v>0</v>
      </c>
      <c r="DD33" s="306">
        <v>0</v>
      </c>
      <c r="DE33" s="306">
        <v>0</v>
      </c>
      <c r="DF33" s="306">
        <v>0</v>
      </c>
      <c r="DG33" s="306">
        <v>0</v>
      </c>
      <c r="DH33" s="306">
        <v>0</v>
      </c>
      <c r="DI33" s="306">
        <v>0</v>
      </c>
    </row>
    <row r="34" spans="1:113">
      <c r="A34" s="304" t="s">
        <v>714</v>
      </c>
      <c r="B34" s="306">
        <v>1</v>
      </c>
      <c r="AD34" s="304" t="s">
        <v>722</v>
      </c>
      <c r="AE34" s="306">
        <v>0</v>
      </c>
      <c r="AF34" s="306">
        <v>0</v>
      </c>
      <c r="AG34" s="306">
        <v>0</v>
      </c>
      <c r="AH34" s="306">
        <v>0</v>
      </c>
      <c r="AI34" s="306">
        <v>0</v>
      </c>
      <c r="AJ34" s="306">
        <v>0</v>
      </c>
      <c r="AK34" s="306">
        <v>0</v>
      </c>
      <c r="AL34" s="306">
        <v>0</v>
      </c>
      <c r="AM34" s="306">
        <v>0</v>
      </c>
      <c r="AN34" s="306">
        <v>0</v>
      </c>
      <c r="AO34" s="306">
        <v>0</v>
      </c>
      <c r="AP34" s="306">
        <v>0</v>
      </c>
      <c r="AQ34" s="306">
        <v>0</v>
      </c>
      <c r="AR34" s="306">
        <v>0</v>
      </c>
      <c r="AS34" s="306">
        <v>0</v>
      </c>
      <c r="AT34" s="306">
        <v>0</v>
      </c>
      <c r="AU34" s="306">
        <v>0</v>
      </c>
      <c r="AV34" s="306">
        <v>0</v>
      </c>
      <c r="AW34" s="306">
        <v>0</v>
      </c>
      <c r="AX34" s="306">
        <v>0</v>
      </c>
      <c r="AY34" s="306">
        <v>0</v>
      </c>
      <c r="AZ34" s="306">
        <v>0</v>
      </c>
      <c r="BA34" s="306">
        <v>0</v>
      </c>
      <c r="BB34" s="306">
        <v>0</v>
      </c>
      <c r="BC34" s="306">
        <v>0</v>
      </c>
      <c r="BD34" s="306">
        <v>0</v>
      </c>
      <c r="BE34" s="306">
        <v>0</v>
      </c>
      <c r="BF34" s="306">
        <v>0</v>
      </c>
      <c r="BG34" s="306">
        <v>0</v>
      </c>
      <c r="BH34" s="306">
        <v>0</v>
      </c>
      <c r="BI34" s="306">
        <v>0</v>
      </c>
      <c r="BJ34" s="306">
        <v>0</v>
      </c>
      <c r="BK34" s="306">
        <v>0</v>
      </c>
      <c r="BL34" s="306">
        <v>0</v>
      </c>
      <c r="BM34" s="306">
        <v>0</v>
      </c>
      <c r="BN34" s="306">
        <v>0</v>
      </c>
      <c r="BO34" s="306">
        <v>0</v>
      </c>
      <c r="BP34" s="306">
        <v>0</v>
      </c>
      <c r="BQ34" s="306">
        <v>0</v>
      </c>
      <c r="BR34" s="306">
        <v>0</v>
      </c>
      <c r="BU34" s="304" t="s">
        <v>722</v>
      </c>
      <c r="BV34" s="306">
        <v>0</v>
      </c>
      <c r="BW34" s="306">
        <v>0</v>
      </c>
      <c r="BX34" s="306">
        <v>0</v>
      </c>
      <c r="BY34" s="306">
        <v>0</v>
      </c>
      <c r="BZ34" s="306">
        <v>0</v>
      </c>
      <c r="CA34" s="306">
        <v>0</v>
      </c>
      <c r="CB34" s="306">
        <v>0</v>
      </c>
      <c r="CC34" s="306">
        <v>0</v>
      </c>
      <c r="CD34" s="306">
        <v>0</v>
      </c>
      <c r="CE34" s="306">
        <v>0</v>
      </c>
      <c r="CF34" s="306">
        <v>0</v>
      </c>
      <c r="CG34" s="306">
        <v>0</v>
      </c>
      <c r="CH34" s="306">
        <v>0</v>
      </c>
      <c r="CI34" s="306">
        <v>0</v>
      </c>
      <c r="CJ34" s="306">
        <v>0</v>
      </c>
      <c r="CK34" s="306">
        <v>0</v>
      </c>
      <c r="CL34" s="306">
        <v>0</v>
      </c>
      <c r="CM34" s="306">
        <v>0</v>
      </c>
      <c r="CN34" s="306">
        <v>0</v>
      </c>
      <c r="CO34" s="306">
        <v>0</v>
      </c>
      <c r="CP34" s="306">
        <v>0</v>
      </c>
      <c r="CQ34" s="306">
        <v>0</v>
      </c>
      <c r="CR34" s="306">
        <v>0</v>
      </c>
      <c r="CS34" s="306">
        <v>0</v>
      </c>
      <c r="CT34" s="306">
        <v>0</v>
      </c>
      <c r="CU34" s="306">
        <v>0</v>
      </c>
      <c r="CV34" s="306">
        <v>0</v>
      </c>
      <c r="CW34" s="306">
        <v>0</v>
      </c>
      <c r="CX34" s="306">
        <v>0</v>
      </c>
      <c r="CY34" s="306">
        <v>0</v>
      </c>
      <c r="CZ34" s="306">
        <v>0</v>
      </c>
      <c r="DA34" s="306">
        <v>0</v>
      </c>
      <c r="DB34" s="306">
        <v>0</v>
      </c>
      <c r="DC34" s="306">
        <v>0</v>
      </c>
      <c r="DD34" s="306">
        <v>0</v>
      </c>
      <c r="DE34" s="306">
        <v>0</v>
      </c>
      <c r="DF34" s="306">
        <v>0</v>
      </c>
      <c r="DG34" s="306">
        <v>0</v>
      </c>
      <c r="DH34" s="306">
        <v>0</v>
      </c>
      <c r="DI34" s="306">
        <v>0</v>
      </c>
    </row>
    <row r="35" spans="1:113">
      <c r="A35" s="304" t="s">
        <v>758</v>
      </c>
      <c r="B35" s="306">
        <v>0</v>
      </c>
      <c r="AD35" s="304" t="s">
        <v>723</v>
      </c>
      <c r="AE35" s="306">
        <v>0</v>
      </c>
      <c r="AF35" s="306">
        <v>0</v>
      </c>
      <c r="AG35" s="306">
        <v>0</v>
      </c>
      <c r="AH35" s="306">
        <v>0</v>
      </c>
      <c r="AI35" s="306">
        <v>0</v>
      </c>
      <c r="AJ35" s="306">
        <v>0</v>
      </c>
      <c r="AK35" s="306">
        <v>0</v>
      </c>
      <c r="AL35" s="306">
        <v>0</v>
      </c>
      <c r="AM35" s="306">
        <v>0</v>
      </c>
      <c r="AN35" s="306">
        <v>0</v>
      </c>
      <c r="AO35" s="306">
        <v>0</v>
      </c>
      <c r="AP35" s="306">
        <v>0</v>
      </c>
      <c r="AQ35" s="306">
        <v>0</v>
      </c>
      <c r="AR35" s="306">
        <v>0</v>
      </c>
      <c r="AS35" s="306">
        <v>0</v>
      </c>
      <c r="AT35" s="306">
        <v>0</v>
      </c>
      <c r="AU35" s="306">
        <v>0</v>
      </c>
      <c r="AV35" s="306">
        <v>0</v>
      </c>
      <c r="AW35" s="306">
        <v>0</v>
      </c>
      <c r="AX35" s="306">
        <v>0</v>
      </c>
      <c r="AY35" s="306">
        <v>0</v>
      </c>
      <c r="AZ35" s="306">
        <v>0</v>
      </c>
      <c r="BA35" s="306">
        <v>0</v>
      </c>
      <c r="BB35" s="306">
        <v>0</v>
      </c>
      <c r="BC35" s="306">
        <v>0</v>
      </c>
      <c r="BD35" s="306">
        <v>0</v>
      </c>
      <c r="BE35" s="306">
        <v>0</v>
      </c>
      <c r="BF35" s="306">
        <v>0</v>
      </c>
      <c r="BG35" s="306">
        <v>0</v>
      </c>
      <c r="BH35" s="306">
        <v>0</v>
      </c>
      <c r="BI35" s="306">
        <v>0</v>
      </c>
      <c r="BJ35" s="306">
        <v>0</v>
      </c>
      <c r="BK35" s="306">
        <v>0</v>
      </c>
      <c r="BL35" s="306">
        <v>0</v>
      </c>
      <c r="BM35" s="306">
        <v>0</v>
      </c>
      <c r="BN35" s="306">
        <v>0</v>
      </c>
      <c r="BO35" s="306">
        <v>0</v>
      </c>
      <c r="BP35" s="306">
        <v>0</v>
      </c>
      <c r="BQ35" s="306">
        <v>0</v>
      </c>
      <c r="BR35" s="306">
        <v>0</v>
      </c>
      <c r="BU35" s="304" t="s">
        <v>723</v>
      </c>
      <c r="BV35" s="306">
        <v>0</v>
      </c>
      <c r="BW35" s="306">
        <v>0</v>
      </c>
      <c r="BX35" s="306">
        <v>0</v>
      </c>
      <c r="BY35" s="306">
        <v>0</v>
      </c>
      <c r="BZ35" s="306">
        <v>0</v>
      </c>
      <c r="CA35" s="306">
        <v>0</v>
      </c>
      <c r="CB35" s="306">
        <v>0</v>
      </c>
      <c r="CC35" s="306">
        <v>0</v>
      </c>
      <c r="CD35" s="306">
        <v>0</v>
      </c>
      <c r="CE35" s="306">
        <v>0</v>
      </c>
      <c r="CF35" s="306">
        <v>0</v>
      </c>
      <c r="CG35" s="306">
        <v>0</v>
      </c>
      <c r="CH35" s="306">
        <v>0</v>
      </c>
      <c r="CI35" s="306">
        <v>0</v>
      </c>
      <c r="CJ35" s="306">
        <v>0</v>
      </c>
      <c r="CK35" s="306">
        <v>0</v>
      </c>
      <c r="CL35" s="306">
        <v>0</v>
      </c>
      <c r="CM35" s="306">
        <v>0</v>
      </c>
      <c r="CN35" s="306">
        <v>0</v>
      </c>
      <c r="CO35" s="306">
        <v>0</v>
      </c>
      <c r="CP35" s="306">
        <v>0</v>
      </c>
      <c r="CQ35" s="306">
        <v>0</v>
      </c>
      <c r="CR35" s="306">
        <v>0</v>
      </c>
      <c r="CS35" s="306">
        <v>0</v>
      </c>
      <c r="CT35" s="306">
        <v>0</v>
      </c>
      <c r="CU35" s="306">
        <v>0</v>
      </c>
      <c r="CV35" s="306">
        <v>0</v>
      </c>
      <c r="CW35" s="306">
        <v>0</v>
      </c>
      <c r="CX35" s="306">
        <v>0</v>
      </c>
      <c r="CY35" s="306">
        <v>0</v>
      </c>
      <c r="CZ35" s="306">
        <v>0</v>
      </c>
      <c r="DA35" s="306">
        <v>0</v>
      </c>
      <c r="DB35" s="306">
        <v>0</v>
      </c>
      <c r="DC35" s="306">
        <v>0</v>
      </c>
      <c r="DD35" s="306">
        <v>0</v>
      </c>
      <c r="DE35" s="306">
        <v>0</v>
      </c>
      <c r="DF35" s="306">
        <v>0</v>
      </c>
      <c r="DG35" s="306">
        <v>0</v>
      </c>
      <c r="DH35" s="306">
        <v>0</v>
      </c>
      <c r="DI35" s="306">
        <v>0</v>
      </c>
    </row>
    <row r="36" spans="1:113">
      <c r="A36" s="304" t="s">
        <v>715</v>
      </c>
      <c r="B36" s="306">
        <v>1</v>
      </c>
      <c r="AD36" s="304" t="s">
        <v>724</v>
      </c>
      <c r="AE36" s="306">
        <v>0</v>
      </c>
      <c r="AF36" s="306">
        <v>0</v>
      </c>
      <c r="AG36" s="306">
        <v>0</v>
      </c>
      <c r="AH36" s="306">
        <v>0</v>
      </c>
      <c r="AI36" s="306">
        <v>0</v>
      </c>
      <c r="AJ36" s="306">
        <v>0</v>
      </c>
      <c r="AK36" s="306">
        <v>0</v>
      </c>
      <c r="AL36" s="306">
        <v>0</v>
      </c>
      <c r="AM36" s="306">
        <v>0</v>
      </c>
      <c r="AN36" s="306">
        <v>0</v>
      </c>
      <c r="AO36" s="306">
        <v>0</v>
      </c>
      <c r="AP36" s="306">
        <v>0</v>
      </c>
      <c r="AQ36" s="306">
        <v>0</v>
      </c>
      <c r="AR36" s="306">
        <v>0</v>
      </c>
      <c r="AS36" s="306">
        <v>0</v>
      </c>
      <c r="AT36" s="306">
        <v>0</v>
      </c>
      <c r="AU36" s="306">
        <v>0</v>
      </c>
      <c r="AV36" s="306">
        <v>0</v>
      </c>
      <c r="AW36" s="306">
        <v>0</v>
      </c>
      <c r="AX36" s="306">
        <v>0</v>
      </c>
      <c r="AY36" s="306">
        <v>0</v>
      </c>
      <c r="AZ36" s="306">
        <v>0</v>
      </c>
      <c r="BA36" s="306">
        <v>0</v>
      </c>
      <c r="BB36" s="306">
        <v>0</v>
      </c>
      <c r="BC36" s="306">
        <v>0</v>
      </c>
      <c r="BD36" s="306">
        <v>0</v>
      </c>
      <c r="BE36" s="306">
        <v>0</v>
      </c>
      <c r="BF36" s="306">
        <v>0</v>
      </c>
      <c r="BG36" s="306">
        <v>4306.0802326205903</v>
      </c>
      <c r="BH36" s="306">
        <v>0</v>
      </c>
      <c r="BI36" s="306">
        <v>0</v>
      </c>
      <c r="BJ36" s="306">
        <v>0</v>
      </c>
      <c r="BK36" s="306">
        <v>0</v>
      </c>
      <c r="BL36" s="306">
        <v>0</v>
      </c>
      <c r="BM36" s="306">
        <v>0</v>
      </c>
      <c r="BN36" s="306">
        <v>0</v>
      </c>
      <c r="BO36" s="306">
        <v>0</v>
      </c>
      <c r="BP36" s="306">
        <v>0</v>
      </c>
      <c r="BQ36" s="306">
        <v>0</v>
      </c>
      <c r="BR36" s="306">
        <v>0</v>
      </c>
      <c r="BU36" s="304" t="s">
        <v>724</v>
      </c>
      <c r="BV36" s="306">
        <v>0</v>
      </c>
      <c r="BW36" s="306">
        <v>0</v>
      </c>
      <c r="BX36" s="306">
        <v>0</v>
      </c>
      <c r="BY36" s="306">
        <v>0</v>
      </c>
      <c r="BZ36" s="306">
        <v>0</v>
      </c>
      <c r="CA36" s="306">
        <v>0</v>
      </c>
      <c r="CB36" s="306">
        <v>0</v>
      </c>
      <c r="CC36" s="306">
        <v>0</v>
      </c>
      <c r="CD36" s="306">
        <v>0</v>
      </c>
      <c r="CE36" s="306">
        <v>0</v>
      </c>
      <c r="CF36" s="306">
        <v>0</v>
      </c>
      <c r="CG36" s="306">
        <v>0</v>
      </c>
      <c r="CH36" s="306">
        <v>0</v>
      </c>
      <c r="CI36" s="306">
        <v>0</v>
      </c>
      <c r="CJ36" s="306">
        <v>0</v>
      </c>
      <c r="CK36" s="306">
        <v>0</v>
      </c>
      <c r="CL36" s="306">
        <v>0</v>
      </c>
      <c r="CM36" s="306">
        <v>0</v>
      </c>
      <c r="CN36" s="306">
        <v>0</v>
      </c>
      <c r="CO36" s="306">
        <v>0</v>
      </c>
      <c r="CP36" s="306">
        <v>0</v>
      </c>
      <c r="CQ36" s="306">
        <v>0</v>
      </c>
      <c r="CR36" s="306">
        <v>0</v>
      </c>
      <c r="CS36" s="306">
        <v>0</v>
      </c>
      <c r="CT36" s="306">
        <v>0</v>
      </c>
      <c r="CU36" s="306">
        <v>0</v>
      </c>
      <c r="CV36" s="306">
        <v>0</v>
      </c>
      <c r="CW36" s="306">
        <v>0</v>
      </c>
      <c r="CX36" s="306">
        <v>1</v>
      </c>
      <c r="CY36" s="306">
        <v>0</v>
      </c>
      <c r="CZ36" s="306">
        <v>0</v>
      </c>
      <c r="DA36" s="306">
        <v>0</v>
      </c>
      <c r="DB36" s="306">
        <v>0</v>
      </c>
      <c r="DC36" s="306">
        <v>0</v>
      </c>
      <c r="DD36" s="306">
        <v>0</v>
      </c>
      <c r="DE36" s="306">
        <v>0</v>
      </c>
      <c r="DF36" s="306">
        <v>0</v>
      </c>
      <c r="DG36" s="306">
        <v>0</v>
      </c>
      <c r="DH36" s="306">
        <v>0</v>
      </c>
      <c r="DI36" s="306">
        <v>0</v>
      </c>
    </row>
    <row r="37" spans="1:113">
      <c r="A37" s="304" t="s">
        <v>716</v>
      </c>
      <c r="B37" s="306">
        <v>1</v>
      </c>
      <c r="AD37" s="304" t="s">
        <v>725</v>
      </c>
      <c r="AE37" s="306">
        <v>0</v>
      </c>
      <c r="AF37" s="306">
        <v>0</v>
      </c>
      <c r="AG37" s="306">
        <v>0</v>
      </c>
      <c r="AH37" s="306">
        <v>0</v>
      </c>
      <c r="AI37" s="306">
        <v>0</v>
      </c>
      <c r="AJ37" s="306">
        <v>0</v>
      </c>
      <c r="AK37" s="306">
        <v>0</v>
      </c>
      <c r="AL37" s="306">
        <v>0</v>
      </c>
      <c r="AM37" s="306">
        <v>0</v>
      </c>
      <c r="AN37" s="306">
        <v>0</v>
      </c>
      <c r="AO37" s="306">
        <v>0</v>
      </c>
      <c r="AP37" s="306">
        <v>0</v>
      </c>
      <c r="AQ37" s="306">
        <v>0</v>
      </c>
      <c r="AR37" s="306">
        <v>0</v>
      </c>
      <c r="AS37" s="306">
        <v>0</v>
      </c>
      <c r="AT37" s="306">
        <v>0</v>
      </c>
      <c r="AU37" s="306">
        <v>0</v>
      </c>
      <c r="AV37" s="306">
        <v>0</v>
      </c>
      <c r="AW37" s="306">
        <v>0</v>
      </c>
      <c r="AX37" s="306">
        <v>0</v>
      </c>
      <c r="AY37" s="306">
        <v>0</v>
      </c>
      <c r="AZ37" s="306">
        <v>0</v>
      </c>
      <c r="BA37" s="306">
        <v>0</v>
      </c>
      <c r="BB37" s="306">
        <v>0</v>
      </c>
      <c r="BC37" s="306">
        <v>0</v>
      </c>
      <c r="BD37" s="306">
        <v>0</v>
      </c>
      <c r="BE37" s="306">
        <v>0</v>
      </c>
      <c r="BF37" s="306">
        <v>0</v>
      </c>
      <c r="BG37" s="306">
        <v>0</v>
      </c>
      <c r="BH37" s="306">
        <v>0</v>
      </c>
      <c r="BI37" s="306">
        <v>0</v>
      </c>
      <c r="BJ37" s="306">
        <v>0</v>
      </c>
      <c r="BK37" s="306">
        <v>0</v>
      </c>
      <c r="BL37" s="306">
        <v>0</v>
      </c>
      <c r="BM37" s="306">
        <v>0</v>
      </c>
      <c r="BN37" s="306">
        <v>0</v>
      </c>
      <c r="BO37" s="306">
        <v>0</v>
      </c>
      <c r="BP37" s="306">
        <v>0</v>
      </c>
      <c r="BQ37" s="306">
        <v>0</v>
      </c>
      <c r="BR37" s="306">
        <v>0</v>
      </c>
      <c r="BU37" s="304" t="s">
        <v>725</v>
      </c>
      <c r="BV37" s="306">
        <v>0</v>
      </c>
      <c r="BW37" s="306">
        <v>0</v>
      </c>
      <c r="BX37" s="306">
        <v>0</v>
      </c>
      <c r="BY37" s="306">
        <v>0</v>
      </c>
      <c r="BZ37" s="306">
        <v>0</v>
      </c>
      <c r="CA37" s="306">
        <v>0</v>
      </c>
      <c r="CB37" s="306">
        <v>0</v>
      </c>
      <c r="CC37" s="306">
        <v>0</v>
      </c>
      <c r="CD37" s="306">
        <v>0</v>
      </c>
      <c r="CE37" s="306">
        <v>0</v>
      </c>
      <c r="CF37" s="306">
        <v>0</v>
      </c>
      <c r="CG37" s="306">
        <v>0</v>
      </c>
      <c r="CH37" s="306">
        <v>0</v>
      </c>
      <c r="CI37" s="306">
        <v>0</v>
      </c>
      <c r="CJ37" s="306">
        <v>0</v>
      </c>
      <c r="CK37" s="306">
        <v>0</v>
      </c>
      <c r="CL37" s="306">
        <v>0</v>
      </c>
      <c r="CM37" s="306">
        <v>0</v>
      </c>
      <c r="CN37" s="306">
        <v>0</v>
      </c>
      <c r="CO37" s="306">
        <v>0</v>
      </c>
      <c r="CP37" s="306">
        <v>0</v>
      </c>
      <c r="CQ37" s="306">
        <v>0</v>
      </c>
      <c r="CR37" s="306">
        <v>0</v>
      </c>
      <c r="CS37" s="306">
        <v>0</v>
      </c>
      <c r="CT37" s="306">
        <v>0</v>
      </c>
      <c r="CU37" s="306">
        <v>0</v>
      </c>
      <c r="CV37" s="306">
        <v>0</v>
      </c>
      <c r="CW37" s="306">
        <v>0</v>
      </c>
      <c r="CX37" s="306">
        <v>0</v>
      </c>
      <c r="CY37" s="306">
        <v>0</v>
      </c>
      <c r="CZ37" s="306">
        <v>0</v>
      </c>
      <c r="DA37" s="306">
        <v>0</v>
      </c>
      <c r="DB37" s="306">
        <v>0</v>
      </c>
      <c r="DC37" s="306">
        <v>0</v>
      </c>
      <c r="DD37" s="306">
        <v>0</v>
      </c>
      <c r="DE37" s="306">
        <v>0</v>
      </c>
      <c r="DF37" s="306">
        <v>0</v>
      </c>
      <c r="DG37" s="306">
        <v>0</v>
      </c>
      <c r="DH37" s="306">
        <v>0</v>
      </c>
      <c r="DI37" s="306">
        <v>0</v>
      </c>
    </row>
    <row r="38" spans="1:113">
      <c r="A38" s="304" t="s">
        <v>717</v>
      </c>
      <c r="B38" s="306">
        <v>1</v>
      </c>
      <c r="AD38" s="304" t="s">
        <v>726</v>
      </c>
      <c r="AE38" s="306">
        <v>0</v>
      </c>
      <c r="AF38" s="306">
        <v>0</v>
      </c>
      <c r="AG38" s="306">
        <v>0</v>
      </c>
      <c r="AH38" s="306">
        <v>0</v>
      </c>
      <c r="AI38" s="306">
        <v>0</v>
      </c>
      <c r="AJ38" s="306">
        <v>0</v>
      </c>
      <c r="AK38" s="306">
        <v>0</v>
      </c>
      <c r="AL38" s="306">
        <v>0</v>
      </c>
      <c r="AM38" s="306">
        <v>0</v>
      </c>
      <c r="AN38" s="306">
        <v>0</v>
      </c>
      <c r="AO38" s="306">
        <v>0</v>
      </c>
      <c r="AP38" s="306">
        <v>0</v>
      </c>
      <c r="AQ38" s="306">
        <v>0</v>
      </c>
      <c r="AR38" s="306">
        <v>0</v>
      </c>
      <c r="AS38" s="306">
        <v>0</v>
      </c>
      <c r="AT38" s="306">
        <v>0</v>
      </c>
      <c r="AU38" s="306">
        <v>0</v>
      </c>
      <c r="AV38" s="306">
        <v>0</v>
      </c>
      <c r="AW38" s="306">
        <v>0</v>
      </c>
      <c r="AX38" s="306">
        <v>0</v>
      </c>
      <c r="AY38" s="306">
        <v>0</v>
      </c>
      <c r="AZ38" s="306">
        <v>0</v>
      </c>
      <c r="BA38" s="306">
        <v>0</v>
      </c>
      <c r="BB38" s="306">
        <v>0</v>
      </c>
      <c r="BC38" s="306">
        <v>0</v>
      </c>
      <c r="BD38" s="306">
        <v>0</v>
      </c>
      <c r="BE38" s="306">
        <v>0</v>
      </c>
      <c r="BF38" s="306">
        <v>0</v>
      </c>
      <c r="BG38" s="306">
        <v>0</v>
      </c>
      <c r="BH38" s="306">
        <v>0</v>
      </c>
      <c r="BI38" s="306">
        <v>0</v>
      </c>
      <c r="BJ38" s="306">
        <v>0</v>
      </c>
      <c r="BK38" s="306">
        <v>0</v>
      </c>
      <c r="BL38" s="306">
        <v>0</v>
      </c>
      <c r="BM38" s="306">
        <v>0</v>
      </c>
      <c r="BN38" s="306">
        <v>0</v>
      </c>
      <c r="BO38" s="306">
        <v>0</v>
      </c>
      <c r="BP38" s="306">
        <v>0</v>
      </c>
      <c r="BQ38" s="306">
        <v>0</v>
      </c>
      <c r="BR38" s="306">
        <v>0</v>
      </c>
      <c r="BU38" s="304" t="s">
        <v>726</v>
      </c>
      <c r="BV38" s="306">
        <v>0</v>
      </c>
      <c r="BW38" s="306">
        <v>0</v>
      </c>
      <c r="BX38" s="306">
        <v>0</v>
      </c>
      <c r="BY38" s="306">
        <v>0</v>
      </c>
      <c r="BZ38" s="306">
        <v>0</v>
      </c>
      <c r="CA38" s="306">
        <v>0</v>
      </c>
      <c r="CB38" s="306">
        <v>0</v>
      </c>
      <c r="CC38" s="306">
        <v>0</v>
      </c>
      <c r="CD38" s="306">
        <v>0</v>
      </c>
      <c r="CE38" s="306">
        <v>0</v>
      </c>
      <c r="CF38" s="306">
        <v>0</v>
      </c>
      <c r="CG38" s="306">
        <v>0</v>
      </c>
      <c r="CH38" s="306">
        <v>0</v>
      </c>
      <c r="CI38" s="306">
        <v>0</v>
      </c>
      <c r="CJ38" s="306">
        <v>0</v>
      </c>
      <c r="CK38" s="306">
        <v>0</v>
      </c>
      <c r="CL38" s="306">
        <v>0</v>
      </c>
      <c r="CM38" s="306">
        <v>0</v>
      </c>
      <c r="CN38" s="306">
        <v>0</v>
      </c>
      <c r="CO38" s="306">
        <v>0</v>
      </c>
      <c r="CP38" s="306">
        <v>0</v>
      </c>
      <c r="CQ38" s="306">
        <v>0</v>
      </c>
      <c r="CR38" s="306">
        <v>0</v>
      </c>
      <c r="CS38" s="306">
        <v>0</v>
      </c>
      <c r="CT38" s="306">
        <v>0</v>
      </c>
      <c r="CU38" s="306">
        <v>0</v>
      </c>
      <c r="CV38" s="306">
        <v>0</v>
      </c>
      <c r="CW38" s="306">
        <v>0</v>
      </c>
      <c r="CX38" s="306">
        <v>0</v>
      </c>
      <c r="CY38" s="306">
        <v>0</v>
      </c>
      <c r="CZ38" s="306">
        <v>0</v>
      </c>
      <c r="DA38" s="306">
        <v>0</v>
      </c>
      <c r="DB38" s="306">
        <v>0</v>
      </c>
      <c r="DC38" s="306">
        <v>0</v>
      </c>
      <c r="DD38" s="306">
        <v>0</v>
      </c>
      <c r="DE38" s="306">
        <v>0</v>
      </c>
      <c r="DF38" s="306">
        <v>0</v>
      </c>
      <c r="DG38" s="306">
        <v>0</v>
      </c>
      <c r="DH38" s="306">
        <v>0</v>
      </c>
      <c r="DI38" s="306">
        <v>0</v>
      </c>
    </row>
    <row r="39" spans="1:113">
      <c r="A39" s="304" t="s">
        <v>718</v>
      </c>
      <c r="B39" s="306">
        <v>1</v>
      </c>
      <c r="AD39" s="304" t="s">
        <v>762</v>
      </c>
      <c r="AE39" s="306">
        <v>0</v>
      </c>
      <c r="AF39" s="306">
        <v>0</v>
      </c>
      <c r="AG39" s="306">
        <v>0</v>
      </c>
      <c r="AH39" s="306">
        <v>0</v>
      </c>
      <c r="AI39" s="306">
        <v>0</v>
      </c>
      <c r="AJ39" s="306">
        <v>0</v>
      </c>
      <c r="AK39" s="306">
        <v>0</v>
      </c>
      <c r="AL39" s="306">
        <v>0</v>
      </c>
      <c r="AM39" s="306">
        <v>0</v>
      </c>
      <c r="AN39" s="306">
        <v>0</v>
      </c>
      <c r="AO39" s="306">
        <v>0</v>
      </c>
      <c r="AP39" s="306">
        <v>0</v>
      </c>
      <c r="AQ39" s="306">
        <v>0</v>
      </c>
      <c r="AR39" s="306">
        <v>0</v>
      </c>
      <c r="AS39" s="306">
        <v>0</v>
      </c>
      <c r="AT39" s="306">
        <v>0</v>
      </c>
      <c r="AU39" s="306">
        <v>0</v>
      </c>
      <c r="AV39" s="306">
        <v>0</v>
      </c>
      <c r="AW39" s="306">
        <v>0</v>
      </c>
      <c r="AX39" s="306">
        <v>0</v>
      </c>
      <c r="AY39" s="306">
        <v>0</v>
      </c>
      <c r="AZ39" s="306">
        <v>0</v>
      </c>
      <c r="BA39" s="306">
        <v>0</v>
      </c>
      <c r="BB39" s="306">
        <v>0</v>
      </c>
      <c r="BC39" s="306">
        <v>0</v>
      </c>
      <c r="BD39" s="306">
        <v>0</v>
      </c>
      <c r="BE39" s="306">
        <v>0</v>
      </c>
      <c r="BF39" s="306">
        <v>0</v>
      </c>
      <c r="BG39" s="306">
        <v>0</v>
      </c>
      <c r="BH39" s="306">
        <v>0</v>
      </c>
      <c r="BI39" s="306">
        <v>0</v>
      </c>
      <c r="BJ39" s="306">
        <v>0</v>
      </c>
      <c r="BK39" s="306">
        <v>0</v>
      </c>
      <c r="BL39" s="306">
        <v>0</v>
      </c>
      <c r="BM39" s="306">
        <v>0</v>
      </c>
      <c r="BN39" s="306">
        <v>0</v>
      </c>
      <c r="BO39" s="306">
        <v>0</v>
      </c>
      <c r="BP39" s="306">
        <v>0</v>
      </c>
      <c r="BQ39" s="306">
        <v>0</v>
      </c>
      <c r="BR39" s="306">
        <v>0</v>
      </c>
      <c r="BU39" s="304" t="s">
        <v>762</v>
      </c>
      <c r="BV39" s="306">
        <v>0</v>
      </c>
      <c r="BW39" s="306">
        <v>0</v>
      </c>
      <c r="BX39" s="306">
        <v>0</v>
      </c>
      <c r="BY39" s="306">
        <v>0</v>
      </c>
      <c r="BZ39" s="306">
        <v>0</v>
      </c>
      <c r="CA39" s="306">
        <v>0</v>
      </c>
      <c r="CB39" s="306">
        <v>0</v>
      </c>
      <c r="CC39" s="306">
        <v>0</v>
      </c>
      <c r="CD39" s="306">
        <v>0</v>
      </c>
      <c r="CE39" s="306">
        <v>0</v>
      </c>
      <c r="CF39" s="306">
        <v>0</v>
      </c>
      <c r="CG39" s="306">
        <v>0</v>
      </c>
      <c r="CH39" s="306">
        <v>0</v>
      </c>
      <c r="CI39" s="306">
        <v>0</v>
      </c>
      <c r="CJ39" s="306">
        <v>0</v>
      </c>
      <c r="CK39" s="306">
        <v>0</v>
      </c>
      <c r="CL39" s="306">
        <v>0</v>
      </c>
      <c r="CM39" s="306">
        <v>0</v>
      </c>
      <c r="CN39" s="306">
        <v>0</v>
      </c>
      <c r="CO39" s="306">
        <v>0</v>
      </c>
      <c r="CP39" s="306">
        <v>0</v>
      </c>
      <c r="CQ39" s="306">
        <v>0</v>
      </c>
      <c r="CR39" s="306">
        <v>0</v>
      </c>
      <c r="CS39" s="306">
        <v>0</v>
      </c>
      <c r="CT39" s="306">
        <v>0</v>
      </c>
      <c r="CU39" s="306">
        <v>0</v>
      </c>
      <c r="CV39" s="306">
        <v>0</v>
      </c>
      <c r="CW39" s="306">
        <v>0</v>
      </c>
      <c r="CX39" s="306">
        <v>0</v>
      </c>
      <c r="CY39" s="306">
        <v>0</v>
      </c>
      <c r="CZ39" s="306">
        <v>0</v>
      </c>
      <c r="DA39" s="306">
        <v>0</v>
      </c>
      <c r="DB39" s="306">
        <v>0</v>
      </c>
      <c r="DC39" s="306">
        <v>0</v>
      </c>
      <c r="DD39" s="306">
        <v>0</v>
      </c>
      <c r="DE39" s="306">
        <v>0</v>
      </c>
      <c r="DF39" s="306">
        <v>0</v>
      </c>
      <c r="DG39" s="306">
        <v>0</v>
      </c>
      <c r="DH39" s="306">
        <v>0</v>
      </c>
      <c r="DI39" s="306">
        <v>0</v>
      </c>
    </row>
    <row r="40" spans="1:113">
      <c r="A40" s="304" t="s">
        <v>759</v>
      </c>
      <c r="B40" s="306">
        <v>0</v>
      </c>
      <c r="AD40" s="304" t="s">
        <v>727</v>
      </c>
      <c r="AE40" s="306">
        <v>0</v>
      </c>
      <c r="AF40" s="306">
        <v>0</v>
      </c>
      <c r="AG40" s="306">
        <v>0</v>
      </c>
      <c r="AH40" s="306">
        <v>0</v>
      </c>
      <c r="AI40" s="306">
        <v>0</v>
      </c>
      <c r="AJ40" s="306">
        <v>0</v>
      </c>
      <c r="AK40" s="306">
        <v>0</v>
      </c>
      <c r="AL40" s="306">
        <v>0</v>
      </c>
      <c r="AM40" s="306">
        <v>0</v>
      </c>
      <c r="AN40" s="306">
        <v>0</v>
      </c>
      <c r="AO40" s="306">
        <v>0</v>
      </c>
      <c r="AP40" s="306">
        <v>0</v>
      </c>
      <c r="AQ40" s="306">
        <v>0</v>
      </c>
      <c r="AR40" s="306">
        <v>0</v>
      </c>
      <c r="AS40" s="306">
        <v>0</v>
      </c>
      <c r="AT40" s="306">
        <v>0</v>
      </c>
      <c r="AU40" s="306">
        <v>0</v>
      </c>
      <c r="AV40" s="306">
        <v>0</v>
      </c>
      <c r="AW40" s="306">
        <v>0</v>
      </c>
      <c r="AX40" s="306">
        <v>0</v>
      </c>
      <c r="AY40" s="306">
        <v>0</v>
      </c>
      <c r="AZ40" s="306">
        <v>0</v>
      </c>
      <c r="BA40" s="306">
        <v>0</v>
      </c>
      <c r="BB40" s="306">
        <v>0</v>
      </c>
      <c r="BC40" s="306">
        <v>0</v>
      </c>
      <c r="BD40" s="306">
        <v>0</v>
      </c>
      <c r="BE40" s="306">
        <v>0</v>
      </c>
      <c r="BF40" s="306">
        <v>0</v>
      </c>
      <c r="BG40" s="306">
        <v>0</v>
      </c>
      <c r="BH40" s="306">
        <v>0</v>
      </c>
      <c r="BI40" s="306">
        <v>0</v>
      </c>
      <c r="BJ40" s="306">
        <v>0</v>
      </c>
      <c r="BK40" s="306">
        <v>0</v>
      </c>
      <c r="BL40" s="306">
        <v>0</v>
      </c>
      <c r="BM40" s="306">
        <v>0</v>
      </c>
      <c r="BN40" s="306">
        <v>0</v>
      </c>
      <c r="BO40" s="306">
        <v>0</v>
      </c>
      <c r="BP40" s="306">
        <v>0</v>
      </c>
      <c r="BQ40" s="306">
        <v>0</v>
      </c>
      <c r="BR40" s="306">
        <v>0</v>
      </c>
      <c r="BU40" s="304" t="s">
        <v>727</v>
      </c>
      <c r="BV40" s="306">
        <v>0</v>
      </c>
      <c r="BW40" s="306">
        <v>0</v>
      </c>
      <c r="BX40" s="306">
        <v>0</v>
      </c>
      <c r="BY40" s="306">
        <v>0</v>
      </c>
      <c r="BZ40" s="306">
        <v>0</v>
      </c>
      <c r="CA40" s="306">
        <v>0</v>
      </c>
      <c r="CB40" s="306">
        <v>0</v>
      </c>
      <c r="CC40" s="306">
        <v>0</v>
      </c>
      <c r="CD40" s="306">
        <v>0</v>
      </c>
      <c r="CE40" s="306">
        <v>0</v>
      </c>
      <c r="CF40" s="306">
        <v>0</v>
      </c>
      <c r="CG40" s="306">
        <v>0</v>
      </c>
      <c r="CH40" s="306">
        <v>0</v>
      </c>
      <c r="CI40" s="306">
        <v>0</v>
      </c>
      <c r="CJ40" s="306">
        <v>0</v>
      </c>
      <c r="CK40" s="306">
        <v>0</v>
      </c>
      <c r="CL40" s="306">
        <v>0</v>
      </c>
      <c r="CM40" s="306">
        <v>0</v>
      </c>
      <c r="CN40" s="306">
        <v>0</v>
      </c>
      <c r="CO40" s="306">
        <v>0</v>
      </c>
      <c r="CP40" s="306">
        <v>0</v>
      </c>
      <c r="CQ40" s="306">
        <v>0</v>
      </c>
      <c r="CR40" s="306">
        <v>0</v>
      </c>
      <c r="CS40" s="306">
        <v>0</v>
      </c>
      <c r="CT40" s="306">
        <v>0</v>
      </c>
      <c r="CU40" s="306">
        <v>0</v>
      </c>
      <c r="CV40" s="306">
        <v>0</v>
      </c>
      <c r="CW40" s="306">
        <v>0</v>
      </c>
      <c r="CX40" s="306">
        <v>0</v>
      </c>
      <c r="CY40" s="306">
        <v>0</v>
      </c>
      <c r="CZ40" s="306">
        <v>0</v>
      </c>
      <c r="DA40" s="306">
        <v>0</v>
      </c>
      <c r="DB40" s="306">
        <v>0</v>
      </c>
      <c r="DC40" s="306">
        <v>0</v>
      </c>
      <c r="DD40" s="306">
        <v>0</v>
      </c>
      <c r="DE40" s="306">
        <v>0</v>
      </c>
      <c r="DF40" s="306">
        <v>0</v>
      </c>
      <c r="DG40" s="306">
        <v>0</v>
      </c>
      <c r="DH40" s="306">
        <v>0</v>
      </c>
      <c r="DI40" s="306">
        <v>0</v>
      </c>
    </row>
    <row r="41" spans="1:113">
      <c r="A41" s="304" t="s">
        <v>760</v>
      </c>
      <c r="B41" s="306">
        <v>0</v>
      </c>
      <c r="AD41" s="304" t="s">
        <v>728</v>
      </c>
      <c r="AE41" s="306">
        <v>0</v>
      </c>
      <c r="AF41" s="306">
        <v>0</v>
      </c>
      <c r="AG41" s="306">
        <v>0</v>
      </c>
      <c r="AH41" s="306">
        <v>0</v>
      </c>
      <c r="AI41" s="306">
        <v>0</v>
      </c>
      <c r="AJ41" s="306">
        <v>0</v>
      </c>
      <c r="AK41" s="306">
        <v>0</v>
      </c>
      <c r="AL41" s="306">
        <v>0</v>
      </c>
      <c r="AM41" s="306">
        <v>0</v>
      </c>
      <c r="AN41" s="306">
        <v>0</v>
      </c>
      <c r="AO41" s="306">
        <v>0</v>
      </c>
      <c r="AP41" s="306">
        <v>0</v>
      </c>
      <c r="AQ41" s="306">
        <v>0</v>
      </c>
      <c r="AR41" s="306">
        <v>0</v>
      </c>
      <c r="AS41" s="306">
        <v>0</v>
      </c>
      <c r="AT41" s="306">
        <v>0</v>
      </c>
      <c r="AU41" s="306">
        <v>0</v>
      </c>
      <c r="AV41" s="306">
        <v>0</v>
      </c>
      <c r="AW41" s="306">
        <v>0</v>
      </c>
      <c r="AX41" s="306">
        <v>0</v>
      </c>
      <c r="AY41" s="306">
        <v>0</v>
      </c>
      <c r="AZ41" s="306">
        <v>0</v>
      </c>
      <c r="BA41" s="306">
        <v>0</v>
      </c>
      <c r="BB41" s="306">
        <v>0</v>
      </c>
      <c r="BC41" s="306">
        <v>0</v>
      </c>
      <c r="BD41" s="306">
        <v>0</v>
      </c>
      <c r="BE41" s="306">
        <v>0</v>
      </c>
      <c r="BF41" s="306">
        <v>0</v>
      </c>
      <c r="BG41" s="306">
        <v>0</v>
      </c>
      <c r="BH41" s="306">
        <v>0</v>
      </c>
      <c r="BI41" s="306">
        <v>0</v>
      </c>
      <c r="BJ41" s="306">
        <v>0</v>
      </c>
      <c r="BK41" s="306">
        <v>0</v>
      </c>
      <c r="BL41" s="306">
        <v>0</v>
      </c>
      <c r="BM41" s="306">
        <v>0</v>
      </c>
      <c r="BN41" s="306">
        <v>0</v>
      </c>
      <c r="BO41" s="306">
        <v>0</v>
      </c>
      <c r="BP41" s="306">
        <v>0</v>
      </c>
      <c r="BQ41" s="306">
        <v>0</v>
      </c>
      <c r="BR41" s="306">
        <v>0</v>
      </c>
      <c r="BU41" s="304" t="s">
        <v>728</v>
      </c>
      <c r="BV41" s="306">
        <v>0</v>
      </c>
      <c r="BW41" s="306">
        <v>0</v>
      </c>
      <c r="BX41" s="306">
        <v>0</v>
      </c>
      <c r="BY41" s="306">
        <v>0</v>
      </c>
      <c r="BZ41" s="306">
        <v>0</v>
      </c>
      <c r="CA41" s="306">
        <v>0</v>
      </c>
      <c r="CB41" s="306">
        <v>0</v>
      </c>
      <c r="CC41" s="306">
        <v>0</v>
      </c>
      <c r="CD41" s="306">
        <v>0</v>
      </c>
      <c r="CE41" s="306">
        <v>0</v>
      </c>
      <c r="CF41" s="306">
        <v>0</v>
      </c>
      <c r="CG41" s="306">
        <v>0</v>
      </c>
      <c r="CH41" s="306">
        <v>0</v>
      </c>
      <c r="CI41" s="306">
        <v>0</v>
      </c>
      <c r="CJ41" s="306">
        <v>0</v>
      </c>
      <c r="CK41" s="306">
        <v>0</v>
      </c>
      <c r="CL41" s="306">
        <v>0</v>
      </c>
      <c r="CM41" s="306">
        <v>0</v>
      </c>
      <c r="CN41" s="306">
        <v>0</v>
      </c>
      <c r="CO41" s="306">
        <v>0</v>
      </c>
      <c r="CP41" s="306">
        <v>0</v>
      </c>
      <c r="CQ41" s="306">
        <v>0</v>
      </c>
      <c r="CR41" s="306">
        <v>0</v>
      </c>
      <c r="CS41" s="306">
        <v>0</v>
      </c>
      <c r="CT41" s="306">
        <v>0</v>
      </c>
      <c r="CU41" s="306">
        <v>0</v>
      </c>
      <c r="CV41" s="306">
        <v>0</v>
      </c>
      <c r="CW41" s="306">
        <v>0</v>
      </c>
      <c r="CX41" s="306">
        <v>0</v>
      </c>
      <c r="CY41" s="306">
        <v>0</v>
      </c>
      <c r="CZ41" s="306">
        <v>0</v>
      </c>
      <c r="DA41" s="306">
        <v>0</v>
      </c>
      <c r="DB41" s="306">
        <v>0</v>
      </c>
      <c r="DC41" s="306">
        <v>0</v>
      </c>
      <c r="DD41" s="306">
        <v>0</v>
      </c>
      <c r="DE41" s="306">
        <v>0</v>
      </c>
      <c r="DF41" s="306">
        <v>0</v>
      </c>
      <c r="DG41" s="306">
        <v>0</v>
      </c>
      <c r="DH41" s="306">
        <v>0</v>
      </c>
      <c r="DI41" s="306">
        <v>0</v>
      </c>
    </row>
    <row r="42" spans="1:113">
      <c r="A42" s="304" t="s">
        <v>761</v>
      </c>
      <c r="B42" s="306">
        <v>0</v>
      </c>
      <c r="AD42" s="304"/>
      <c r="AE42" s="390" t="s">
        <v>704</v>
      </c>
      <c r="AF42" s="402"/>
      <c r="AG42" s="402"/>
      <c r="AH42" s="402"/>
      <c r="AI42" s="402"/>
      <c r="AJ42" s="402"/>
      <c r="AK42" s="402"/>
      <c r="AL42" s="402"/>
      <c r="AM42" s="402"/>
      <c r="AN42" s="402"/>
      <c r="AO42" s="402"/>
      <c r="AP42" s="402"/>
      <c r="AQ42" s="402"/>
      <c r="AR42" s="402"/>
      <c r="AS42" s="402"/>
      <c r="AT42" s="402"/>
      <c r="AU42" s="402"/>
      <c r="AV42" s="402"/>
      <c r="AW42" s="402"/>
      <c r="AX42" s="402"/>
      <c r="AY42" s="402"/>
      <c r="AZ42" s="402"/>
      <c r="BA42" s="402"/>
      <c r="BB42" s="402"/>
      <c r="BC42" s="402"/>
      <c r="BD42" s="402"/>
      <c r="BE42" s="402"/>
      <c r="BF42" s="402"/>
      <c r="BG42" s="402"/>
      <c r="BH42" s="402"/>
      <c r="BI42" s="402"/>
      <c r="BJ42" s="402"/>
      <c r="BK42" s="402"/>
      <c r="BL42" s="402"/>
      <c r="BM42" s="402"/>
      <c r="BN42" s="402"/>
      <c r="BO42" s="402"/>
      <c r="BP42" s="402"/>
      <c r="BQ42" s="402"/>
      <c r="BR42" s="402"/>
      <c r="BU42" s="304"/>
      <c r="BV42" s="390" t="s">
        <v>703</v>
      </c>
      <c r="BW42" s="402"/>
      <c r="BX42" s="402"/>
      <c r="BY42" s="402"/>
      <c r="BZ42" s="402"/>
      <c r="CA42" s="402"/>
      <c r="CB42" s="402"/>
      <c r="CC42" s="402"/>
      <c r="CD42" s="402"/>
      <c r="CE42" s="402"/>
      <c r="CF42" s="402"/>
      <c r="CG42" s="402"/>
      <c r="CH42" s="402"/>
      <c r="CI42" s="402"/>
      <c r="CJ42" s="402"/>
      <c r="CK42" s="402"/>
      <c r="CL42" s="402"/>
      <c r="CM42" s="402"/>
      <c r="CN42" s="402"/>
      <c r="CO42" s="402"/>
      <c r="CP42" s="402"/>
      <c r="CQ42" s="402"/>
      <c r="CR42" s="402"/>
      <c r="CS42" s="402"/>
      <c r="CT42" s="402"/>
      <c r="CU42" s="402"/>
      <c r="CV42" s="402"/>
      <c r="CW42" s="402"/>
      <c r="CX42" s="402"/>
      <c r="CY42" s="402"/>
      <c r="CZ42" s="402"/>
      <c r="DA42" s="402"/>
      <c r="DB42" s="402"/>
      <c r="DC42" s="402"/>
      <c r="DD42" s="402"/>
      <c r="DE42" s="402"/>
      <c r="DF42" s="402"/>
      <c r="DG42" s="402"/>
      <c r="DH42" s="402"/>
      <c r="DI42" s="402"/>
    </row>
    <row r="43" spans="1:113">
      <c r="A43" s="304" t="s">
        <v>719</v>
      </c>
      <c r="B43" s="306">
        <v>1</v>
      </c>
    </row>
    <row r="44" spans="1:113">
      <c r="A44" s="304" t="s">
        <v>720</v>
      </c>
      <c r="B44" s="306">
        <v>1</v>
      </c>
    </row>
    <row r="45" spans="1:113" ht="179.4">
      <c r="A45" s="304" t="s">
        <v>721</v>
      </c>
      <c r="B45" s="306">
        <v>1</v>
      </c>
      <c r="AD45" s="303" t="s">
        <v>641</v>
      </c>
      <c r="AE45" s="234" t="s">
        <v>708</v>
      </c>
      <c r="AF45" s="234" t="s">
        <v>749</v>
      </c>
      <c r="AG45" s="234" t="s">
        <v>750</v>
      </c>
      <c r="AH45" s="234" t="s">
        <v>709</v>
      </c>
      <c r="AI45" s="234" t="s">
        <v>710</v>
      </c>
      <c r="AJ45" s="234" t="s">
        <v>711</v>
      </c>
      <c r="AK45" s="234" t="s">
        <v>656</v>
      </c>
      <c r="AL45" s="234" t="s">
        <v>657</v>
      </c>
      <c r="AM45" s="234" t="s">
        <v>751</v>
      </c>
      <c r="AN45" s="234" t="s">
        <v>658</v>
      </c>
      <c r="AO45" s="234" t="s">
        <v>712</v>
      </c>
      <c r="AP45" s="234" t="s">
        <v>713</v>
      </c>
      <c r="AQ45" s="234" t="s">
        <v>752</v>
      </c>
      <c r="AR45" s="234" t="s">
        <v>753</v>
      </c>
      <c r="AS45" s="234" t="s">
        <v>754</v>
      </c>
      <c r="AT45" s="234" t="s">
        <v>755</v>
      </c>
      <c r="AU45" s="234" t="s">
        <v>756</v>
      </c>
      <c r="AV45" s="234" t="s">
        <v>757</v>
      </c>
      <c r="AW45" s="234" t="s">
        <v>670</v>
      </c>
      <c r="AX45" s="234" t="s">
        <v>671</v>
      </c>
      <c r="AY45" s="234" t="s">
        <v>714</v>
      </c>
      <c r="AZ45" s="234" t="s">
        <v>758</v>
      </c>
      <c r="BA45" s="234" t="s">
        <v>715</v>
      </c>
      <c r="BB45" s="234" t="s">
        <v>716</v>
      </c>
      <c r="BC45" s="234" t="s">
        <v>717</v>
      </c>
      <c r="BD45" s="234" t="s">
        <v>718</v>
      </c>
      <c r="BE45" s="234" t="s">
        <v>759</v>
      </c>
      <c r="BF45" s="234" t="s">
        <v>760</v>
      </c>
      <c r="BG45" s="234" t="s">
        <v>761</v>
      </c>
      <c r="BH45" s="234" t="s">
        <v>719</v>
      </c>
      <c r="BI45" s="234" t="s">
        <v>720</v>
      </c>
      <c r="BJ45" s="234" t="s">
        <v>721</v>
      </c>
      <c r="BK45" s="234" t="s">
        <v>722</v>
      </c>
      <c r="BL45" s="234" t="s">
        <v>723</v>
      </c>
      <c r="BM45" s="234" t="s">
        <v>724</v>
      </c>
      <c r="BN45" s="234" t="s">
        <v>725</v>
      </c>
      <c r="BO45" s="234" t="s">
        <v>726</v>
      </c>
      <c r="BP45" s="234" t="s">
        <v>762</v>
      </c>
      <c r="BQ45" s="234" t="s">
        <v>727</v>
      </c>
      <c r="BR45" s="234" t="s">
        <v>728</v>
      </c>
    </row>
    <row r="46" spans="1:113">
      <c r="A46" s="304" t="s">
        <v>775</v>
      </c>
      <c r="B46" s="306">
        <v>1</v>
      </c>
      <c r="AD46" s="304" t="s">
        <v>708</v>
      </c>
      <c r="AE46" s="306">
        <v>0</v>
      </c>
      <c r="AF46" s="306">
        <v>0</v>
      </c>
      <c r="AG46" s="306">
        <v>45017.590801780199</v>
      </c>
      <c r="AH46" s="306">
        <v>0</v>
      </c>
      <c r="AI46" s="306">
        <v>0</v>
      </c>
      <c r="AJ46" s="306">
        <v>0</v>
      </c>
      <c r="AK46" s="306">
        <v>0</v>
      </c>
      <c r="AL46" s="306">
        <v>0</v>
      </c>
      <c r="AM46" s="306">
        <v>0</v>
      </c>
      <c r="AN46" s="306">
        <v>0</v>
      </c>
      <c r="AO46" s="306">
        <v>0</v>
      </c>
      <c r="AP46" s="306">
        <v>0</v>
      </c>
      <c r="AQ46" s="306">
        <v>0</v>
      </c>
      <c r="AR46" s="306">
        <v>0</v>
      </c>
      <c r="AS46" s="306">
        <v>0</v>
      </c>
      <c r="AT46" s="306">
        <v>0</v>
      </c>
      <c r="AU46" s="306">
        <v>0</v>
      </c>
      <c r="AV46" s="306">
        <v>0</v>
      </c>
      <c r="AW46" s="306">
        <v>0</v>
      </c>
      <c r="AX46" s="306">
        <v>0</v>
      </c>
      <c r="AY46" s="306">
        <v>0</v>
      </c>
      <c r="AZ46" s="306">
        <v>0</v>
      </c>
      <c r="BA46" s="306">
        <v>0</v>
      </c>
      <c r="BB46" s="306">
        <v>0</v>
      </c>
      <c r="BC46" s="306">
        <v>0</v>
      </c>
      <c r="BD46" s="306">
        <v>0</v>
      </c>
      <c r="BE46" s="306">
        <v>0</v>
      </c>
      <c r="BF46" s="306">
        <v>0</v>
      </c>
      <c r="BG46" s="306">
        <v>0</v>
      </c>
      <c r="BH46" s="306">
        <v>0</v>
      </c>
      <c r="BI46" s="306">
        <v>0</v>
      </c>
      <c r="BJ46" s="306">
        <v>0</v>
      </c>
      <c r="BK46" s="306">
        <v>0</v>
      </c>
      <c r="BL46" s="306">
        <v>0</v>
      </c>
      <c r="BM46" s="306">
        <v>0</v>
      </c>
      <c r="BN46" s="306">
        <v>0</v>
      </c>
      <c r="BO46" s="306">
        <v>0</v>
      </c>
      <c r="BP46" s="306">
        <v>0</v>
      </c>
      <c r="BQ46" s="306">
        <v>0</v>
      </c>
      <c r="BR46" s="306">
        <v>0</v>
      </c>
    </row>
    <row r="47" spans="1:113">
      <c r="A47" s="304" t="s">
        <v>776</v>
      </c>
      <c r="B47" s="306">
        <v>1</v>
      </c>
      <c r="AD47" s="304" t="s">
        <v>749</v>
      </c>
      <c r="AE47" s="306">
        <v>0</v>
      </c>
      <c r="AF47" s="306">
        <v>0</v>
      </c>
      <c r="AG47" s="306">
        <v>0</v>
      </c>
      <c r="AH47" s="306">
        <v>0</v>
      </c>
      <c r="AI47" s="306">
        <v>0</v>
      </c>
      <c r="AJ47" s="306">
        <v>0</v>
      </c>
      <c r="AK47" s="306">
        <v>0</v>
      </c>
      <c r="AL47" s="306">
        <v>0</v>
      </c>
      <c r="AM47" s="306">
        <v>0</v>
      </c>
      <c r="AN47" s="306">
        <v>0</v>
      </c>
      <c r="AO47" s="306">
        <v>0</v>
      </c>
      <c r="AP47" s="306">
        <v>0</v>
      </c>
      <c r="AQ47" s="306">
        <v>0</v>
      </c>
      <c r="AR47" s="306">
        <v>0</v>
      </c>
      <c r="AS47" s="306">
        <v>0</v>
      </c>
      <c r="AT47" s="306">
        <v>0</v>
      </c>
      <c r="AU47" s="306">
        <v>0</v>
      </c>
      <c r="AV47" s="306">
        <v>0</v>
      </c>
      <c r="AW47" s="306">
        <v>0</v>
      </c>
      <c r="AX47" s="306">
        <v>0</v>
      </c>
      <c r="AY47" s="306">
        <v>0</v>
      </c>
      <c r="AZ47" s="306">
        <v>0</v>
      </c>
      <c r="BA47" s="306">
        <v>0</v>
      </c>
      <c r="BB47" s="306">
        <v>0</v>
      </c>
      <c r="BC47" s="306">
        <v>0</v>
      </c>
      <c r="BD47" s="306">
        <v>0</v>
      </c>
      <c r="BE47" s="306">
        <v>0</v>
      </c>
      <c r="BF47" s="306">
        <v>0</v>
      </c>
      <c r="BG47" s="306">
        <v>0</v>
      </c>
      <c r="BH47" s="306">
        <v>0</v>
      </c>
      <c r="BI47" s="306">
        <v>0</v>
      </c>
      <c r="BJ47" s="306">
        <v>0</v>
      </c>
      <c r="BK47" s="306">
        <v>0</v>
      </c>
      <c r="BL47" s="306">
        <v>0</v>
      </c>
      <c r="BM47" s="306">
        <v>0</v>
      </c>
      <c r="BN47" s="306">
        <v>0</v>
      </c>
      <c r="BO47" s="306">
        <v>0</v>
      </c>
      <c r="BP47" s="306">
        <v>0</v>
      </c>
      <c r="BQ47" s="306">
        <v>0</v>
      </c>
      <c r="BR47" s="306">
        <v>0</v>
      </c>
    </row>
    <row r="48" spans="1:113">
      <c r="A48" s="304" t="s">
        <v>777</v>
      </c>
      <c r="B48" s="306">
        <v>1</v>
      </c>
      <c r="AD48" s="304" t="s">
        <v>750</v>
      </c>
      <c r="AE48" s="306">
        <v>0</v>
      </c>
      <c r="AF48" s="306">
        <v>0</v>
      </c>
      <c r="AG48" s="306">
        <v>0</v>
      </c>
      <c r="AH48" s="306">
        <v>0</v>
      </c>
      <c r="AI48" s="306">
        <v>0</v>
      </c>
      <c r="AJ48" s="306">
        <v>0</v>
      </c>
      <c r="AK48" s="306">
        <v>0</v>
      </c>
      <c r="AL48" s="306">
        <v>0</v>
      </c>
      <c r="AM48" s="306">
        <v>0</v>
      </c>
      <c r="AN48" s="306">
        <v>0</v>
      </c>
      <c r="AO48" s="306">
        <v>0</v>
      </c>
      <c r="AP48" s="306">
        <v>0</v>
      </c>
      <c r="AQ48" s="306">
        <v>0</v>
      </c>
      <c r="AR48" s="306">
        <v>0</v>
      </c>
      <c r="AS48" s="306">
        <v>0</v>
      </c>
      <c r="AT48" s="306">
        <v>0</v>
      </c>
      <c r="AU48" s="306">
        <v>0</v>
      </c>
      <c r="AV48" s="306">
        <v>0</v>
      </c>
      <c r="AW48" s="306">
        <v>0</v>
      </c>
      <c r="AX48" s="306">
        <v>0</v>
      </c>
      <c r="AY48" s="306">
        <v>0</v>
      </c>
      <c r="AZ48" s="306">
        <v>0</v>
      </c>
      <c r="BA48" s="306">
        <v>0</v>
      </c>
      <c r="BB48" s="306">
        <v>0</v>
      </c>
      <c r="BC48" s="306">
        <v>0</v>
      </c>
      <c r="BD48" s="306">
        <v>0</v>
      </c>
      <c r="BE48" s="306">
        <v>0</v>
      </c>
      <c r="BF48" s="306">
        <v>0</v>
      </c>
      <c r="BG48" s="306">
        <v>0</v>
      </c>
      <c r="BH48" s="306">
        <v>0</v>
      </c>
      <c r="BI48" s="306">
        <v>0</v>
      </c>
      <c r="BJ48" s="306">
        <v>0</v>
      </c>
      <c r="BK48" s="306">
        <v>0</v>
      </c>
      <c r="BL48" s="306">
        <v>0</v>
      </c>
      <c r="BM48" s="306">
        <v>0</v>
      </c>
      <c r="BN48" s="306">
        <v>0</v>
      </c>
      <c r="BO48" s="306">
        <v>0</v>
      </c>
      <c r="BP48" s="306">
        <v>0</v>
      </c>
      <c r="BQ48" s="306">
        <v>0</v>
      </c>
      <c r="BR48" s="306">
        <v>0</v>
      </c>
    </row>
    <row r="49" spans="1:70">
      <c r="A49" s="304" t="s">
        <v>722</v>
      </c>
      <c r="B49" s="306">
        <v>1</v>
      </c>
      <c r="AD49" s="304" t="s">
        <v>709</v>
      </c>
      <c r="AE49" s="306">
        <v>0</v>
      </c>
      <c r="AF49" s="306">
        <v>0</v>
      </c>
      <c r="AG49" s="306">
        <v>66251.174567632304</v>
      </c>
      <c r="AH49" s="306">
        <v>0</v>
      </c>
      <c r="AI49" s="306">
        <v>0</v>
      </c>
      <c r="AJ49" s="306">
        <v>0</v>
      </c>
      <c r="AK49" s="306">
        <v>0</v>
      </c>
      <c r="AL49" s="306">
        <v>0</v>
      </c>
      <c r="AM49" s="306">
        <v>0</v>
      </c>
      <c r="AN49" s="306">
        <v>0</v>
      </c>
      <c r="AO49" s="306">
        <v>0</v>
      </c>
      <c r="AP49" s="306">
        <v>0</v>
      </c>
      <c r="AQ49" s="306">
        <v>0</v>
      </c>
      <c r="AR49" s="306">
        <v>0</v>
      </c>
      <c r="AS49" s="306">
        <v>0</v>
      </c>
      <c r="AT49" s="306">
        <v>0</v>
      </c>
      <c r="AU49" s="306">
        <v>0</v>
      </c>
      <c r="AV49" s="306">
        <v>0</v>
      </c>
      <c r="AW49" s="306">
        <v>0</v>
      </c>
      <c r="AX49" s="306">
        <v>0</v>
      </c>
      <c r="AY49" s="306">
        <v>0</v>
      </c>
      <c r="AZ49" s="306">
        <v>0</v>
      </c>
      <c r="BA49" s="306">
        <v>0</v>
      </c>
      <c r="BB49" s="306">
        <v>0</v>
      </c>
      <c r="BC49" s="306">
        <v>0</v>
      </c>
      <c r="BD49" s="306">
        <v>0</v>
      </c>
      <c r="BE49" s="306">
        <v>0</v>
      </c>
      <c r="BF49" s="306">
        <v>0</v>
      </c>
      <c r="BG49" s="306">
        <v>0</v>
      </c>
      <c r="BH49" s="306">
        <v>0</v>
      </c>
      <c r="BI49" s="306">
        <v>0</v>
      </c>
      <c r="BJ49" s="306">
        <v>0</v>
      </c>
      <c r="BK49" s="306">
        <v>0</v>
      </c>
      <c r="BL49" s="306">
        <v>0</v>
      </c>
      <c r="BM49" s="306">
        <v>0</v>
      </c>
      <c r="BN49" s="306">
        <v>0</v>
      </c>
      <c r="BO49" s="306">
        <v>0</v>
      </c>
      <c r="BP49" s="306">
        <v>0</v>
      </c>
      <c r="BQ49" s="306">
        <v>0</v>
      </c>
      <c r="BR49" s="306">
        <v>0</v>
      </c>
    </row>
    <row r="50" spans="1:70">
      <c r="A50" s="304" t="s">
        <v>723</v>
      </c>
      <c r="B50" s="306">
        <v>1</v>
      </c>
      <c r="AD50" s="304" t="s">
        <v>710</v>
      </c>
      <c r="AE50" s="306">
        <v>0</v>
      </c>
      <c r="AF50" s="306">
        <v>0</v>
      </c>
      <c r="AG50" s="306">
        <v>0</v>
      </c>
      <c r="AH50" s="306">
        <v>0</v>
      </c>
      <c r="AI50" s="306">
        <v>0</v>
      </c>
      <c r="AJ50" s="306">
        <v>0</v>
      </c>
      <c r="AK50" s="306">
        <v>0</v>
      </c>
      <c r="AL50" s="306">
        <v>0</v>
      </c>
      <c r="AM50" s="306">
        <v>0</v>
      </c>
      <c r="AN50" s="306">
        <v>0</v>
      </c>
      <c r="AO50" s="306">
        <v>0</v>
      </c>
      <c r="AP50" s="306">
        <v>0</v>
      </c>
      <c r="AQ50" s="306">
        <v>0</v>
      </c>
      <c r="AR50" s="306">
        <v>0</v>
      </c>
      <c r="AS50" s="306">
        <v>0</v>
      </c>
      <c r="AT50" s="306">
        <v>0</v>
      </c>
      <c r="AU50" s="306">
        <v>0</v>
      </c>
      <c r="AV50" s="306">
        <v>0</v>
      </c>
      <c r="AW50" s="306">
        <v>0</v>
      </c>
      <c r="AX50" s="306">
        <v>0</v>
      </c>
      <c r="AY50" s="306">
        <v>0</v>
      </c>
      <c r="AZ50" s="306">
        <v>0</v>
      </c>
      <c r="BA50" s="306">
        <v>0</v>
      </c>
      <c r="BB50" s="306">
        <v>0</v>
      </c>
      <c r="BC50" s="306">
        <v>0</v>
      </c>
      <c r="BD50" s="306">
        <v>0</v>
      </c>
      <c r="BE50" s="306">
        <v>0</v>
      </c>
      <c r="BF50" s="306">
        <v>0</v>
      </c>
      <c r="BG50" s="306">
        <v>91837.795018258301</v>
      </c>
      <c r="BH50" s="306">
        <v>0</v>
      </c>
      <c r="BI50" s="306">
        <v>0</v>
      </c>
      <c r="BJ50" s="306">
        <v>0</v>
      </c>
      <c r="BK50" s="306">
        <v>0</v>
      </c>
      <c r="BL50" s="306">
        <v>0</v>
      </c>
      <c r="BM50" s="306">
        <v>0</v>
      </c>
      <c r="BN50" s="306">
        <v>0</v>
      </c>
      <c r="BO50" s="306">
        <v>0</v>
      </c>
      <c r="BP50" s="306">
        <v>0</v>
      </c>
      <c r="BQ50" s="306">
        <v>0</v>
      </c>
      <c r="BR50" s="306">
        <v>0</v>
      </c>
    </row>
    <row r="51" spans="1:70">
      <c r="A51" s="304" t="s">
        <v>724</v>
      </c>
      <c r="B51" s="306">
        <v>1</v>
      </c>
      <c r="AD51" s="304" t="s">
        <v>711</v>
      </c>
      <c r="AE51" s="306">
        <v>0</v>
      </c>
      <c r="AF51" s="306">
        <v>0</v>
      </c>
      <c r="AG51" s="306">
        <v>0</v>
      </c>
      <c r="AH51" s="306">
        <v>0</v>
      </c>
      <c r="AI51" s="306">
        <v>0</v>
      </c>
      <c r="AJ51" s="306">
        <v>0</v>
      </c>
      <c r="AK51" s="306">
        <v>0</v>
      </c>
      <c r="AL51" s="306">
        <v>0</v>
      </c>
      <c r="AM51" s="306">
        <v>0</v>
      </c>
      <c r="AN51" s="306">
        <v>0</v>
      </c>
      <c r="AO51" s="306">
        <v>0</v>
      </c>
      <c r="AP51" s="306">
        <v>0</v>
      </c>
      <c r="AQ51" s="306">
        <v>0</v>
      </c>
      <c r="AR51" s="306">
        <v>0</v>
      </c>
      <c r="AS51" s="306">
        <v>0</v>
      </c>
      <c r="AT51" s="306">
        <v>0</v>
      </c>
      <c r="AU51" s="306">
        <v>0</v>
      </c>
      <c r="AV51" s="306">
        <v>0</v>
      </c>
      <c r="AW51" s="306">
        <v>0</v>
      </c>
      <c r="AX51" s="306">
        <v>0</v>
      </c>
      <c r="AY51" s="306">
        <v>0</v>
      </c>
      <c r="AZ51" s="306">
        <v>0</v>
      </c>
      <c r="BA51" s="306">
        <v>0</v>
      </c>
      <c r="BB51" s="306">
        <v>0</v>
      </c>
      <c r="BC51" s="306">
        <v>0</v>
      </c>
      <c r="BD51" s="306">
        <v>0</v>
      </c>
      <c r="BE51" s="306">
        <v>0</v>
      </c>
      <c r="BF51" s="306">
        <v>290.15291867903898</v>
      </c>
      <c r="BG51" s="306">
        <v>0</v>
      </c>
      <c r="BH51" s="306">
        <v>0</v>
      </c>
      <c r="BI51" s="306">
        <v>0</v>
      </c>
      <c r="BJ51" s="306">
        <v>0</v>
      </c>
      <c r="BK51" s="306">
        <v>0</v>
      </c>
      <c r="BL51" s="306">
        <v>0</v>
      </c>
      <c r="BM51" s="306">
        <v>0</v>
      </c>
      <c r="BN51" s="306">
        <v>0</v>
      </c>
      <c r="BO51" s="306">
        <v>0</v>
      </c>
      <c r="BP51" s="306">
        <v>0</v>
      </c>
      <c r="BQ51" s="306">
        <v>0</v>
      </c>
      <c r="BR51" s="306">
        <v>0</v>
      </c>
    </row>
    <row r="52" spans="1:70">
      <c r="A52" s="304" t="s">
        <v>725</v>
      </c>
      <c r="B52" s="306">
        <v>1</v>
      </c>
      <c r="AD52" s="304" t="s">
        <v>656</v>
      </c>
      <c r="AE52" s="306">
        <v>0</v>
      </c>
      <c r="AF52" s="306">
        <v>0</v>
      </c>
      <c r="AG52" s="306">
        <v>0</v>
      </c>
      <c r="AH52" s="306">
        <v>0</v>
      </c>
      <c r="AI52" s="306">
        <v>0</v>
      </c>
      <c r="AJ52" s="306">
        <v>0</v>
      </c>
      <c r="AK52" s="306">
        <v>0</v>
      </c>
      <c r="AL52" s="306">
        <v>0</v>
      </c>
      <c r="AM52" s="306">
        <v>0</v>
      </c>
      <c r="AN52" s="306">
        <v>0</v>
      </c>
      <c r="AO52" s="306">
        <v>0</v>
      </c>
      <c r="AP52" s="306">
        <v>0</v>
      </c>
      <c r="AQ52" s="306">
        <v>0</v>
      </c>
      <c r="AR52" s="306">
        <v>0</v>
      </c>
      <c r="AS52" s="306">
        <v>0</v>
      </c>
      <c r="AT52" s="306">
        <v>0</v>
      </c>
      <c r="AU52" s="306">
        <v>0</v>
      </c>
      <c r="AV52" s="306">
        <v>0</v>
      </c>
      <c r="AW52" s="306">
        <v>0</v>
      </c>
      <c r="AX52" s="306">
        <v>0</v>
      </c>
      <c r="AY52" s="306">
        <v>0</v>
      </c>
      <c r="AZ52" s="306">
        <v>0</v>
      </c>
      <c r="BA52" s="306">
        <v>0</v>
      </c>
      <c r="BB52" s="306">
        <v>0</v>
      </c>
      <c r="BC52" s="306">
        <v>0</v>
      </c>
      <c r="BD52" s="306">
        <v>0</v>
      </c>
      <c r="BE52" s="306">
        <v>0</v>
      </c>
      <c r="BF52" s="306">
        <v>0</v>
      </c>
      <c r="BG52" s="306">
        <v>0</v>
      </c>
      <c r="BH52" s="306">
        <v>0</v>
      </c>
      <c r="BI52" s="306">
        <v>0</v>
      </c>
      <c r="BJ52" s="306">
        <v>0</v>
      </c>
      <c r="BK52" s="306">
        <v>0</v>
      </c>
      <c r="BL52" s="306">
        <v>0</v>
      </c>
      <c r="BM52" s="306">
        <v>0</v>
      </c>
      <c r="BN52" s="306">
        <v>0</v>
      </c>
      <c r="BO52" s="306">
        <v>0</v>
      </c>
      <c r="BP52" s="306">
        <v>0</v>
      </c>
      <c r="BQ52" s="306">
        <v>0</v>
      </c>
      <c r="BR52" s="306">
        <v>0</v>
      </c>
    </row>
    <row r="53" spans="1:70">
      <c r="A53" s="304" t="s">
        <v>726</v>
      </c>
      <c r="B53" s="306">
        <v>1</v>
      </c>
      <c r="AD53" s="304" t="s">
        <v>657</v>
      </c>
      <c r="AE53" s="306">
        <v>0</v>
      </c>
      <c r="AF53" s="306">
        <v>0</v>
      </c>
      <c r="AG53" s="306">
        <v>0</v>
      </c>
      <c r="AH53" s="306">
        <v>0</v>
      </c>
      <c r="AI53" s="306">
        <v>0</v>
      </c>
      <c r="AJ53" s="306">
        <v>0</v>
      </c>
      <c r="AK53" s="306">
        <v>0</v>
      </c>
      <c r="AL53" s="306">
        <v>0</v>
      </c>
      <c r="AM53" s="306">
        <v>0</v>
      </c>
      <c r="AN53" s="306">
        <v>0</v>
      </c>
      <c r="AO53" s="306">
        <v>0</v>
      </c>
      <c r="AP53" s="306">
        <v>0</v>
      </c>
      <c r="AQ53" s="306">
        <v>0</v>
      </c>
      <c r="AR53" s="306">
        <v>0</v>
      </c>
      <c r="AS53" s="306">
        <v>0</v>
      </c>
      <c r="AT53" s="306">
        <v>0</v>
      </c>
      <c r="AU53" s="306">
        <v>0</v>
      </c>
      <c r="AV53" s="306">
        <v>0</v>
      </c>
      <c r="AW53" s="306">
        <v>0</v>
      </c>
      <c r="AX53" s="306">
        <v>0</v>
      </c>
      <c r="AY53" s="306">
        <v>0</v>
      </c>
      <c r="AZ53" s="306">
        <v>0</v>
      </c>
      <c r="BA53" s="306">
        <v>0</v>
      </c>
      <c r="BB53" s="306">
        <v>0</v>
      </c>
      <c r="BC53" s="306">
        <v>0</v>
      </c>
      <c r="BD53" s="306">
        <v>0</v>
      </c>
      <c r="BE53" s="306">
        <v>0</v>
      </c>
      <c r="BF53" s="306">
        <v>0</v>
      </c>
      <c r="BG53" s="306">
        <v>0</v>
      </c>
      <c r="BH53" s="306">
        <v>0</v>
      </c>
      <c r="BI53" s="306">
        <v>0</v>
      </c>
      <c r="BJ53" s="306">
        <v>0</v>
      </c>
      <c r="BK53" s="306">
        <v>0</v>
      </c>
      <c r="BL53" s="306">
        <v>0</v>
      </c>
      <c r="BM53" s="306">
        <v>0</v>
      </c>
      <c r="BN53" s="306">
        <v>0</v>
      </c>
      <c r="BO53" s="306">
        <v>0</v>
      </c>
      <c r="BP53" s="306">
        <v>0</v>
      </c>
      <c r="BQ53" s="306">
        <v>0</v>
      </c>
      <c r="BR53" s="306">
        <v>0</v>
      </c>
    </row>
    <row r="54" spans="1:70">
      <c r="A54" s="304" t="s">
        <v>778</v>
      </c>
      <c r="B54" s="306">
        <v>1</v>
      </c>
      <c r="AD54" s="304" t="s">
        <v>751</v>
      </c>
      <c r="AE54" s="306">
        <v>0</v>
      </c>
      <c r="AF54" s="306">
        <v>0</v>
      </c>
      <c r="AG54" s="306">
        <v>0</v>
      </c>
      <c r="AH54" s="306">
        <v>0</v>
      </c>
      <c r="AI54" s="306">
        <v>0</v>
      </c>
      <c r="AJ54" s="306">
        <v>0</v>
      </c>
      <c r="AK54" s="306">
        <v>0</v>
      </c>
      <c r="AL54" s="306">
        <v>0</v>
      </c>
      <c r="AM54" s="306">
        <v>0</v>
      </c>
      <c r="AN54" s="306">
        <v>0</v>
      </c>
      <c r="AO54" s="306">
        <v>0</v>
      </c>
      <c r="AP54" s="306">
        <v>0</v>
      </c>
      <c r="AQ54" s="306">
        <v>0</v>
      </c>
      <c r="AR54" s="306">
        <v>0</v>
      </c>
      <c r="AS54" s="306">
        <v>0</v>
      </c>
      <c r="AT54" s="306">
        <v>0</v>
      </c>
      <c r="AU54" s="306">
        <v>0</v>
      </c>
      <c r="AV54" s="306">
        <v>0</v>
      </c>
      <c r="AW54" s="306">
        <v>0</v>
      </c>
      <c r="AX54" s="306">
        <v>0</v>
      </c>
      <c r="AY54" s="306">
        <v>0</v>
      </c>
      <c r="AZ54" s="306">
        <v>0</v>
      </c>
      <c r="BA54" s="306">
        <v>0</v>
      </c>
      <c r="BB54" s="306">
        <v>0</v>
      </c>
      <c r="BC54" s="306">
        <v>0</v>
      </c>
      <c r="BD54" s="306">
        <v>0</v>
      </c>
      <c r="BE54" s="306">
        <v>0</v>
      </c>
      <c r="BF54" s="306">
        <v>0</v>
      </c>
      <c r="BG54" s="306">
        <v>0</v>
      </c>
      <c r="BH54" s="306">
        <v>0</v>
      </c>
      <c r="BI54" s="306">
        <v>0</v>
      </c>
      <c r="BJ54" s="306">
        <v>0</v>
      </c>
      <c r="BK54" s="306">
        <v>0</v>
      </c>
      <c r="BL54" s="306">
        <v>0</v>
      </c>
      <c r="BM54" s="306">
        <v>0</v>
      </c>
      <c r="BN54" s="306">
        <v>0</v>
      </c>
      <c r="BO54" s="306">
        <v>0</v>
      </c>
      <c r="BP54" s="306">
        <v>0</v>
      </c>
      <c r="BQ54" s="306">
        <v>0</v>
      </c>
      <c r="BR54" s="306">
        <v>0</v>
      </c>
    </row>
    <row r="55" spans="1:70">
      <c r="A55" s="304" t="s">
        <v>779</v>
      </c>
      <c r="B55" s="306">
        <v>1</v>
      </c>
      <c r="AD55" s="304" t="s">
        <v>658</v>
      </c>
      <c r="AE55" s="306">
        <v>0</v>
      </c>
      <c r="AF55" s="306">
        <v>0</v>
      </c>
      <c r="AG55" s="306">
        <v>0</v>
      </c>
      <c r="AH55" s="306">
        <v>0</v>
      </c>
      <c r="AI55" s="306">
        <v>0</v>
      </c>
      <c r="AJ55" s="306">
        <v>0</v>
      </c>
      <c r="AK55" s="306">
        <v>0</v>
      </c>
      <c r="AL55" s="306">
        <v>0</v>
      </c>
      <c r="AM55" s="306">
        <v>0</v>
      </c>
      <c r="AN55" s="306">
        <v>0</v>
      </c>
      <c r="AO55" s="306">
        <v>0</v>
      </c>
      <c r="AP55" s="306">
        <v>0</v>
      </c>
      <c r="AQ55" s="306">
        <v>2511.39821094118</v>
      </c>
      <c r="AR55" s="306">
        <v>0</v>
      </c>
      <c r="AS55" s="306">
        <v>0</v>
      </c>
      <c r="AT55" s="306">
        <v>0</v>
      </c>
      <c r="AU55" s="306">
        <v>0</v>
      </c>
      <c r="AV55" s="306">
        <v>0</v>
      </c>
      <c r="AW55" s="306">
        <v>0</v>
      </c>
      <c r="AX55" s="306">
        <v>0</v>
      </c>
      <c r="AY55" s="306">
        <v>0</v>
      </c>
      <c r="AZ55" s="306">
        <v>0</v>
      </c>
      <c r="BA55" s="306">
        <v>0</v>
      </c>
      <c r="BB55" s="306">
        <v>0</v>
      </c>
      <c r="BC55" s="306">
        <v>0</v>
      </c>
      <c r="BD55" s="306">
        <v>0</v>
      </c>
      <c r="BE55" s="306">
        <v>0</v>
      </c>
      <c r="BF55" s="306">
        <v>0</v>
      </c>
      <c r="BG55" s="306">
        <v>0</v>
      </c>
      <c r="BH55" s="306">
        <v>0</v>
      </c>
      <c r="BI55" s="306">
        <v>0</v>
      </c>
      <c r="BJ55" s="306">
        <v>0</v>
      </c>
      <c r="BK55" s="306">
        <v>0</v>
      </c>
      <c r="BL55" s="306">
        <v>0</v>
      </c>
      <c r="BM55" s="306">
        <v>0</v>
      </c>
      <c r="BN55" s="306">
        <v>0</v>
      </c>
      <c r="BO55" s="306">
        <v>0</v>
      </c>
      <c r="BP55" s="306">
        <v>0</v>
      </c>
      <c r="BQ55" s="306">
        <v>0</v>
      </c>
      <c r="BR55" s="306">
        <v>0</v>
      </c>
    </row>
    <row r="56" spans="1:70">
      <c r="A56" s="304" t="s">
        <v>762</v>
      </c>
      <c r="B56" s="306">
        <v>0</v>
      </c>
      <c r="AD56" s="304" t="s">
        <v>712</v>
      </c>
      <c r="AE56" s="306">
        <v>0</v>
      </c>
      <c r="AF56" s="306">
        <v>0</v>
      </c>
      <c r="AG56" s="306">
        <v>0</v>
      </c>
      <c r="AH56" s="306">
        <v>0</v>
      </c>
      <c r="AI56" s="306">
        <v>0</v>
      </c>
      <c r="AJ56" s="306">
        <v>0</v>
      </c>
      <c r="AK56" s="306">
        <v>0</v>
      </c>
      <c r="AL56" s="306">
        <v>0</v>
      </c>
      <c r="AM56" s="306">
        <v>0</v>
      </c>
      <c r="AN56" s="306">
        <v>0</v>
      </c>
      <c r="AO56" s="306">
        <v>0</v>
      </c>
      <c r="AP56" s="306">
        <v>0</v>
      </c>
      <c r="AQ56" s="306">
        <v>4830.4442158522497</v>
      </c>
      <c r="AR56" s="306">
        <v>0</v>
      </c>
      <c r="AS56" s="306">
        <v>0</v>
      </c>
      <c r="AT56" s="306">
        <v>0</v>
      </c>
      <c r="AU56" s="306">
        <v>0</v>
      </c>
      <c r="AV56" s="306">
        <v>0</v>
      </c>
      <c r="AW56" s="306">
        <v>0</v>
      </c>
      <c r="AX56" s="306">
        <v>0</v>
      </c>
      <c r="AY56" s="306">
        <v>0</v>
      </c>
      <c r="AZ56" s="306">
        <v>0</v>
      </c>
      <c r="BA56" s="306">
        <v>0</v>
      </c>
      <c r="BB56" s="306">
        <v>0</v>
      </c>
      <c r="BC56" s="306">
        <v>0</v>
      </c>
      <c r="BD56" s="306">
        <v>0</v>
      </c>
      <c r="BE56" s="306">
        <v>0</v>
      </c>
      <c r="BF56" s="306">
        <v>0</v>
      </c>
      <c r="BG56" s="306">
        <v>0</v>
      </c>
      <c r="BH56" s="306">
        <v>0</v>
      </c>
      <c r="BI56" s="306">
        <v>0</v>
      </c>
      <c r="BJ56" s="306">
        <v>0</v>
      </c>
      <c r="BK56" s="306">
        <v>0</v>
      </c>
      <c r="BL56" s="306">
        <v>0</v>
      </c>
      <c r="BM56" s="306">
        <v>0</v>
      </c>
      <c r="BN56" s="306">
        <v>0</v>
      </c>
      <c r="BO56" s="306">
        <v>0</v>
      </c>
      <c r="BP56" s="306">
        <v>0</v>
      </c>
      <c r="BQ56" s="306">
        <v>0</v>
      </c>
      <c r="BR56" s="306">
        <v>0</v>
      </c>
    </row>
    <row r="57" spans="1:70">
      <c r="A57" s="304" t="s">
        <v>780</v>
      </c>
      <c r="B57" s="306">
        <v>1</v>
      </c>
      <c r="AD57" s="304" t="s">
        <v>713</v>
      </c>
      <c r="AE57" s="306">
        <v>0</v>
      </c>
      <c r="AF57" s="306">
        <v>0</v>
      </c>
      <c r="AG57" s="306">
        <v>0</v>
      </c>
      <c r="AH57" s="306">
        <v>0</v>
      </c>
      <c r="AI57" s="306">
        <v>0</v>
      </c>
      <c r="AJ57" s="306">
        <v>0</v>
      </c>
      <c r="AK57" s="306">
        <v>0</v>
      </c>
      <c r="AL57" s="306">
        <v>0</v>
      </c>
      <c r="AM57" s="306">
        <v>0</v>
      </c>
      <c r="AN57" s="306">
        <v>0</v>
      </c>
      <c r="AO57" s="306">
        <v>0</v>
      </c>
      <c r="AP57" s="306">
        <v>0</v>
      </c>
      <c r="AQ57" s="306">
        <v>0</v>
      </c>
      <c r="AR57" s="306">
        <v>4830.4442158522497</v>
      </c>
      <c r="AS57" s="306">
        <v>0</v>
      </c>
      <c r="AT57" s="306">
        <v>0</v>
      </c>
      <c r="AU57" s="306">
        <v>0</v>
      </c>
      <c r="AV57" s="306">
        <v>0</v>
      </c>
      <c r="AW57" s="306">
        <v>0</v>
      </c>
      <c r="AX57" s="306">
        <v>0</v>
      </c>
      <c r="AY57" s="306">
        <v>0</v>
      </c>
      <c r="AZ57" s="306">
        <v>0</v>
      </c>
      <c r="BA57" s="306">
        <v>0</v>
      </c>
      <c r="BB57" s="306">
        <v>0</v>
      </c>
      <c r="BC57" s="306">
        <v>0</v>
      </c>
      <c r="BD57" s="306">
        <v>0</v>
      </c>
      <c r="BE57" s="306">
        <v>0</v>
      </c>
      <c r="BF57" s="306">
        <v>0</v>
      </c>
      <c r="BG57" s="306">
        <v>0</v>
      </c>
      <c r="BH57" s="306">
        <v>0</v>
      </c>
      <c r="BI57" s="306">
        <v>0</v>
      </c>
      <c r="BJ57" s="306">
        <v>0</v>
      </c>
      <c r="BK57" s="306">
        <v>0</v>
      </c>
      <c r="BL57" s="306">
        <v>0</v>
      </c>
      <c r="BM57" s="306">
        <v>0</v>
      </c>
      <c r="BN57" s="306">
        <v>0</v>
      </c>
      <c r="BO57" s="306">
        <v>0</v>
      </c>
      <c r="BP57" s="306">
        <v>0</v>
      </c>
      <c r="BQ57" s="306">
        <v>0</v>
      </c>
      <c r="BR57" s="306">
        <v>0</v>
      </c>
    </row>
    <row r="58" spans="1:70">
      <c r="A58" s="304" t="s">
        <v>727</v>
      </c>
      <c r="B58" s="306">
        <v>1</v>
      </c>
      <c r="AD58" s="304" t="s">
        <v>752</v>
      </c>
      <c r="AE58" s="306">
        <v>0</v>
      </c>
      <c r="AF58" s="306">
        <v>0</v>
      </c>
      <c r="AG58" s="306">
        <v>0</v>
      </c>
      <c r="AH58" s="306">
        <v>0</v>
      </c>
      <c r="AI58" s="306">
        <v>0</v>
      </c>
      <c r="AJ58" s="306">
        <v>0</v>
      </c>
      <c r="AK58" s="306">
        <v>0</v>
      </c>
      <c r="AL58" s="306">
        <v>0</v>
      </c>
      <c r="AM58" s="306">
        <v>0</v>
      </c>
      <c r="AN58" s="306">
        <v>0</v>
      </c>
      <c r="AO58" s="306">
        <v>0</v>
      </c>
      <c r="AP58" s="306">
        <v>0</v>
      </c>
      <c r="AQ58" s="306">
        <v>0</v>
      </c>
      <c r="AR58" s="306">
        <v>0</v>
      </c>
      <c r="AS58" s="306">
        <v>0</v>
      </c>
      <c r="AT58" s="306">
        <v>0</v>
      </c>
      <c r="AU58" s="306">
        <v>0</v>
      </c>
      <c r="AV58" s="306">
        <v>0</v>
      </c>
      <c r="AW58" s="306">
        <v>0</v>
      </c>
      <c r="AX58" s="306">
        <v>0</v>
      </c>
      <c r="AY58" s="306">
        <v>0</v>
      </c>
      <c r="AZ58" s="306">
        <v>0</v>
      </c>
      <c r="BA58" s="306">
        <v>0</v>
      </c>
      <c r="BB58" s="306">
        <v>0</v>
      </c>
      <c r="BC58" s="306">
        <v>0</v>
      </c>
      <c r="BD58" s="306">
        <v>0</v>
      </c>
      <c r="BE58" s="306">
        <v>0</v>
      </c>
      <c r="BF58" s="306">
        <v>0</v>
      </c>
      <c r="BG58" s="306">
        <v>0</v>
      </c>
      <c r="BH58" s="306">
        <v>0</v>
      </c>
      <c r="BI58" s="306">
        <v>0</v>
      </c>
      <c r="BJ58" s="306">
        <v>0</v>
      </c>
      <c r="BK58" s="306">
        <v>0</v>
      </c>
      <c r="BL58" s="306">
        <v>0</v>
      </c>
      <c r="BM58" s="306">
        <v>0</v>
      </c>
      <c r="BN58" s="306">
        <v>0</v>
      </c>
      <c r="BO58" s="306">
        <v>0</v>
      </c>
      <c r="BP58" s="306">
        <v>0</v>
      </c>
      <c r="BQ58" s="306">
        <v>0</v>
      </c>
      <c r="BR58" s="306">
        <v>0</v>
      </c>
    </row>
    <row r="59" spans="1:70">
      <c r="A59" s="304" t="s">
        <v>728</v>
      </c>
      <c r="B59" s="306">
        <v>1</v>
      </c>
      <c r="AD59" s="304" t="s">
        <v>753</v>
      </c>
      <c r="AE59" s="306">
        <v>0</v>
      </c>
      <c r="AF59" s="306">
        <v>0</v>
      </c>
      <c r="AG59" s="306">
        <v>0</v>
      </c>
      <c r="AH59" s="306">
        <v>0</v>
      </c>
      <c r="AI59" s="306">
        <v>0</v>
      </c>
      <c r="AJ59" s="306">
        <v>0</v>
      </c>
      <c r="AK59" s="306">
        <v>0</v>
      </c>
      <c r="AL59" s="306">
        <v>0</v>
      </c>
      <c r="AM59" s="306">
        <v>0</v>
      </c>
      <c r="AN59" s="306">
        <v>0</v>
      </c>
      <c r="AO59" s="306">
        <v>0</v>
      </c>
      <c r="AP59" s="306">
        <v>0</v>
      </c>
      <c r="AQ59" s="306">
        <v>0</v>
      </c>
      <c r="AR59" s="306">
        <v>0</v>
      </c>
      <c r="AS59" s="306">
        <v>0</v>
      </c>
      <c r="AT59" s="306">
        <v>0</v>
      </c>
      <c r="AU59" s="306">
        <v>0</v>
      </c>
      <c r="AV59" s="306">
        <v>0</v>
      </c>
      <c r="AW59" s="306">
        <v>0</v>
      </c>
      <c r="AX59" s="306">
        <v>0</v>
      </c>
      <c r="AY59" s="306">
        <v>0</v>
      </c>
      <c r="AZ59" s="306">
        <v>0</v>
      </c>
      <c r="BA59" s="306">
        <v>0</v>
      </c>
      <c r="BB59" s="306">
        <v>0</v>
      </c>
      <c r="BC59" s="306">
        <v>0</v>
      </c>
      <c r="BD59" s="306">
        <v>0</v>
      </c>
      <c r="BE59" s="306">
        <v>0</v>
      </c>
      <c r="BF59" s="306">
        <v>0</v>
      </c>
      <c r="BG59" s="306">
        <v>0</v>
      </c>
      <c r="BH59" s="306">
        <v>0</v>
      </c>
      <c r="BI59" s="306">
        <v>0</v>
      </c>
      <c r="BJ59" s="306">
        <v>0</v>
      </c>
      <c r="BK59" s="306">
        <v>0</v>
      </c>
      <c r="BL59" s="306">
        <v>0</v>
      </c>
      <c r="BM59" s="306">
        <v>0</v>
      </c>
      <c r="BN59" s="306">
        <v>0</v>
      </c>
      <c r="BO59" s="306">
        <v>0</v>
      </c>
      <c r="BP59" s="306">
        <v>0</v>
      </c>
      <c r="BQ59" s="306">
        <v>0</v>
      </c>
      <c r="BR59" s="306">
        <v>0</v>
      </c>
    </row>
    <row r="60" spans="1:70">
      <c r="A60" s="304"/>
      <c r="B60" s="390" t="s">
        <v>707</v>
      </c>
      <c r="AD60" s="304" t="s">
        <v>754</v>
      </c>
      <c r="AE60" s="306">
        <v>0</v>
      </c>
      <c r="AF60" s="306">
        <v>0</v>
      </c>
      <c r="AG60" s="306">
        <v>0</v>
      </c>
      <c r="AH60" s="306">
        <v>0</v>
      </c>
      <c r="AI60" s="306">
        <v>0</v>
      </c>
      <c r="AJ60" s="306">
        <v>0</v>
      </c>
      <c r="AK60" s="306">
        <v>0</v>
      </c>
      <c r="AL60" s="306">
        <v>0</v>
      </c>
      <c r="AM60" s="306">
        <v>0</v>
      </c>
      <c r="AN60" s="306">
        <v>0</v>
      </c>
      <c r="AO60" s="306">
        <v>0</v>
      </c>
      <c r="AP60" s="306">
        <v>0</v>
      </c>
      <c r="AQ60" s="306">
        <v>0</v>
      </c>
      <c r="AR60" s="306">
        <v>0</v>
      </c>
      <c r="AS60" s="306">
        <v>0</v>
      </c>
      <c r="AT60" s="306">
        <v>0</v>
      </c>
      <c r="AU60" s="306">
        <v>0</v>
      </c>
      <c r="AV60" s="306">
        <v>0</v>
      </c>
      <c r="AW60" s="306">
        <v>0</v>
      </c>
      <c r="AX60" s="306">
        <v>0</v>
      </c>
      <c r="AY60" s="306">
        <v>0</v>
      </c>
      <c r="AZ60" s="306">
        <v>0</v>
      </c>
      <c r="BA60" s="306">
        <v>0</v>
      </c>
      <c r="BB60" s="306">
        <v>0</v>
      </c>
      <c r="BC60" s="306">
        <v>0</v>
      </c>
      <c r="BD60" s="306">
        <v>0</v>
      </c>
      <c r="BE60" s="306">
        <v>0</v>
      </c>
      <c r="BF60" s="306">
        <v>0</v>
      </c>
      <c r="BG60" s="306">
        <v>0</v>
      </c>
      <c r="BH60" s="306">
        <v>0</v>
      </c>
      <c r="BI60" s="306">
        <v>0</v>
      </c>
      <c r="BJ60" s="306">
        <v>0</v>
      </c>
      <c r="BK60" s="306">
        <v>0</v>
      </c>
      <c r="BL60" s="306">
        <v>0</v>
      </c>
      <c r="BM60" s="306">
        <v>0</v>
      </c>
      <c r="BN60" s="306">
        <v>0</v>
      </c>
      <c r="BO60" s="306">
        <v>0</v>
      </c>
      <c r="BP60" s="306">
        <v>0</v>
      </c>
      <c r="BQ60" s="306">
        <v>0</v>
      </c>
      <c r="BR60" s="306">
        <v>0</v>
      </c>
    </row>
    <row r="61" spans="1:70">
      <c r="AD61" s="304" t="s">
        <v>755</v>
      </c>
      <c r="AE61" s="306">
        <v>0</v>
      </c>
      <c r="AF61" s="306">
        <v>0</v>
      </c>
      <c r="AG61" s="306">
        <v>0</v>
      </c>
      <c r="AH61" s="306">
        <v>0</v>
      </c>
      <c r="AI61" s="306">
        <v>0</v>
      </c>
      <c r="AJ61" s="306">
        <v>0</v>
      </c>
      <c r="AK61" s="306">
        <v>0</v>
      </c>
      <c r="AL61" s="306">
        <v>0</v>
      </c>
      <c r="AM61" s="306">
        <v>0</v>
      </c>
      <c r="AN61" s="306">
        <v>0</v>
      </c>
      <c r="AO61" s="306">
        <v>0</v>
      </c>
      <c r="AP61" s="306">
        <v>0</v>
      </c>
      <c r="AQ61" s="306">
        <v>0</v>
      </c>
      <c r="AR61" s="306">
        <v>0</v>
      </c>
      <c r="AS61" s="306">
        <v>0</v>
      </c>
      <c r="AT61" s="306">
        <v>0</v>
      </c>
      <c r="AU61" s="306">
        <v>0</v>
      </c>
      <c r="AV61" s="306">
        <v>0</v>
      </c>
      <c r="AW61" s="306">
        <v>0</v>
      </c>
      <c r="AX61" s="306">
        <v>0</v>
      </c>
      <c r="AY61" s="306">
        <v>0</v>
      </c>
      <c r="AZ61" s="306">
        <v>0</v>
      </c>
      <c r="BA61" s="306">
        <v>0</v>
      </c>
      <c r="BB61" s="306">
        <v>0</v>
      </c>
      <c r="BC61" s="306">
        <v>0</v>
      </c>
      <c r="BD61" s="306">
        <v>0</v>
      </c>
      <c r="BE61" s="306">
        <v>0</v>
      </c>
      <c r="BF61" s="306">
        <v>0</v>
      </c>
      <c r="BG61" s="306">
        <v>0</v>
      </c>
      <c r="BH61" s="306">
        <v>0</v>
      </c>
      <c r="BI61" s="306">
        <v>0</v>
      </c>
      <c r="BJ61" s="306">
        <v>0</v>
      </c>
      <c r="BK61" s="306">
        <v>0</v>
      </c>
      <c r="BL61" s="306">
        <v>0</v>
      </c>
      <c r="BM61" s="306">
        <v>0</v>
      </c>
      <c r="BN61" s="306">
        <v>0</v>
      </c>
      <c r="BO61" s="306">
        <v>0</v>
      </c>
      <c r="BP61" s="306">
        <v>0</v>
      </c>
      <c r="BQ61" s="306">
        <v>0</v>
      </c>
      <c r="BR61" s="306">
        <v>0</v>
      </c>
    </row>
    <row r="62" spans="1:70">
      <c r="AD62" s="304" t="s">
        <v>756</v>
      </c>
      <c r="AE62" s="306">
        <v>0</v>
      </c>
      <c r="AF62" s="306">
        <v>0</v>
      </c>
      <c r="AG62" s="306">
        <v>0</v>
      </c>
      <c r="AH62" s="306">
        <v>0</v>
      </c>
      <c r="AI62" s="306">
        <v>0</v>
      </c>
      <c r="AJ62" s="306">
        <v>0</v>
      </c>
      <c r="AK62" s="306">
        <v>0</v>
      </c>
      <c r="AL62" s="306">
        <v>0</v>
      </c>
      <c r="AM62" s="306">
        <v>0</v>
      </c>
      <c r="AN62" s="306">
        <v>0</v>
      </c>
      <c r="AO62" s="306">
        <v>0</v>
      </c>
      <c r="AP62" s="306">
        <v>0</v>
      </c>
      <c r="AQ62" s="306">
        <v>0</v>
      </c>
      <c r="AR62" s="306">
        <v>0</v>
      </c>
      <c r="AS62" s="306">
        <v>0</v>
      </c>
      <c r="AT62" s="306">
        <v>0</v>
      </c>
      <c r="AU62" s="306">
        <v>0</v>
      </c>
      <c r="AV62" s="306">
        <v>0</v>
      </c>
      <c r="AW62" s="306">
        <v>0</v>
      </c>
      <c r="AX62" s="306">
        <v>0</v>
      </c>
      <c r="AY62" s="306">
        <v>0</v>
      </c>
      <c r="AZ62" s="306">
        <v>0</v>
      </c>
      <c r="BA62" s="306">
        <v>0</v>
      </c>
      <c r="BB62" s="306">
        <v>0</v>
      </c>
      <c r="BC62" s="306">
        <v>0</v>
      </c>
      <c r="BD62" s="306">
        <v>0</v>
      </c>
      <c r="BE62" s="306">
        <v>0</v>
      </c>
      <c r="BF62" s="306">
        <v>0</v>
      </c>
      <c r="BG62" s="306">
        <v>0</v>
      </c>
      <c r="BH62" s="306">
        <v>0</v>
      </c>
      <c r="BI62" s="306">
        <v>0</v>
      </c>
      <c r="BJ62" s="306">
        <v>0</v>
      </c>
      <c r="BK62" s="306">
        <v>0</v>
      </c>
      <c r="BL62" s="306">
        <v>0</v>
      </c>
      <c r="BM62" s="306">
        <v>0</v>
      </c>
      <c r="BN62" s="306">
        <v>0</v>
      </c>
      <c r="BO62" s="306">
        <v>0</v>
      </c>
      <c r="BP62" s="306">
        <v>0</v>
      </c>
      <c r="BQ62" s="306">
        <v>0</v>
      </c>
      <c r="BR62" s="306">
        <v>0</v>
      </c>
    </row>
    <row r="63" spans="1:70">
      <c r="AD63" s="304" t="s">
        <v>757</v>
      </c>
      <c r="AE63" s="306">
        <v>0</v>
      </c>
      <c r="AF63" s="306">
        <v>0</v>
      </c>
      <c r="AG63" s="306">
        <v>0</v>
      </c>
      <c r="AH63" s="306">
        <v>0</v>
      </c>
      <c r="AI63" s="306">
        <v>0</v>
      </c>
      <c r="AJ63" s="306">
        <v>0</v>
      </c>
      <c r="AK63" s="306">
        <v>0</v>
      </c>
      <c r="AL63" s="306">
        <v>0</v>
      </c>
      <c r="AM63" s="306">
        <v>0</v>
      </c>
      <c r="AN63" s="306">
        <v>0</v>
      </c>
      <c r="AO63" s="306">
        <v>0</v>
      </c>
      <c r="AP63" s="306">
        <v>0</v>
      </c>
      <c r="AQ63" s="306">
        <v>0</v>
      </c>
      <c r="AR63" s="306">
        <v>0</v>
      </c>
      <c r="AS63" s="306">
        <v>0</v>
      </c>
      <c r="AT63" s="306">
        <v>0</v>
      </c>
      <c r="AU63" s="306">
        <v>0</v>
      </c>
      <c r="AV63" s="306">
        <v>0</v>
      </c>
      <c r="AW63" s="306">
        <v>0</v>
      </c>
      <c r="AX63" s="306">
        <v>0</v>
      </c>
      <c r="AY63" s="306">
        <v>0</v>
      </c>
      <c r="AZ63" s="306">
        <v>0</v>
      </c>
      <c r="BA63" s="306">
        <v>0</v>
      </c>
      <c r="BB63" s="306">
        <v>0</v>
      </c>
      <c r="BC63" s="306">
        <v>0</v>
      </c>
      <c r="BD63" s="306">
        <v>0</v>
      </c>
      <c r="BE63" s="306">
        <v>0</v>
      </c>
      <c r="BF63" s="306">
        <v>0</v>
      </c>
      <c r="BG63" s="306">
        <v>0</v>
      </c>
      <c r="BH63" s="306">
        <v>0</v>
      </c>
      <c r="BI63" s="306">
        <v>0</v>
      </c>
      <c r="BJ63" s="306">
        <v>0</v>
      </c>
      <c r="BK63" s="306">
        <v>0</v>
      </c>
      <c r="BL63" s="306">
        <v>0</v>
      </c>
      <c r="BM63" s="306">
        <v>0</v>
      </c>
      <c r="BN63" s="306">
        <v>0</v>
      </c>
      <c r="BO63" s="306">
        <v>0</v>
      </c>
      <c r="BP63" s="306">
        <v>0</v>
      </c>
      <c r="BQ63" s="306">
        <v>0</v>
      </c>
      <c r="BR63" s="306">
        <v>0</v>
      </c>
    </row>
    <row r="64" spans="1:70">
      <c r="AD64" s="304" t="s">
        <v>670</v>
      </c>
      <c r="AE64" s="306">
        <v>0</v>
      </c>
      <c r="AF64" s="306">
        <v>0</v>
      </c>
      <c r="AG64" s="306">
        <v>0</v>
      </c>
      <c r="AH64" s="306">
        <v>0</v>
      </c>
      <c r="AI64" s="306">
        <v>0</v>
      </c>
      <c r="AJ64" s="306">
        <v>0</v>
      </c>
      <c r="AK64" s="306">
        <v>0</v>
      </c>
      <c r="AL64" s="306">
        <v>0</v>
      </c>
      <c r="AM64" s="306">
        <v>0</v>
      </c>
      <c r="AN64" s="306">
        <v>0</v>
      </c>
      <c r="AO64" s="306">
        <v>0</v>
      </c>
      <c r="AP64" s="306">
        <v>0</v>
      </c>
      <c r="AQ64" s="306">
        <v>0</v>
      </c>
      <c r="AR64" s="306">
        <v>0</v>
      </c>
      <c r="AS64" s="306">
        <v>0</v>
      </c>
      <c r="AT64" s="306">
        <v>0</v>
      </c>
      <c r="AU64" s="306">
        <v>0</v>
      </c>
      <c r="AV64" s="306">
        <v>0</v>
      </c>
      <c r="AW64" s="306">
        <v>0</v>
      </c>
      <c r="AX64" s="306">
        <v>0</v>
      </c>
      <c r="AY64" s="306">
        <v>0</v>
      </c>
      <c r="AZ64" s="306">
        <v>0</v>
      </c>
      <c r="BA64" s="306">
        <v>0</v>
      </c>
      <c r="BB64" s="306">
        <v>0</v>
      </c>
      <c r="BC64" s="306">
        <v>0</v>
      </c>
      <c r="BD64" s="306">
        <v>0</v>
      </c>
      <c r="BE64" s="306">
        <v>0</v>
      </c>
      <c r="BF64" s="306">
        <v>0</v>
      </c>
      <c r="BG64" s="306">
        <v>0</v>
      </c>
      <c r="BH64" s="306">
        <v>0</v>
      </c>
      <c r="BI64" s="306">
        <v>0</v>
      </c>
      <c r="BJ64" s="306">
        <v>0</v>
      </c>
      <c r="BK64" s="306">
        <v>0</v>
      </c>
      <c r="BL64" s="306">
        <v>0</v>
      </c>
      <c r="BM64" s="306">
        <v>0</v>
      </c>
      <c r="BN64" s="306">
        <v>0</v>
      </c>
      <c r="BO64" s="306">
        <v>0</v>
      </c>
      <c r="BP64" s="306">
        <v>0</v>
      </c>
      <c r="BQ64" s="306">
        <v>0</v>
      </c>
      <c r="BR64" s="306">
        <v>0</v>
      </c>
    </row>
    <row r="65" spans="30:70">
      <c r="AD65" s="304" t="s">
        <v>671</v>
      </c>
      <c r="AE65" s="306">
        <v>0</v>
      </c>
      <c r="AF65" s="306">
        <v>0</v>
      </c>
      <c r="AG65" s="306">
        <v>0</v>
      </c>
      <c r="AH65" s="306">
        <v>0</v>
      </c>
      <c r="AI65" s="306">
        <v>0</v>
      </c>
      <c r="AJ65" s="306">
        <v>0</v>
      </c>
      <c r="AK65" s="306">
        <v>0</v>
      </c>
      <c r="AL65" s="306">
        <v>0</v>
      </c>
      <c r="AM65" s="306">
        <v>10407.5335702297</v>
      </c>
      <c r="AN65" s="306">
        <v>0</v>
      </c>
      <c r="AO65" s="306">
        <v>0</v>
      </c>
      <c r="AP65" s="306">
        <v>0</v>
      </c>
      <c r="AQ65" s="306">
        <v>0</v>
      </c>
      <c r="AR65" s="306">
        <v>0</v>
      </c>
      <c r="AS65" s="306">
        <v>0</v>
      </c>
      <c r="AT65" s="306">
        <v>0</v>
      </c>
      <c r="AU65" s="306">
        <v>0</v>
      </c>
      <c r="AV65" s="306">
        <v>0</v>
      </c>
      <c r="AW65" s="306">
        <v>0</v>
      </c>
      <c r="AX65" s="306">
        <v>0</v>
      </c>
      <c r="AY65" s="306">
        <v>0</v>
      </c>
      <c r="AZ65" s="306">
        <v>0</v>
      </c>
      <c r="BA65" s="306">
        <v>0</v>
      </c>
      <c r="BB65" s="306">
        <v>0</v>
      </c>
      <c r="BC65" s="306">
        <v>0</v>
      </c>
      <c r="BD65" s="306">
        <v>0</v>
      </c>
      <c r="BE65" s="306">
        <v>0</v>
      </c>
      <c r="BF65" s="306">
        <v>0</v>
      </c>
      <c r="BG65" s="306">
        <v>0</v>
      </c>
      <c r="BH65" s="306">
        <v>0</v>
      </c>
      <c r="BI65" s="306">
        <v>0</v>
      </c>
      <c r="BJ65" s="306">
        <v>0</v>
      </c>
      <c r="BK65" s="306">
        <v>0</v>
      </c>
      <c r="BL65" s="306">
        <v>0</v>
      </c>
      <c r="BM65" s="306">
        <v>0</v>
      </c>
      <c r="BN65" s="306">
        <v>0</v>
      </c>
      <c r="BO65" s="306">
        <v>0</v>
      </c>
      <c r="BP65" s="306">
        <v>0</v>
      </c>
      <c r="BQ65" s="306">
        <v>0</v>
      </c>
      <c r="BR65" s="306">
        <v>0</v>
      </c>
    </row>
    <row r="66" spans="30:70">
      <c r="AD66" s="304" t="s">
        <v>714</v>
      </c>
      <c r="AE66" s="306">
        <v>0</v>
      </c>
      <c r="AF66" s="306">
        <v>0</v>
      </c>
      <c r="AG66" s="306">
        <v>0</v>
      </c>
      <c r="AH66" s="306">
        <v>0</v>
      </c>
      <c r="AI66" s="306">
        <v>0</v>
      </c>
      <c r="AJ66" s="306">
        <v>0</v>
      </c>
      <c r="AK66" s="306">
        <v>0</v>
      </c>
      <c r="AL66" s="306">
        <v>0</v>
      </c>
      <c r="AM66" s="306">
        <v>0</v>
      </c>
      <c r="AN66" s="306">
        <v>0</v>
      </c>
      <c r="AO66" s="306">
        <v>0</v>
      </c>
      <c r="AP66" s="306">
        <v>0</v>
      </c>
      <c r="AQ66" s="306">
        <v>0</v>
      </c>
      <c r="AR66" s="306">
        <v>0</v>
      </c>
      <c r="AS66" s="306">
        <v>0</v>
      </c>
      <c r="AT66" s="306">
        <v>0</v>
      </c>
      <c r="AU66" s="306">
        <v>0</v>
      </c>
      <c r="AV66" s="306">
        <v>0</v>
      </c>
      <c r="AW66" s="306">
        <v>0</v>
      </c>
      <c r="AX66" s="306">
        <v>0</v>
      </c>
      <c r="AY66" s="306">
        <v>0</v>
      </c>
      <c r="AZ66" s="306">
        <v>3749358.3680556798</v>
      </c>
      <c r="BA66" s="306">
        <v>0</v>
      </c>
      <c r="BB66" s="306">
        <v>0</v>
      </c>
      <c r="BC66" s="306">
        <v>0</v>
      </c>
      <c r="BD66" s="306">
        <v>0</v>
      </c>
      <c r="BE66" s="306">
        <v>0</v>
      </c>
      <c r="BF66" s="306">
        <v>0</v>
      </c>
      <c r="BG66" s="306">
        <v>0</v>
      </c>
      <c r="BH66" s="306">
        <v>0</v>
      </c>
      <c r="BI66" s="306">
        <v>0</v>
      </c>
      <c r="BJ66" s="306">
        <v>0</v>
      </c>
      <c r="BK66" s="306">
        <v>0</v>
      </c>
      <c r="BL66" s="306">
        <v>0</v>
      </c>
      <c r="BM66" s="306">
        <v>0</v>
      </c>
      <c r="BN66" s="306">
        <v>0</v>
      </c>
      <c r="BO66" s="306">
        <v>0</v>
      </c>
      <c r="BP66" s="306">
        <v>0</v>
      </c>
      <c r="BQ66" s="306">
        <v>0</v>
      </c>
      <c r="BR66" s="306">
        <v>0</v>
      </c>
    </row>
    <row r="67" spans="30:70">
      <c r="AD67" s="304" t="s">
        <v>758</v>
      </c>
      <c r="AE67" s="306">
        <v>0</v>
      </c>
      <c r="AF67" s="306">
        <v>0</v>
      </c>
      <c r="AG67" s="306">
        <v>0</v>
      </c>
      <c r="AH67" s="306">
        <v>0</v>
      </c>
      <c r="AI67" s="306">
        <v>0</v>
      </c>
      <c r="AJ67" s="306">
        <v>0</v>
      </c>
      <c r="AK67" s="306">
        <v>0</v>
      </c>
      <c r="AL67" s="306">
        <v>0</v>
      </c>
      <c r="AM67" s="306">
        <v>0</v>
      </c>
      <c r="AN67" s="306">
        <v>0</v>
      </c>
      <c r="AO67" s="306">
        <v>0</v>
      </c>
      <c r="AP67" s="306">
        <v>0</v>
      </c>
      <c r="AQ67" s="306">
        <v>0</v>
      </c>
      <c r="AR67" s="306">
        <v>0</v>
      </c>
      <c r="AS67" s="306">
        <v>0</v>
      </c>
      <c r="AT67" s="306">
        <v>0</v>
      </c>
      <c r="AU67" s="306">
        <v>0</v>
      </c>
      <c r="AV67" s="306">
        <v>0</v>
      </c>
      <c r="AW67" s="306">
        <v>0</v>
      </c>
      <c r="AX67" s="306">
        <v>0</v>
      </c>
      <c r="AY67" s="306">
        <v>0</v>
      </c>
      <c r="AZ67" s="306">
        <v>0</v>
      </c>
      <c r="BA67" s="306">
        <v>0</v>
      </c>
      <c r="BB67" s="306">
        <v>0</v>
      </c>
      <c r="BC67" s="306">
        <v>0</v>
      </c>
      <c r="BD67" s="306">
        <v>0</v>
      </c>
      <c r="BE67" s="306">
        <v>0</v>
      </c>
      <c r="BF67" s="306">
        <v>0</v>
      </c>
      <c r="BG67" s="306">
        <v>0</v>
      </c>
      <c r="BH67" s="306">
        <v>0</v>
      </c>
      <c r="BI67" s="306">
        <v>0</v>
      </c>
      <c r="BJ67" s="306">
        <v>0</v>
      </c>
      <c r="BK67" s="306">
        <v>0</v>
      </c>
      <c r="BL67" s="306">
        <v>0</v>
      </c>
      <c r="BM67" s="306">
        <v>0</v>
      </c>
      <c r="BN67" s="306">
        <v>0</v>
      </c>
      <c r="BO67" s="306">
        <v>0</v>
      </c>
      <c r="BP67" s="306">
        <v>0</v>
      </c>
      <c r="BQ67" s="306">
        <v>0</v>
      </c>
      <c r="BR67" s="306">
        <v>0</v>
      </c>
    </row>
    <row r="68" spans="30:70">
      <c r="AD68" s="304" t="s">
        <v>715</v>
      </c>
      <c r="AE68" s="306">
        <v>0</v>
      </c>
      <c r="AF68" s="306">
        <v>0</v>
      </c>
      <c r="AG68" s="306">
        <v>0</v>
      </c>
      <c r="AH68" s="306">
        <v>0</v>
      </c>
      <c r="AI68" s="306">
        <v>0</v>
      </c>
      <c r="AJ68" s="306">
        <v>0</v>
      </c>
      <c r="AK68" s="306">
        <v>0</v>
      </c>
      <c r="AL68" s="306">
        <v>0</v>
      </c>
      <c r="AM68" s="306">
        <v>0</v>
      </c>
      <c r="AN68" s="306">
        <v>0</v>
      </c>
      <c r="AO68" s="306">
        <v>0</v>
      </c>
      <c r="AP68" s="306">
        <v>0</v>
      </c>
      <c r="AQ68" s="306">
        <v>0</v>
      </c>
      <c r="AR68" s="306">
        <v>0</v>
      </c>
      <c r="AS68" s="306">
        <v>0</v>
      </c>
      <c r="AT68" s="306">
        <v>0</v>
      </c>
      <c r="AU68" s="306">
        <v>0</v>
      </c>
      <c r="AV68" s="306">
        <v>0</v>
      </c>
      <c r="AW68" s="306">
        <v>0</v>
      </c>
      <c r="AX68" s="306">
        <v>0</v>
      </c>
      <c r="AY68" s="306">
        <v>0</v>
      </c>
      <c r="AZ68" s="306">
        <v>0</v>
      </c>
      <c r="BA68" s="306">
        <v>0</v>
      </c>
      <c r="BB68" s="306">
        <v>0</v>
      </c>
      <c r="BC68" s="306">
        <v>0</v>
      </c>
      <c r="BD68" s="306">
        <v>0</v>
      </c>
      <c r="BE68" s="306">
        <v>0</v>
      </c>
      <c r="BF68" s="306">
        <v>0</v>
      </c>
      <c r="BG68" s="306">
        <v>668.84165319492104</v>
      </c>
      <c r="BH68" s="306">
        <v>0</v>
      </c>
      <c r="BI68" s="306">
        <v>0</v>
      </c>
      <c r="BJ68" s="306">
        <v>0</v>
      </c>
      <c r="BK68" s="306">
        <v>0</v>
      </c>
      <c r="BL68" s="306">
        <v>0</v>
      </c>
      <c r="BM68" s="306">
        <v>0</v>
      </c>
      <c r="BN68" s="306">
        <v>0</v>
      </c>
      <c r="BO68" s="306">
        <v>0</v>
      </c>
      <c r="BP68" s="306">
        <v>0</v>
      </c>
      <c r="BQ68" s="306">
        <v>0</v>
      </c>
      <c r="BR68" s="306">
        <v>0</v>
      </c>
    </row>
    <row r="69" spans="30:70">
      <c r="AD69" s="304" t="s">
        <v>716</v>
      </c>
      <c r="AE69" s="306">
        <v>0</v>
      </c>
      <c r="AF69" s="306">
        <v>0</v>
      </c>
      <c r="AG69" s="306">
        <v>0</v>
      </c>
      <c r="AH69" s="306">
        <v>0</v>
      </c>
      <c r="AI69" s="306">
        <v>0</v>
      </c>
      <c r="AJ69" s="306">
        <v>0</v>
      </c>
      <c r="AK69" s="306">
        <v>0</v>
      </c>
      <c r="AL69" s="306">
        <v>0</v>
      </c>
      <c r="AM69" s="306">
        <v>0</v>
      </c>
      <c r="AN69" s="306">
        <v>0</v>
      </c>
      <c r="AO69" s="306">
        <v>0</v>
      </c>
      <c r="AP69" s="306">
        <v>0</v>
      </c>
      <c r="AQ69" s="306">
        <v>0</v>
      </c>
      <c r="AR69" s="306">
        <v>0</v>
      </c>
      <c r="AS69" s="306">
        <v>0</v>
      </c>
      <c r="AT69" s="306">
        <v>0</v>
      </c>
      <c r="AU69" s="306">
        <v>0</v>
      </c>
      <c r="AV69" s="306">
        <v>0</v>
      </c>
      <c r="AW69" s="306">
        <v>0</v>
      </c>
      <c r="AX69" s="306">
        <v>0</v>
      </c>
      <c r="AY69" s="306">
        <v>0</v>
      </c>
      <c r="AZ69" s="306">
        <v>0</v>
      </c>
      <c r="BA69" s="306">
        <v>0</v>
      </c>
      <c r="BB69" s="306">
        <v>0</v>
      </c>
      <c r="BC69" s="306">
        <v>0</v>
      </c>
      <c r="BD69" s="306">
        <v>0</v>
      </c>
      <c r="BE69" s="306">
        <v>0</v>
      </c>
      <c r="BF69" s="306">
        <v>668.84165319492104</v>
      </c>
      <c r="BG69" s="306">
        <v>0</v>
      </c>
      <c r="BH69" s="306">
        <v>0</v>
      </c>
      <c r="BI69" s="306">
        <v>0</v>
      </c>
      <c r="BJ69" s="306">
        <v>0</v>
      </c>
      <c r="BK69" s="306">
        <v>0</v>
      </c>
      <c r="BL69" s="306">
        <v>0</v>
      </c>
      <c r="BM69" s="306">
        <v>0</v>
      </c>
      <c r="BN69" s="306">
        <v>0</v>
      </c>
      <c r="BO69" s="306">
        <v>0</v>
      </c>
      <c r="BP69" s="306">
        <v>0</v>
      </c>
      <c r="BQ69" s="306">
        <v>0</v>
      </c>
      <c r="BR69" s="306">
        <v>0</v>
      </c>
    </row>
    <row r="70" spans="30:70">
      <c r="AD70" s="304" t="s">
        <v>717</v>
      </c>
      <c r="AE70" s="306">
        <v>0</v>
      </c>
      <c r="AF70" s="306">
        <v>0</v>
      </c>
      <c r="AG70" s="306">
        <v>0</v>
      </c>
      <c r="AH70" s="306">
        <v>0</v>
      </c>
      <c r="AI70" s="306">
        <v>0</v>
      </c>
      <c r="AJ70" s="306">
        <v>0</v>
      </c>
      <c r="AK70" s="306">
        <v>0</v>
      </c>
      <c r="AL70" s="306">
        <v>0</v>
      </c>
      <c r="AM70" s="306">
        <v>0</v>
      </c>
      <c r="AN70" s="306">
        <v>0</v>
      </c>
      <c r="AO70" s="306">
        <v>0</v>
      </c>
      <c r="AP70" s="306">
        <v>0</v>
      </c>
      <c r="AQ70" s="306">
        <v>0</v>
      </c>
      <c r="AR70" s="306">
        <v>0</v>
      </c>
      <c r="AS70" s="306">
        <v>0</v>
      </c>
      <c r="AT70" s="306">
        <v>0</v>
      </c>
      <c r="AU70" s="306">
        <v>0</v>
      </c>
      <c r="AV70" s="306">
        <v>0</v>
      </c>
      <c r="AW70" s="306">
        <v>0</v>
      </c>
      <c r="AX70" s="306">
        <v>0</v>
      </c>
      <c r="AY70" s="306">
        <v>0</v>
      </c>
      <c r="AZ70" s="306">
        <v>0</v>
      </c>
      <c r="BA70" s="306">
        <v>0</v>
      </c>
      <c r="BB70" s="306">
        <v>0</v>
      </c>
      <c r="BC70" s="306">
        <v>0</v>
      </c>
      <c r="BD70" s="306">
        <v>0</v>
      </c>
      <c r="BE70" s="306">
        <v>184686.52821315001</v>
      </c>
      <c r="BF70" s="306">
        <v>0</v>
      </c>
      <c r="BG70" s="306">
        <v>0</v>
      </c>
      <c r="BH70" s="306">
        <v>0</v>
      </c>
      <c r="BI70" s="306">
        <v>0</v>
      </c>
      <c r="BJ70" s="306">
        <v>0</v>
      </c>
      <c r="BK70" s="306">
        <v>0</v>
      </c>
      <c r="BL70" s="306">
        <v>0</v>
      </c>
      <c r="BM70" s="306">
        <v>0</v>
      </c>
      <c r="BN70" s="306">
        <v>0</v>
      </c>
      <c r="BO70" s="306">
        <v>0</v>
      </c>
      <c r="BP70" s="306">
        <v>0</v>
      </c>
      <c r="BQ70" s="306">
        <v>0</v>
      </c>
      <c r="BR70" s="306">
        <v>0</v>
      </c>
    </row>
    <row r="71" spans="30:70">
      <c r="AD71" s="304" t="s">
        <v>718</v>
      </c>
      <c r="AE71" s="306">
        <v>0</v>
      </c>
      <c r="AF71" s="306">
        <v>0</v>
      </c>
      <c r="AG71" s="306">
        <v>0</v>
      </c>
      <c r="AH71" s="306">
        <v>0</v>
      </c>
      <c r="AI71" s="306">
        <v>0</v>
      </c>
      <c r="AJ71" s="306">
        <v>0</v>
      </c>
      <c r="AK71" s="306">
        <v>0</v>
      </c>
      <c r="AL71" s="306">
        <v>0</v>
      </c>
      <c r="AM71" s="306">
        <v>0</v>
      </c>
      <c r="AN71" s="306">
        <v>0</v>
      </c>
      <c r="AO71" s="306">
        <v>0</v>
      </c>
      <c r="AP71" s="306">
        <v>0</v>
      </c>
      <c r="AQ71" s="306">
        <v>0</v>
      </c>
      <c r="AR71" s="306">
        <v>0</v>
      </c>
      <c r="AS71" s="306">
        <v>184686.52821315001</v>
      </c>
      <c r="AT71" s="306">
        <v>0</v>
      </c>
      <c r="AU71" s="306">
        <v>0</v>
      </c>
      <c r="AV71" s="306">
        <v>0</v>
      </c>
      <c r="AW71" s="306">
        <v>0</v>
      </c>
      <c r="AX71" s="306">
        <v>0</v>
      </c>
      <c r="AY71" s="306">
        <v>0</v>
      </c>
      <c r="AZ71" s="306">
        <v>0</v>
      </c>
      <c r="BA71" s="306">
        <v>0</v>
      </c>
      <c r="BB71" s="306">
        <v>0</v>
      </c>
      <c r="BC71" s="306">
        <v>0</v>
      </c>
      <c r="BD71" s="306">
        <v>0</v>
      </c>
      <c r="BE71" s="306">
        <v>0</v>
      </c>
      <c r="BF71" s="306">
        <v>0</v>
      </c>
      <c r="BG71" s="306">
        <v>0</v>
      </c>
      <c r="BH71" s="306">
        <v>0</v>
      </c>
      <c r="BI71" s="306">
        <v>0</v>
      </c>
      <c r="BJ71" s="306">
        <v>0</v>
      </c>
      <c r="BK71" s="306">
        <v>0</v>
      </c>
      <c r="BL71" s="306">
        <v>0</v>
      </c>
      <c r="BM71" s="306">
        <v>0</v>
      </c>
      <c r="BN71" s="306">
        <v>0</v>
      </c>
      <c r="BO71" s="306">
        <v>0</v>
      </c>
      <c r="BP71" s="306">
        <v>0</v>
      </c>
      <c r="BQ71" s="306">
        <v>0</v>
      </c>
      <c r="BR71" s="306">
        <v>0</v>
      </c>
    </row>
    <row r="72" spans="30:70">
      <c r="AD72" s="304" t="s">
        <v>759</v>
      </c>
      <c r="AE72" s="306">
        <v>0</v>
      </c>
      <c r="AF72" s="306">
        <v>0</v>
      </c>
      <c r="AG72" s="306">
        <v>0</v>
      </c>
      <c r="AH72" s="306">
        <v>0</v>
      </c>
      <c r="AI72" s="306">
        <v>0</v>
      </c>
      <c r="AJ72" s="306">
        <v>0</v>
      </c>
      <c r="AK72" s="306">
        <v>0</v>
      </c>
      <c r="AL72" s="306">
        <v>0</v>
      </c>
      <c r="AM72" s="306">
        <v>0</v>
      </c>
      <c r="AN72" s="306">
        <v>0</v>
      </c>
      <c r="AO72" s="306">
        <v>0</v>
      </c>
      <c r="AP72" s="306">
        <v>0</v>
      </c>
      <c r="AQ72" s="306">
        <v>0</v>
      </c>
      <c r="AR72" s="306">
        <v>0</v>
      </c>
      <c r="AS72" s="306">
        <v>0</v>
      </c>
      <c r="AT72" s="306">
        <v>0</v>
      </c>
      <c r="AU72" s="306">
        <v>0</v>
      </c>
      <c r="AV72" s="306">
        <v>0</v>
      </c>
      <c r="AW72" s="306">
        <v>0</v>
      </c>
      <c r="AX72" s="306">
        <v>0</v>
      </c>
      <c r="AY72" s="306">
        <v>0</v>
      </c>
      <c r="AZ72" s="306">
        <v>0</v>
      </c>
      <c r="BA72" s="306">
        <v>0</v>
      </c>
      <c r="BB72" s="306">
        <v>0</v>
      </c>
      <c r="BC72" s="306">
        <v>0</v>
      </c>
      <c r="BD72" s="306">
        <v>0</v>
      </c>
      <c r="BE72" s="306">
        <v>0</v>
      </c>
      <c r="BF72" s="306">
        <v>0</v>
      </c>
      <c r="BG72" s="306">
        <v>0</v>
      </c>
      <c r="BH72" s="306">
        <v>0</v>
      </c>
      <c r="BI72" s="306">
        <v>0</v>
      </c>
      <c r="BJ72" s="306">
        <v>0</v>
      </c>
      <c r="BK72" s="306">
        <v>0</v>
      </c>
      <c r="BL72" s="306">
        <v>0</v>
      </c>
      <c r="BM72" s="306">
        <v>0</v>
      </c>
      <c r="BN72" s="306">
        <v>0</v>
      </c>
      <c r="BO72" s="306">
        <v>0</v>
      </c>
      <c r="BP72" s="306">
        <v>0</v>
      </c>
      <c r="BQ72" s="306">
        <v>0</v>
      </c>
      <c r="BR72" s="306">
        <v>0</v>
      </c>
    </row>
    <row r="73" spans="30:70">
      <c r="AD73" s="304" t="s">
        <v>760</v>
      </c>
      <c r="AE73" s="306">
        <v>0</v>
      </c>
      <c r="AF73" s="306">
        <v>0</v>
      </c>
      <c r="AG73" s="306">
        <v>0</v>
      </c>
      <c r="AH73" s="306">
        <v>0</v>
      </c>
      <c r="AI73" s="306">
        <v>0</v>
      </c>
      <c r="AJ73" s="306">
        <v>0</v>
      </c>
      <c r="AK73" s="306">
        <v>0</v>
      </c>
      <c r="AL73" s="306">
        <v>0</v>
      </c>
      <c r="AM73" s="306">
        <v>0</v>
      </c>
      <c r="AN73" s="306">
        <v>0</v>
      </c>
      <c r="AO73" s="306">
        <v>0</v>
      </c>
      <c r="AP73" s="306">
        <v>0</v>
      </c>
      <c r="AQ73" s="306">
        <v>0</v>
      </c>
      <c r="AR73" s="306">
        <v>0</v>
      </c>
      <c r="AS73" s="306">
        <v>0</v>
      </c>
      <c r="AT73" s="306">
        <v>0</v>
      </c>
      <c r="AU73" s="306">
        <v>0</v>
      </c>
      <c r="AV73" s="306">
        <v>0</v>
      </c>
      <c r="AW73" s="306">
        <v>0</v>
      </c>
      <c r="AX73" s="306">
        <v>0</v>
      </c>
      <c r="AY73" s="306">
        <v>0</v>
      </c>
      <c r="AZ73" s="306">
        <v>0</v>
      </c>
      <c r="BA73" s="306">
        <v>0</v>
      </c>
      <c r="BB73" s="306">
        <v>0</v>
      </c>
      <c r="BC73" s="306">
        <v>0</v>
      </c>
      <c r="BD73" s="306">
        <v>0</v>
      </c>
      <c r="BE73" s="306">
        <v>0</v>
      </c>
      <c r="BF73" s="306">
        <v>0</v>
      </c>
      <c r="BG73" s="306">
        <v>0</v>
      </c>
      <c r="BH73" s="306">
        <v>0</v>
      </c>
      <c r="BI73" s="306">
        <v>0</v>
      </c>
      <c r="BJ73" s="306">
        <v>0</v>
      </c>
      <c r="BK73" s="306">
        <v>0</v>
      </c>
      <c r="BL73" s="306">
        <v>0</v>
      </c>
      <c r="BM73" s="306">
        <v>0</v>
      </c>
      <c r="BN73" s="306">
        <v>0</v>
      </c>
      <c r="BO73" s="306">
        <v>0</v>
      </c>
      <c r="BP73" s="306">
        <v>0</v>
      </c>
      <c r="BQ73" s="306">
        <v>0</v>
      </c>
      <c r="BR73" s="306">
        <v>0</v>
      </c>
    </row>
    <row r="74" spans="30:70">
      <c r="AD74" s="304" t="s">
        <v>761</v>
      </c>
      <c r="AE74" s="306">
        <v>0</v>
      </c>
      <c r="AF74" s="306">
        <v>0</v>
      </c>
      <c r="AG74" s="306">
        <v>0</v>
      </c>
      <c r="AH74" s="306">
        <v>0</v>
      </c>
      <c r="AI74" s="306">
        <v>0</v>
      </c>
      <c r="AJ74" s="306">
        <v>0</v>
      </c>
      <c r="AK74" s="306">
        <v>0</v>
      </c>
      <c r="AL74" s="306">
        <v>0</v>
      </c>
      <c r="AM74" s="306">
        <v>0</v>
      </c>
      <c r="AN74" s="306">
        <v>0</v>
      </c>
      <c r="AO74" s="306">
        <v>0</v>
      </c>
      <c r="AP74" s="306">
        <v>0</v>
      </c>
      <c r="AQ74" s="306">
        <v>0</v>
      </c>
      <c r="AR74" s="306">
        <v>0</v>
      </c>
      <c r="AS74" s="306">
        <v>0</v>
      </c>
      <c r="AT74" s="306">
        <v>0</v>
      </c>
      <c r="AU74" s="306">
        <v>0</v>
      </c>
      <c r="AV74" s="306">
        <v>0</v>
      </c>
      <c r="AW74" s="306">
        <v>0</v>
      </c>
      <c r="AX74" s="306">
        <v>0</v>
      </c>
      <c r="AY74" s="306">
        <v>0</v>
      </c>
      <c r="AZ74" s="306">
        <v>0</v>
      </c>
      <c r="BA74" s="306">
        <v>0</v>
      </c>
      <c r="BB74" s="306">
        <v>0</v>
      </c>
      <c r="BC74" s="306">
        <v>0</v>
      </c>
      <c r="BD74" s="306">
        <v>0</v>
      </c>
      <c r="BE74" s="306">
        <v>0</v>
      </c>
      <c r="BF74" s="306">
        <v>0</v>
      </c>
      <c r="BG74" s="306">
        <v>0</v>
      </c>
      <c r="BH74" s="306">
        <v>0</v>
      </c>
      <c r="BI74" s="306">
        <v>0</v>
      </c>
      <c r="BJ74" s="306">
        <v>0</v>
      </c>
      <c r="BK74" s="306">
        <v>0</v>
      </c>
      <c r="BL74" s="306">
        <v>0</v>
      </c>
      <c r="BM74" s="306">
        <v>0</v>
      </c>
      <c r="BN74" s="306">
        <v>0</v>
      </c>
      <c r="BO74" s="306">
        <v>0</v>
      </c>
      <c r="BP74" s="306">
        <v>0</v>
      </c>
      <c r="BQ74" s="306">
        <v>0</v>
      </c>
      <c r="BR74" s="306">
        <v>0</v>
      </c>
    </row>
    <row r="75" spans="30:70">
      <c r="AD75" s="304" t="s">
        <v>719</v>
      </c>
      <c r="AE75" s="306">
        <v>0</v>
      </c>
      <c r="AF75" s="306">
        <v>22059.242005331998</v>
      </c>
      <c r="AG75" s="306">
        <v>0</v>
      </c>
      <c r="AH75" s="306">
        <v>0</v>
      </c>
      <c r="AI75" s="306">
        <v>0</v>
      </c>
      <c r="AJ75" s="306">
        <v>0</v>
      </c>
      <c r="AK75" s="306">
        <v>0</v>
      </c>
      <c r="AL75" s="306">
        <v>0</v>
      </c>
      <c r="AM75" s="306">
        <v>0</v>
      </c>
      <c r="AN75" s="306">
        <v>0</v>
      </c>
      <c r="AO75" s="306">
        <v>0</v>
      </c>
      <c r="AP75" s="306">
        <v>0</v>
      </c>
      <c r="AQ75" s="306">
        <v>3204496.1178020099</v>
      </c>
      <c r="AR75" s="306">
        <v>0</v>
      </c>
      <c r="AS75" s="306">
        <v>0</v>
      </c>
      <c r="AT75" s="306">
        <v>0</v>
      </c>
      <c r="AU75" s="306">
        <v>0</v>
      </c>
      <c r="AV75" s="306">
        <v>0</v>
      </c>
      <c r="AW75" s="306">
        <v>0</v>
      </c>
      <c r="AX75" s="306">
        <v>0</v>
      </c>
      <c r="AY75" s="306">
        <v>0</v>
      </c>
      <c r="AZ75" s="306">
        <v>0</v>
      </c>
      <c r="BA75" s="306">
        <v>0</v>
      </c>
      <c r="BB75" s="306">
        <v>0</v>
      </c>
      <c r="BC75" s="306">
        <v>0</v>
      </c>
      <c r="BD75" s="306">
        <v>0</v>
      </c>
      <c r="BE75" s="306">
        <v>0</v>
      </c>
      <c r="BF75" s="306">
        <v>0</v>
      </c>
      <c r="BG75" s="306">
        <v>0</v>
      </c>
      <c r="BH75" s="306">
        <v>0</v>
      </c>
      <c r="BI75" s="306">
        <v>0</v>
      </c>
      <c r="BJ75" s="306">
        <v>0</v>
      </c>
      <c r="BK75" s="306">
        <v>0</v>
      </c>
      <c r="BL75" s="306">
        <v>0</v>
      </c>
      <c r="BM75" s="306">
        <v>0</v>
      </c>
      <c r="BN75" s="306">
        <v>0</v>
      </c>
      <c r="BO75" s="306">
        <v>0</v>
      </c>
      <c r="BP75" s="306">
        <v>0</v>
      </c>
      <c r="BQ75" s="306">
        <v>0</v>
      </c>
      <c r="BR75" s="306">
        <v>0</v>
      </c>
    </row>
    <row r="76" spans="30:70">
      <c r="AD76" s="304" t="s">
        <v>720</v>
      </c>
      <c r="AE76" s="306">
        <v>0</v>
      </c>
      <c r="AF76" s="306">
        <v>0</v>
      </c>
      <c r="AG76" s="306">
        <v>3090735.3644190198</v>
      </c>
      <c r="AH76" s="306">
        <v>0</v>
      </c>
      <c r="AI76" s="306">
        <v>0</v>
      </c>
      <c r="AJ76" s="306">
        <v>0</v>
      </c>
      <c r="AK76" s="306">
        <v>0</v>
      </c>
      <c r="AL76" s="306">
        <v>0</v>
      </c>
      <c r="AM76" s="306">
        <v>0</v>
      </c>
      <c r="AN76" s="306">
        <v>0</v>
      </c>
      <c r="AO76" s="306">
        <v>0</v>
      </c>
      <c r="AP76" s="306">
        <v>0</v>
      </c>
      <c r="AQ76" s="306">
        <v>0</v>
      </c>
      <c r="AR76" s="306">
        <v>0</v>
      </c>
      <c r="AS76" s="306">
        <v>0</v>
      </c>
      <c r="AT76" s="306">
        <v>0</v>
      </c>
      <c r="AU76" s="306">
        <v>0</v>
      </c>
      <c r="AV76" s="306">
        <v>0</v>
      </c>
      <c r="AW76" s="306">
        <v>0</v>
      </c>
      <c r="AX76" s="306">
        <v>0</v>
      </c>
      <c r="AY76" s="306">
        <v>0</v>
      </c>
      <c r="AZ76" s="306">
        <v>0</v>
      </c>
      <c r="BA76" s="306">
        <v>0</v>
      </c>
      <c r="BB76" s="306">
        <v>0</v>
      </c>
      <c r="BC76" s="306">
        <v>0</v>
      </c>
      <c r="BD76" s="306">
        <v>0</v>
      </c>
      <c r="BE76" s="306">
        <v>0</v>
      </c>
      <c r="BF76" s="306">
        <v>0</v>
      </c>
      <c r="BG76" s="306">
        <v>0</v>
      </c>
      <c r="BH76" s="306">
        <v>0</v>
      </c>
      <c r="BI76" s="306">
        <v>0</v>
      </c>
      <c r="BJ76" s="306">
        <v>0</v>
      </c>
      <c r="BK76" s="306">
        <v>0</v>
      </c>
      <c r="BL76" s="306">
        <v>0</v>
      </c>
      <c r="BM76" s="306">
        <v>0</v>
      </c>
      <c r="BN76" s="306">
        <v>0</v>
      </c>
      <c r="BO76" s="306">
        <v>0</v>
      </c>
      <c r="BP76" s="306">
        <v>0</v>
      </c>
      <c r="BQ76" s="306">
        <v>0</v>
      </c>
      <c r="BR76" s="306">
        <v>0</v>
      </c>
    </row>
    <row r="77" spans="30:70">
      <c r="AD77" s="304" t="s">
        <v>721</v>
      </c>
      <c r="AE77" s="306">
        <v>0</v>
      </c>
      <c r="AF77" s="306">
        <v>0</v>
      </c>
      <c r="AG77" s="306">
        <v>0</v>
      </c>
      <c r="AH77" s="306">
        <v>0</v>
      </c>
      <c r="AI77" s="306">
        <v>0</v>
      </c>
      <c r="AJ77" s="306">
        <v>0</v>
      </c>
      <c r="AK77" s="306">
        <v>0</v>
      </c>
      <c r="AL77" s="306">
        <v>0</v>
      </c>
      <c r="AM77" s="306">
        <v>0</v>
      </c>
      <c r="AN77" s="306">
        <v>0</v>
      </c>
      <c r="AO77" s="306">
        <v>0</v>
      </c>
      <c r="AP77" s="306">
        <v>0</v>
      </c>
      <c r="AQ77" s="306">
        <v>0</v>
      </c>
      <c r="AR77" s="306">
        <v>0</v>
      </c>
      <c r="AS77" s="306">
        <v>0</v>
      </c>
      <c r="AT77" s="306">
        <v>0</v>
      </c>
      <c r="AU77" s="306">
        <v>0</v>
      </c>
      <c r="AV77" s="306">
        <v>0</v>
      </c>
      <c r="AW77" s="306">
        <v>0</v>
      </c>
      <c r="AX77" s="306">
        <v>0</v>
      </c>
      <c r="AY77" s="306">
        <v>0</v>
      </c>
      <c r="AZ77" s="306">
        <v>0</v>
      </c>
      <c r="BA77" s="306">
        <v>0</v>
      </c>
      <c r="BB77" s="306">
        <v>0</v>
      </c>
      <c r="BC77" s="306">
        <v>0</v>
      </c>
      <c r="BD77" s="306">
        <v>0</v>
      </c>
      <c r="BE77" s="306">
        <v>0</v>
      </c>
      <c r="BF77" s="306">
        <v>0</v>
      </c>
      <c r="BG77" s="306">
        <v>0</v>
      </c>
      <c r="BH77" s="306">
        <v>0</v>
      </c>
      <c r="BI77" s="306">
        <v>0</v>
      </c>
      <c r="BJ77" s="306">
        <v>0</v>
      </c>
      <c r="BK77" s="306">
        <v>0</v>
      </c>
      <c r="BL77" s="306">
        <v>0</v>
      </c>
      <c r="BM77" s="306">
        <v>0</v>
      </c>
      <c r="BN77" s="306">
        <v>0</v>
      </c>
      <c r="BO77" s="306">
        <v>0</v>
      </c>
      <c r="BP77" s="306">
        <v>21683.690906267198</v>
      </c>
      <c r="BQ77" s="306">
        <v>0</v>
      </c>
      <c r="BR77" s="306">
        <v>0</v>
      </c>
    </row>
    <row r="78" spans="30:70">
      <c r="AD78" s="304" t="s">
        <v>722</v>
      </c>
      <c r="AE78" s="306">
        <v>0</v>
      </c>
      <c r="AF78" s="306">
        <v>0</v>
      </c>
      <c r="AG78" s="306">
        <v>0</v>
      </c>
      <c r="AH78" s="306">
        <v>0</v>
      </c>
      <c r="AI78" s="306">
        <v>0</v>
      </c>
      <c r="AJ78" s="306">
        <v>0</v>
      </c>
      <c r="AK78" s="306">
        <v>0</v>
      </c>
      <c r="AL78" s="306">
        <v>0</v>
      </c>
      <c r="AM78" s="306">
        <v>0</v>
      </c>
      <c r="AN78" s="306">
        <v>0</v>
      </c>
      <c r="AO78" s="306">
        <v>0</v>
      </c>
      <c r="AP78" s="306">
        <v>0</v>
      </c>
      <c r="AQ78" s="306">
        <v>5048.7551388456604</v>
      </c>
      <c r="AR78" s="306">
        <v>0</v>
      </c>
      <c r="AS78" s="306">
        <v>0</v>
      </c>
      <c r="AT78" s="306">
        <v>0</v>
      </c>
      <c r="AU78" s="306">
        <v>0</v>
      </c>
      <c r="AV78" s="306">
        <v>0</v>
      </c>
      <c r="AW78" s="306">
        <v>0</v>
      </c>
      <c r="AX78" s="306">
        <v>0</v>
      </c>
      <c r="AY78" s="306">
        <v>0</v>
      </c>
      <c r="AZ78" s="306">
        <v>0</v>
      </c>
      <c r="BA78" s="306">
        <v>0</v>
      </c>
      <c r="BB78" s="306">
        <v>0</v>
      </c>
      <c r="BC78" s="306">
        <v>0</v>
      </c>
      <c r="BD78" s="306">
        <v>0</v>
      </c>
      <c r="BE78" s="306">
        <v>0</v>
      </c>
      <c r="BF78" s="306">
        <v>0</v>
      </c>
      <c r="BG78" s="306">
        <v>0</v>
      </c>
      <c r="BH78" s="306">
        <v>0</v>
      </c>
      <c r="BI78" s="306">
        <v>0</v>
      </c>
      <c r="BJ78" s="306">
        <v>0</v>
      </c>
      <c r="BK78" s="306">
        <v>0</v>
      </c>
      <c r="BL78" s="306">
        <v>0</v>
      </c>
      <c r="BM78" s="306">
        <v>0</v>
      </c>
      <c r="BN78" s="306">
        <v>0</v>
      </c>
      <c r="BO78" s="306">
        <v>0</v>
      </c>
      <c r="BP78" s="306">
        <v>0</v>
      </c>
      <c r="BQ78" s="306">
        <v>0</v>
      </c>
      <c r="BR78" s="306">
        <v>0</v>
      </c>
    </row>
    <row r="79" spans="30:70">
      <c r="AD79" s="304" t="s">
        <v>723</v>
      </c>
      <c r="AE79" s="306">
        <v>0</v>
      </c>
      <c r="AF79" s="306">
        <v>0</v>
      </c>
      <c r="AG79" s="306">
        <v>0</v>
      </c>
      <c r="AH79" s="306">
        <v>0</v>
      </c>
      <c r="AI79" s="306">
        <v>0</v>
      </c>
      <c r="AJ79" s="306">
        <v>0</v>
      </c>
      <c r="AK79" s="306">
        <v>0</v>
      </c>
      <c r="AL79" s="306">
        <v>0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306">
        <v>5023.7890204089899</v>
      </c>
      <c r="AU79" s="306">
        <v>0</v>
      </c>
      <c r="AV79" s="306">
        <v>0</v>
      </c>
      <c r="AW79" s="306">
        <v>0</v>
      </c>
      <c r="AX79" s="306">
        <v>0</v>
      </c>
      <c r="AY79" s="306">
        <v>0</v>
      </c>
      <c r="AZ79" s="306">
        <v>0</v>
      </c>
      <c r="BA79" s="306">
        <v>0</v>
      </c>
      <c r="BB79" s="306">
        <v>0</v>
      </c>
      <c r="BC79" s="306">
        <v>0</v>
      </c>
      <c r="BD79" s="306">
        <v>0</v>
      </c>
      <c r="BE79" s="306">
        <v>0</v>
      </c>
      <c r="BF79" s="306">
        <v>0</v>
      </c>
      <c r="BG79" s="306">
        <v>0</v>
      </c>
      <c r="BH79" s="306">
        <v>0</v>
      </c>
      <c r="BI79" s="306">
        <v>0</v>
      </c>
      <c r="BJ79" s="306">
        <v>0</v>
      </c>
      <c r="BK79" s="306">
        <v>0</v>
      </c>
      <c r="BL79" s="306">
        <v>0</v>
      </c>
      <c r="BM79" s="306">
        <v>0</v>
      </c>
      <c r="BN79" s="306">
        <v>0</v>
      </c>
      <c r="BO79" s="306">
        <v>0</v>
      </c>
      <c r="BP79" s="306">
        <v>0</v>
      </c>
      <c r="BQ79" s="306">
        <v>0</v>
      </c>
      <c r="BR79" s="306">
        <v>0</v>
      </c>
    </row>
    <row r="80" spans="30:70">
      <c r="AD80" s="304" t="s">
        <v>724</v>
      </c>
      <c r="AE80" s="306">
        <v>0</v>
      </c>
      <c r="AF80" s="306">
        <v>0</v>
      </c>
      <c r="AG80" s="306">
        <v>0</v>
      </c>
      <c r="AH80" s="306">
        <v>0</v>
      </c>
      <c r="AI80" s="306">
        <v>0</v>
      </c>
      <c r="AJ80" s="306">
        <v>0</v>
      </c>
      <c r="AK80" s="306">
        <v>0</v>
      </c>
      <c r="AL80" s="306">
        <v>0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306">
        <v>0</v>
      </c>
      <c r="AU80" s="306">
        <v>0</v>
      </c>
      <c r="AV80" s="306">
        <v>0</v>
      </c>
      <c r="AW80" s="306">
        <v>0</v>
      </c>
      <c r="AX80" s="306">
        <v>0</v>
      </c>
      <c r="AY80" s="306">
        <v>0</v>
      </c>
      <c r="AZ80" s="306">
        <v>0</v>
      </c>
      <c r="BA80" s="306">
        <v>0</v>
      </c>
      <c r="BB80" s="306">
        <v>0</v>
      </c>
      <c r="BC80" s="306">
        <v>0</v>
      </c>
      <c r="BD80" s="306">
        <v>0</v>
      </c>
      <c r="BE80" s="306">
        <v>0</v>
      </c>
      <c r="BF80" s="306">
        <v>0</v>
      </c>
      <c r="BG80" s="306">
        <v>0</v>
      </c>
      <c r="BH80" s="306">
        <v>0</v>
      </c>
      <c r="BI80" s="306">
        <v>0</v>
      </c>
      <c r="BJ80" s="306">
        <v>0</v>
      </c>
      <c r="BK80" s="306">
        <v>0</v>
      </c>
      <c r="BL80" s="306">
        <v>0</v>
      </c>
      <c r="BM80" s="306">
        <v>0</v>
      </c>
      <c r="BN80" s="306">
        <v>0</v>
      </c>
      <c r="BO80" s="306">
        <v>0</v>
      </c>
      <c r="BP80" s="306">
        <v>0</v>
      </c>
      <c r="BQ80" s="306">
        <v>0</v>
      </c>
      <c r="BR80" s="306">
        <v>0</v>
      </c>
    </row>
    <row r="81" spans="30:113">
      <c r="AD81" s="304" t="s">
        <v>725</v>
      </c>
      <c r="AE81" s="306">
        <v>0</v>
      </c>
      <c r="AF81" s="306">
        <v>0</v>
      </c>
      <c r="AG81" s="306">
        <v>0</v>
      </c>
      <c r="AH81" s="306">
        <v>0</v>
      </c>
      <c r="AI81" s="306">
        <v>0</v>
      </c>
      <c r="AJ81" s="306">
        <v>0</v>
      </c>
      <c r="AK81" s="306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82.091627997489695</v>
      </c>
      <c r="AR81" s="306">
        <v>0</v>
      </c>
      <c r="AS81" s="306">
        <v>0</v>
      </c>
      <c r="AT81" s="306">
        <v>0</v>
      </c>
      <c r="AU81" s="306">
        <v>0</v>
      </c>
      <c r="AV81" s="306">
        <v>0</v>
      </c>
      <c r="AW81" s="306">
        <v>0</v>
      </c>
      <c r="AX81" s="306">
        <v>0</v>
      </c>
      <c r="AY81" s="306">
        <v>0</v>
      </c>
      <c r="AZ81" s="306">
        <v>0</v>
      </c>
      <c r="BA81" s="306">
        <v>0</v>
      </c>
      <c r="BB81" s="306">
        <v>0</v>
      </c>
      <c r="BC81" s="306">
        <v>0</v>
      </c>
      <c r="BD81" s="306">
        <v>0</v>
      </c>
      <c r="BE81" s="306">
        <v>0</v>
      </c>
      <c r="BF81" s="306">
        <v>0</v>
      </c>
      <c r="BG81" s="306">
        <v>0</v>
      </c>
      <c r="BH81" s="306">
        <v>0</v>
      </c>
      <c r="BI81" s="306">
        <v>0</v>
      </c>
      <c r="BJ81" s="306">
        <v>0</v>
      </c>
      <c r="BK81" s="306">
        <v>0</v>
      </c>
      <c r="BL81" s="306">
        <v>0</v>
      </c>
      <c r="BM81" s="306">
        <v>0</v>
      </c>
      <c r="BN81" s="306">
        <v>0</v>
      </c>
      <c r="BO81" s="306">
        <v>0</v>
      </c>
      <c r="BP81" s="306">
        <v>0</v>
      </c>
      <c r="BQ81" s="306">
        <v>0</v>
      </c>
      <c r="BR81" s="306">
        <v>0</v>
      </c>
    </row>
    <row r="82" spans="30:113">
      <c r="AD82" s="304" t="s">
        <v>726</v>
      </c>
      <c r="AE82" s="306">
        <v>0</v>
      </c>
      <c r="AF82" s="306">
        <v>0</v>
      </c>
      <c r="AG82" s="306">
        <v>0</v>
      </c>
      <c r="AH82" s="306">
        <v>0</v>
      </c>
      <c r="AI82" s="306">
        <v>0</v>
      </c>
      <c r="AJ82" s="306">
        <v>0</v>
      </c>
      <c r="AK82" s="306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306">
        <v>0</v>
      </c>
      <c r="AU82" s="306">
        <v>82.091627997489695</v>
      </c>
      <c r="AV82" s="306">
        <v>0</v>
      </c>
      <c r="AW82" s="306">
        <v>0</v>
      </c>
      <c r="AX82" s="306">
        <v>0</v>
      </c>
      <c r="AY82" s="306">
        <v>0</v>
      </c>
      <c r="AZ82" s="306">
        <v>0</v>
      </c>
      <c r="BA82" s="306">
        <v>0</v>
      </c>
      <c r="BB82" s="306">
        <v>0</v>
      </c>
      <c r="BC82" s="306">
        <v>0</v>
      </c>
      <c r="BD82" s="306">
        <v>0</v>
      </c>
      <c r="BE82" s="306">
        <v>0</v>
      </c>
      <c r="BF82" s="306">
        <v>0</v>
      </c>
      <c r="BG82" s="306">
        <v>0</v>
      </c>
      <c r="BH82" s="306">
        <v>0</v>
      </c>
      <c r="BI82" s="306">
        <v>0</v>
      </c>
      <c r="BJ82" s="306">
        <v>0</v>
      </c>
      <c r="BK82" s="306">
        <v>0</v>
      </c>
      <c r="BL82" s="306">
        <v>0</v>
      </c>
      <c r="BM82" s="306">
        <v>0</v>
      </c>
      <c r="BN82" s="306">
        <v>0</v>
      </c>
      <c r="BO82" s="306">
        <v>0</v>
      </c>
      <c r="BP82" s="306">
        <v>0</v>
      </c>
      <c r="BQ82" s="306">
        <v>0</v>
      </c>
      <c r="BR82" s="306">
        <v>0</v>
      </c>
    </row>
    <row r="83" spans="30:113">
      <c r="AD83" s="304" t="s">
        <v>762</v>
      </c>
      <c r="AE83" s="306">
        <v>0</v>
      </c>
      <c r="AF83" s="306">
        <v>0</v>
      </c>
      <c r="AG83" s="306">
        <v>0</v>
      </c>
      <c r="AH83" s="306">
        <v>0</v>
      </c>
      <c r="AI83" s="306">
        <v>0</v>
      </c>
      <c r="AJ83" s="306">
        <v>0</v>
      </c>
      <c r="AK83" s="306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306">
        <v>0</v>
      </c>
      <c r="AU83" s="306">
        <v>0</v>
      </c>
      <c r="AV83" s="306">
        <v>0</v>
      </c>
      <c r="AW83" s="306">
        <v>0</v>
      </c>
      <c r="AX83" s="306">
        <v>0</v>
      </c>
      <c r="AY83" s="306">
        <v>0</v>
      </c>
      <c r="AZ83" s="306">
        <v>0</v>
      </c>
      <c r="BA83" s="306">
        <v>0</v>
      </c>
      <c r="BB83" s="306">
        <v>0</v>
      </c>
      <c r="BC83" s="306">
        <v>0</v>
      </c>
      <c r="BD83" s="306">
        <v>0</v>
      </c>
      <c r="BE83" s="306">
        <v>0</v>
      </c>
      <c r="BF83" s="306">
        <v>0</v>
      </c>
      <c r="BG83" s="306">
        <v>0</v>
      </c>
      <c r="BH83" s="306">
        <v>0</v>
      </c>
      <c r="BI83" s="306">
        <v>0</v>
      </c>
      <c r="BJ83" s="306">
        <v>0</v>
      </c>
      <c r="BK83" s="306">
        <v>0</v>
      </c>
      <c r="BL83" s="306">
        <v>0</v>
      </c>
      <c r="BM83" s="306">
        <v>0</v>
      </c>
      <c r="BN83" s="306">
        <v>0</v>
      </c>
      <c r="BO83" s="306">
        <v>0</v>
      </c>
      <c r="BP83" s="306">
        <v>0</v>
      </c>
      <c r="BQ83" s="306">
        <v>0</v>
      </c>
      <c r="BR83" s="306">
        <v>0</v>
      </c>
    </row>
    <row r="84" spans="30:113">
      <c r="AD84" s="304" t="s">
        <v>727</v>
      </c>
      <c r="AE84" s="306">
        <v>0</v>
      </c>
      <c r="AF84" s="306">
        <v>0</v>
      </c>
      <c r="AG84" s="306">
        <v>0</v>
      </c>
      <c r="AH84" s="306">
        <v>0</v>
      </c>
      <c r="AI84" s="306">
        <v>0</v>
      </c>
      <c r="AJ84" s="306">
        <v>0</v>
      </c>
      <c r="AK84" s="306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43.206119998678503</v>
      </c>
      <c r="AR84" s="306">
        <v>0</v>
      </c>
      <c r="AS84" s="306">
        <v>0</v>
      </c>
      <c r="AT84" s="306">
        <v>0</v>
      </c>
      <c r="AU84" s="306">
        <v>0</v>
      </c>
      <c r="AV84" s="306">
        <v>0</v>
      </c>
      <c r="AW84" s="306">
        <v>0</v>
      </c>
      <c r="AX84" s="306">
        <v>0</v>
      </c>
      <c r="AY84" s="306">
        <v>0</v>
      </c>
      <c r="AZ84" s="306">
        <v>0</v>
      </c>
      <c r="BA84" s="306">
        <v>0</v>
      </c>
      <c r="BB84" s="306">
        <v>0</v>
      </c>
      <c r="BC84" s="306">
        <v>0</v>
      </c>
      <c r="BD84" s="306">
        <v>0</v>
      </c>
      <c r="BE84" s="306">
        <v>0</v>
      </c>
      <c r="BF84" s="306">
        <v>0</v>
      </c>
      <c r="BG84" s="306">
        <v>0</v>
      </c>
      <c r="BH84" s="306">
        <v>0</v>
      </c>
      <c r="BI84" s="306">
        <v>0</v>
      </c>
      <c r="BJ84" s="306">
        <v>0</v>
      </c>
      <c r="BK84" s="306">
        <v>0</v>
      </c>
      <c r="BL84" s="306">
        <v>0</v>
      </c>
      <c r="BM84" s="306">
        <v>0</v>
      </c>
      <c r="BN84" s="306">
        <v>0</v>
      </c>
      <c r="BO84" s="306">
        <v>0</v>
      </c>
      <c r="BP84" s="306">
        <v>0</v>
      </c>
      <c r="BQ84" s="306">
        <v>0</v>
      </c>
      <c r="BR84" s="306">
        <v>0</v>
      </c>
    </row>
    <row r="85" spans="30:113">
      <c r="AD85" s="304" t="s">
        <v>728</v>
      </c>
      <c r="AE85" s="306">
        <v>0</v>
      </c>
      <c r="AF85" s="306">
        <v>0</v>
      </c>
      <c r="AG85" s="306">
        <v>0</v>
      </c>
      <c r="AH85" s="306">
        <v>0</v>
      </c>
      <c r="AI85" s="306">
        <v>0</v>
      </c>
      <c r="AJ85" s="306">
        <v>0</v>
      </c>
      <c r="AK85" s="306">
        <v>0</v>
      </c>
      <c r="AL85" s="306">
        <v>0</v>
      </c>
      <c r="AM85" s="306">
        <v>0</v>
      </c>
      <c r="AN85" s="306">
        <v>0</v>
      </c>
      <c r="AO85" s="306">
        <v>0</v>
      </c>
      <c r="AP85" s="306">
        <v>0</v>
      </c>
      <c r="AQ85" s="306">
        <v>0</v>
      </c>
      <c r="AR85" s="306">
        <v>0</v>
      </c>
      <c r="AS85" s="306">
        <v>0</v>
      </c>
      <c r="AT85" s="306">
        <v>0</v>
      </c>
      <c r="AU85" s="306">
        <v>0</v>
      </c>
      <c r="AV85" s="306">
        <v>43.206119998678503</v>
      </c>
      <c r="AW85" s="306">
        <v>0</v>
      </c>
      <c r="AX85" s="306">
        <v>0</v>
      </c>
      <c r="AY85" s="306">
        <v>0</v>
      </c>
      <c r="AZ85" s="306">
        <v>0</v>
      </c>
      <c r="BA85" s="306">
        <v>0</v>
      </c>
      <c r="BB85" s="306">
        <v>0</v>
      </c>
      <c r="BC85" s="306">
        <v>0</v>
      </c>
      <c r="BD85" s="306">
        <v>0</v>
      </c>
      <c r="BE85" s="306">
        <v>0</v>
      </c>
      <c r="BF85" s="306">
        <v>0</v>
      </c>
      <c r="BG85" s="306">
        <v>0</v>
      </c>
      <c r="BH85" s="306">
        <v>0</v>
      </c>
      <c r="BI85" s="306">
        <v>0</v>
      </c>
      <c r="BJ85" s="306">
        <v>0</v>
      </c>
      <c r="BK85" s="306">
        <v>0</v>
      </c>
      <c r="BL85" s="306">
        <v>0</v>
      </c>
      <c r="BM85" s="306">
        <v>0</v>
      </c>
      <c r="BN85" s="306">
        <v>0</v>
      </c>
      <c r="BO85" s="306">
        <v>0</v>
      </c>
      <c r="BP85" s="306">
        <v>0</v>
      </c>
      <c r="BQ85" s="306">
        <v>0</v>
      </c>
      <c r="BR85" s="306">
        <v>0</v>
      </c>
    </row>
    <row r="86" spans="30:113">
      <c r="AD86" s="304"/>
      <c r="AE86" s="390" t="s">
        <v>705</v>
      </c>
      <c r="AF86" s="402"/>
      <c r="AG86" s="402"/>
      <c r="AH86" s="402"/>
      <c r="AI86" s="402"/>
      <c r="AJ86" s="402"/>
      <c r="AK86" s="402"/>
      <c r="AL86" s="402"/>
      <c r="AM86" s="402"/>
      <c r="AN86" s="402"/>
      <c r="AO86" s="402"/>
      <c r="AP86" s="402"/>
      <c r="AQ86" s="402"/>
      <c r="AR86" s="402"/>
      <c r="AS86" s="402"/>
      <c r="AT86" s="402"/>
      <c r="AU86" s="402"/>
      <c r="AV86" s="402"/>
      <c r="AW86" s="402"/>
      <c r="AX86" s="402"/>
      <c r="AY86" s="402"/>
      <c r="AZ86" s="402"/>
      <c r="BA86" s="402"/>
      <c r="BB86" s="402"/>
      <c r="BC86" s="402"/>
      <c r="BD86" s="402"/>
      <c r="BE86" s="402"/>
      <c r="BF86" s="402"/>
      <c r="BG86" s="402"/>
      <c r="BH86" s="402"/>
      <c r="BI86" s="402"/>
      <c r="BJ86" s="402"/>
      <c r="BK86" s="402"/>
      <c r="BL86" s="402"/>
      <c r="BM86" s="402"/>
      <c r="BN86" s="402"/>
      <c r="BO86" s="402"/>
      <c r="BP86" s="402"/>
      <c r="BQ86" s="402"/>
      <c r="BR86" s="402"/>
    </row>
    <row r="89" spans="30:113" ht="179.4">
      <c r="AD89" s="303" t="s">
        <v>641</v>
      </c>
      <c r="AE89" s="234" t="s">
        <v>749</v>
      </c>
      <c r="AF89" s="234" t="s">
        <v>750</v>
      </c>
      <c r="AG89" s="234" t="s">
        <v>751</v>
      </c>
      <c r="AH89" s="234" t="s">
        <v>752</v>
      </c>
      <c r="AI89" s="234" t="s">
        <v>753</v>
      </c>
      <c r="AJ89" s="234" t="s">
        <v>754</v>
      </c>
      <c r="AK89" s="234" t="s">
        <v>755</v>
      </c>
      <c r="AL89" s="234" t="s">
        <v>756</v>
      </c>
      <c r="AM89" s="234" t="s">
        <v>757</v>
      </c>
      <c r="AN89" s="234" t="s">
        <v>758</v>
      </c>
      <c r="AO89" s="234" t="s">
        <v>759</v>
      </c>
      <c r="AP89" s="234" t="s">
        <v>760</v>
      </c>
      <c r="AQ89" s="234" t="s">
        <v>761</v>
      </c>
      <c r="AR89" s="234" t="s">
        <v>762</v>
      </c>
      <c r="AS89" s="234" t="s">
        <v>708</v>
      </c>
      <c r="AT89" s="234" t="s">
        <v>709</v>
      </c>
      <c r="AU89" s="234" t="s">
        <v>710</v>
      </c>
      <c r="AV89" s="234" t="s">
        <v>711</v>
      </c>
      <c r="AW89" s="234" t="s">
        <v>656</v>
      </c>
      <c r="AX89" s="234" t="s">
        <v>657</v>
      </c>
      <c r="AY89" s="234" t="s">
        <v>658</v>
      </c>
      <c r="AZ89" s="234" t="s">
        <v>712</v>
      </c>
      <c r="BA89" s="234" t="s">
        <v>713</v>
      </c>
      <c r="BB89" s="234" t="s">
        <v>670</v>
      </c>
      <c r="BC89" s="234" t="s">
        <v>671</v>
      </c>
      <c r="BD89" s="234" t="s">
        <v>714</v>
      </c>
      <c r="BE89" s="234" t="s">
        <v>715</v>
      </c>
      <c r="BF89" s="234" t="s">
        <v>716</v>
      </c>
      <c r="BG89" s="234" t="s">
        <v>717</v>
      </c>
      <c r="BH89" s="234" t="s">
        <v>718</v>
      </c>
      <c r="BI89" s="234" t="s">
        <v>719</v>
      </c>
      <c r="BJ89" s="234" t="s">
        <v>720</v>
      </c>
      <c r="BK89" s="234" t="s">
        <v>721</v>
      </c>
      <c r="BL89" s="234" t="s">
        <v>722</v>
      </c>
      <c r="BM89" s="234" t="s">
        <v>723</v>
      </c>
      <c r="BN89" s="234" t="s">
        <v>724</v>
      </c>
      <c r="BO89" s="234" t="s">
        <v>725</v>
      </c>
      <c r="BP89" s="234" t="s">
        <v>726</v>
      </c>
      <c r="BQ89" s="234" t="s">
        <v>727</v>
      </c>
      <c r="BR89" s="234" t="s">
        <v>728</v>
      </c>
      <c r="BU89" s="303" t="s">
        <v>641</v>
      </c>
      <c r="BV89" s="234" t="s">
        <v>749</v>
      </c>
      <c r="BW89" s="234" t="s">
        <v>750</v>
      </c>
      <c r="BX89" s="234" t="s">
        <v>751</v>
      </c>
      <c r="BY89" s="234" t="s">
        <v>752</v>
      </c>
      <c r="BZ89" s="234" t="s">
        <v>753</v>
      </c>
      <c r="CA89" s="234" t="s">
        <v>754</v>
      </c>
      <c r="CB89" s="234" t="s">
        <v>755</v>
      </c>
      <c r="CC89" s="234" t="s">
        <v>756</v>
      </c>
      <c r="CD89" s="234" t="s">
        <v>757</v>
      </c>
      <c r="CE89" s="234" t="s">
        <v>758</v>
      </c>
      <c r="CF89" s="234" t="s">
        <v>759</v>
      </c>
      <c r="CG89" s="234" t="s">
        <v>760</v>
      </c>
      <c r="CH89" s="234" t="s">
        <v>761</v>
      </c>
      <c r="CI89" s="234" t="s">
        <v>762</v>
      </c>
      <c r="CJ89" s="234" t="s">
        <v>708</v>
      </c>
      <c r="CK89" s="234" t="s">
        <v>709</v>
      </c>
      <c r="CL89" s="234" t="s">
        <v>710</v>
      </c>
      <c r="CM89" s="234" t="s">
        <v>711</v>
      </c>
      <c r="CN89" s="234" t="s">
        <v>656</v>
      </c>
      <c r="CO89" s="234" t="s">
        <v>657</v>
      </c>
      <c r="CP89" s="234" t="s">
        <v>658</v>
      </c>
      <c r="CQ89" s="234" t="s">
        <v>712</v>
      </c>
      <c r="CR89" s="234" t="s">
        <v>713</v>
      </c>
      <c r="CS89" s="234" t="s">
        <v>670</v>
      </c>
      <c r="CT89" s="234" t="s">
        <v>671</v>
      </c>
      <c r="CU89" s="234" t="s">
        <v>714</v>
      </c>
      <c r="CV89" s="234" t="s">
        <v>715</v>
      </c>
      <c r="CW89" s="234" t="s">
        <v>716</v>
      </c>
      <c r="CX89" s="234" t="s">
        <v>717</v>
      </c>
      <c r="CY89" s="234" t="s">
        <v>718</v>
      </c>
      <c r="CZ89" s="234" t="s">
        <v>719</v>
      </c>
      <c r="DA89" s="234" t="s">
        <v>720</v>
      </c>
      <c r="DB89" s="234" t="s">
        <v>721</v>
      </c>
      <c r="DC89" s="234" t="s">
        <v>722</v>
      </c>
      <c r="DD89" s="234" t="s">
        <v>723</v>
      </c>
      <c r="DE89" s="234" t="s">
        <v>724</v>
      </c>
      <c r="DF89" s="234" t="s">
        <v>725</v>
      </c>
      <c r="DG89" s="234" t="s">
        <v>726</v>
      </c>
      <c r="DH89" s="234" t="s">
        <v>727</v>
      </c>
      <c r="DI89" s="234" t="s">
        <v>728</v>
      </c>
    </row>
    <row r="90" spans="30:113">
      <c r="AD90" s="304" t="s">
        <v>708</v>
      </c>
      <c r="AE90" s="305">
        <v>0</v>
      </c>
      <c r="AF90" s="305">
        <v>45017.590801780199</v>
      </c>
      <c r="AG90" s="305">
        <v>0</v>
      </c>
      <c r="AH90" s="305">
        <v>0</v>
      </c>
      <c r="AI90" s="305">
        <v>0</v>
      </c>
      <c r="AJ90" s="305">
        <v>0</v>
      </c>
      <c r="AK90" s="305">
        <v>0</v>
      </c>
      <c r="AL90" s="305">
        <v>0</v>
      </c>
      <c r="AM90" s="305">
        <v>0</v>
      </c>
      <c r="AN90" s="305">
        <v>0</v>
      </c>
      <c r="AO90" s="305">
        <v>0</v>
      </c>
      <c r="AP90" s="305">
        <v>0</v>
      </c>
      <c r="AQ90" s="305">
        <v>0</v>
      </c>
      <c r="AR90" s="305">
        <v>0</v>
      </c>
      <c r="AS90" s="305">
        <v>0</v>
      </c>
      <c r="AT90" s="305">
        <v>0</v>
      </c>
      <c r="AU90" s="305">
        <v>0</v>
      </c>
      <c r="AV90" s="305">
        <v>0</v>
      </c>
      <c r="AW90" s="305">
        <v>0</v>
      </c>
      <c r="AX90" s="305">
        <v>0</v>
      </c>
      <c r="AY90" s="305">
        <v>0</v>
      </c>
      <c r="AZ90" s="305">
        <v>0</v>
      </c>
      <c r="BA90" s="305">
        <v>0</v>
      </c>
      <c r="BB90" s="305">
        <v>0</v>
      </c>
      <c r="BC90" s="305">
        <v>0</v>
      </c>
      <c r="BD90" s="305">
        <v>0</v>
      </c>
      <c r="BE90" s="305">
        <v>0</v>
      </c>
      <c r="BF90" s="305">
        <v>0</v>
      </c>
      <c r="BG90" s="305">
        <v>0</v>
      </c>
      <c r="BH90" s="305">
        <v>0</v>
      </c>
      <c r="BI90" s="305">
        <v>0</v>
      </c>
      <c r="BJ90" s="305">
        <v>0</v>
      </c>
      <c r="BK90" s="305">
        <v>0</v>
      </c>
      <c r="BL90" s="305">
        <v>0</v>
      </c>
      <c r="BM90" s="305">
        <v>0</v>
      </c>
      <c r="BN90" s="305">
        <v>0</v>
      </c>
      <c r="BO90" s="305">
        <v>0</v>
      </c>
      <c r="BP90" s="305">
        <v>0</v>
      </c>
      <c r="BQ90" s="305">
        <v>0</v>
      </c>
      <c r="BR90" s="305">
        <v>0</v>
      </c>
      <c r="BU90" s="304" t="s">
        <v>708</v>
      </c>
      <c r="BV90" s="302">
        <v>0</v>
      </c>
      <c r="BW90" s="302">
        <v>0</v>
      </c>
      <c r="BX90" s="302">
        <v>0</v>
      </c>
      <c r="BY90" s="302">
        <v>0</v>
      </c>
      <c r="BZ90" s="302">
        <v>0</v>
      </c>
      <c r="CA90" s="302">
        <v>0</v>
      </c>
      <c r="CB90" s="302">
        <v>0</v>
      </c>
      <c r="CC90" s="302">
        <v>0</v>
      </c>
      <c r="CD90" s="302">
        <v>0</v>
      </c>
      <c r="CE90" s="302">
        <v>0</v>
      </c>
      <c r="CF90" s="302">
        <v>0</v>
      </c>
      <c r="CG90" s="302">
        <v>0</v>
      </c>
      <c r="CH90" s="302">
        <v>0</v>
      </c>
      <c r="CI90" s="302">
        <v>0</v>
      </c>
      <c r="CJ90" s="302">
        <v>0</v>
      </c>
      <c r="CK90" s="302">
        <v>0</v>
      </c>
      <c r="CL90" s="302">
        <v>0</v>
      </c>
      <c r="CM90" s="302">
        <v>0</v>
      </c>
      <c r="CN90" s="302">
        <v>0</v>
      </c>
      <c r="CO90" s="302">
        <v>0</v>
      </c>
      <c r="CP90" s="302">
        <v>0</v>
      </c>
      <c r="CQ90" s="302">
        <v>0</v>
      </c>
      <c r="CR90" s="302">
        <v>0</v>
      </c>
      <c r="CS90" s="302">
        <v>0</v>
      </c>
      <c r="CT90" s="302">
        <v>0</v>
      </c>
      <c r="CU90" s="302">
        <v>0</v>
      </c>
      <c r="CV90" s="302">
        <v>0</v>
      </c>
      <c r="CW90" s="302">
        <v>0</v>
      </c>
      <c r="CX90" s="302">
        <v>0</v>
      </c>
      <c r="CY90" s="302">
        <v>0</v>
      </c>
      <c r="CZ90" s="302">
        <v>0</v>
      </c>
      <c r="DA90" s="302">
        <v>0</v>
      </c>
      <c r="DB90" s="302">
        <v>0</v>
      </c>
      <c r="DC90" s="302">
        <v>0</v>
      </c>
      <c r="DD90" s="302">
        <v>0</v>
      </c>
      <c r="DE90" s="302">
        <v>0</v>
      </c>
      <c r="DF90" s="302">
        <v>0</v>
      </c>
      <c r="DG90" s="302">
        <v>0</v>
      </c>
      <c r="DH90" s="302">
        <v>0</v>
      </c>
      <c r="DI90" s="302">
        <v>0</v>
      </c>
    </row>
    <row r="91" spans="30:113">
      <c r="AD91" s="304" t="s">
        <v>749</v>
      </c>
      <c r="AE91" s="305">
        <v>0</v>
      </c>
      <c r="AF91" s="305">
        <v>0</v>
      </c>
      <c r="AG91" s="305">
        <v>0</v>
      </c>
      <c r="AH91" s="305">
        <v>0</v>
      </c>
      <c r="AI91" s="305">
        <v>0</v>
      </c>
      <c r="AJ91" s="305">
        <v>0</v>
      </c>
      <c r="AK91" s="305">
        <v>0</v>
      </c>
      <c r="AL91" s="305">
        <v>0</v>
      </c>
      <c r="AM91" s="305">
        <v>0</v>
      </c>
      <c r="AN91" s="305">
        <v>0</v>
      </c>
      <c r="AO91" s="305">
        <v>0</v>
      </c>
      <c r="AP91" s="305">
        <v>0</v>
      </c>
      <c r="AQ91" s="305">
        <v>0</v>
      </c>
      <c r="AR91" s="305">
        <v>0</v>
      </c>
      <c r="AS91" s="305">
        <v>0</v>
      </c>
      <c r="AT91" s="305">
        <v>0</v>
      </c>
      <c r="AU91" s="305">
        <v>0</v>
      </c>
      <c r="AV91" s="305">
        <v>0</v>
      </c>
      <c r="AW91" s="305">
        <v>0</v>
      </c>
      <c r="AX91" s="305">
        <v>0</v>
      </c>
      <c r="AY91" s="305">
        <v>0</v>
      </c>
      <c r="AZ91" s="305">
        <v>0</v>
      </c>
      <c r="BA91" s="305">
        <v>0</v>
      </c>
      <c r="BB91" s="305">
        <v>0</v>
      </c>
      <c r="BC91" s="305">
        <v>0</v>
      </c>
      <c r="BD91" s="305">
        <v>0</v>
      </c>
      <c r="BE91" s="305">
        <v>0</v>
      </c>
      <c r="BF91" s="305">
        <v>0</v>
      </c>
      <c r="BG91" s="305">
        <v>0</v>
      </c>
      <c r="BH91" s="305">
        <v>0</v>
      </c>
      <c r="BI91" s="305">
        <v>0</v>
      </c>
      <c r="BJ91" s="305">
        <v>0</v>
      </c>
      <c r="BK91" s="305">
        <v>0</v>
      </c>
      <c r="BL91" s="305">
        <v>0</v>
      </c>
      <c r="BM91" s="305">
        <v>0</v>
      </c>
      <c r="BN91" s="305">
        <v>0</v>
      </c>
      <c r="BO91" s="305">
        <v>0</v>
      </c>
      <c r="BP91" s="305">
        <v>0</v>
      </c>
      <c r="BQ91" s="305">
        <v>0</v>
      </c>
      <c r="BR91" s="305">
        <v>0</v>
      </c>
      <c r="BU91" s="304" t="s">
        <v>749</v>
      </c>
      <c r="BV91" s="302">
        <v>0</v>
      </c>
      <c r="BW91" s="302">
        <v>0</v>
      </c>
      <c r="BX91" s="302">
        <v>0</v>
      </c>
      <c r="BY91" s="302">
        <v>0</v>
      </c>
      <c r="BZ91" s="302">
        <v>0</v>
      </c>
      <c r="CA91" s="302">
        <v>0</v>
      </c>
      <c r="CB91" s="302">
        <v>0</v>
      </c>
      <c r="CC91" s="302">
        <v>0</v>
      </c>
      <c r="CD91" s="302">
        <v>0</v>
      </c>
      <c r="CE91" s="302">
        <v>0</v>
      </c>
      <c r="CF91" s="302">
        <v>0</v>
      </c>
      <c r="CG91" s="302">
        <v>0</v>
      </c>
      <c r="CH91" s="302">
        <v>0</v>
      </c>
      <c r="CI91" s="302">
        <v>0</v>
      </c>
      <c r="CJ91" s="302">
        <v>0</v>
      </c>
      <c r="CK91" s="302">
        <v>0</v>
      </c>
      <c r="CL91" s="302">
        <v>0</v>
      </c>
      <c r="CM91" s="302">
        <v>0</v>
      </c>
      <c r="CN91" s="302">
        <v>0</v>
      </c>
      <c r="CO91" s="302">
        <v>0</v>
      </c>
      <c r="CP91" s="302">
        <v>0</v>
      </c>
      <c r="CQ91" s="302">
        <v>0</v>
      </c>
      <c r="CR91" s="302">
        <v>0</v>
      </c>
      <c r="CS91" s="302">
        <v>0</v>
      </c>
      <c r="CT91" s="302">
        <v>0</v>
      </c>
      <c r="CU91" s="302">
        <v>0</v>
      </c>
      <c r="CV91" s="302">
        <v>0</v>
      </c>
      <c r="CW91" s="302">
        <v>0</v>
      </c>
      <c r="CX91" s="302">
        <v>0</v>
      </c>
      <c r="CY91" s="302">
        <v>0</v>
      </c>
      <c r="CZ91" s="302">
        <v>0</v>
      </c>
      <c r="DA91" s="302">
        <v>0</v>
      </c>
      <c r="DB91" s="302">
        <v>0</v>
      </c>
      <c r="DC91" s="302">
        <v>0</v>
      </c>
      <c r="DD91" s="302">
        <v>0</v>
      </c>
      <c r="DE91" s="302">
        <v>0</v>
      </c>
      <c r="DF91" s="302">
        <v>0</v>
      </c>
      <c r="DG91" s="302">
        <v>0</v>
      </c>
      <c r="DH91" s="302">
        <v>0</v>
      </c>
      <c r="DI91" s="302">
        <v>0</v>
      </c>
    </row>
    <row r="92" spans="30:113">
      <c r="AD92" s="304" t="s">
        <v>750</v>
      </c>
      <c r="AE92" s="305">
        <v>0</v>
      </c>
      <c r="AF92" s="305">
        <v>0</v>
      </c>
      <c r="AG92" s="305">
        <v>0</v>
      </c>
      <c r="AH92" s="305">
        <v>0</v>
      </c>
      <c r="AI92" s="305">
        <v>0</v>
      </c>
      <c r="AJ92" s="305">
        <v>0</v>
      </c>
      <c r="AK92" s="305">
        <v>0</v>
      </c>
      <c r="AL92" s="305">
        <v>0</v>
      </c>
      <c r="AM92" s="305">
        <v>0</v>
      </c>
      <c r="AN92" s="305">
        <v>0</v>
      </c>
      <c r="AO92" s="305">
        <v>0</v>
      </c>
      <c r="AP92" s="305">
        <v>0</v>
      </c>
      <c r="AQ92" s="305">
        <v>0</v>
      </c>
      <c r="AR92" s="305">
        <v>0</v>
      </c>
      <c r="AS92" s="305">
        <v>0</v>
      </c>
      <c r="AT92" s="305">
        <v>0</v>
      </c>
      <c r="AU92" s="305">
        <v>0</v>
      </c>
      <c r="AV92" s="305">
        <v>0</v>
      </c>
      <c r="AW92" s="305">
        <v>0</v>
      </c>
      <c r="AX92" s="305">
        <v>0</v>
      </c>
      <c r="AY92" s="305">
        <v>0</v>
      </c>
      <c r="AZ92" s="305">
        <v>0</v>
      </c>
      <c r="BA92" s="305">
        <v>0</v>
      </c>
      <c r="BB92" s="305">
        <v>0</v>
      </c>
      <c r="BC92" s="305">
        <v>0</v>
      </c>
      <c r="BD92" s="305">
        <v>0</v>
      </c>
      <c r="BE92" s="305">
        <v>0</v>
      </c>
      <c r="BF92" s="305">
        <v>0</v>
      </c>
      <c r="BG92" s="305">
        <v>0</v>
      </c>
      <c r="BH92" s="305">
        <v>0</v>
      </c>
      <c r="BI92" s="305">
        <v>0</v>
      </c>
      <c r="BJ92" s="305">
        <v>0</v>
      </c>
      <c r="BK92" s="305">
        <v>0</v>
      </c>
      <c r="BL92" s="305">
        <v>0</v>
      </c>
      <c r="BM92" s="305">
        <v>0</v>
      </c>
      <c r="BN92" s="305">
        <v>0</v>
      </c>
      <c r="BO92" s="305">
        <v>0</v>
      </c>
      <c r="BP92" s="305">
        <v>0</v>
      </c>
      <c r="BQ92" s="305">
        <v>0</v>
      </c>
      <c r="BR92" s="305">
        <v>0</v>
      </c>
      <c r="BU92" s="304" t="s">
        <v>750</v>
      </c>
      <c r="BV92" s="302">
        <v>0</v>
      </c>
      <c r="BW92" s="302">
        <v>0</v>
      </c>
      <c r="BX92" s="302">
        <v>0</v>
      </c>
      <c r="BY92" s="302">
        <v>0</v>
      </c>
      <c r="BZ92" s="302">
        <v>0</v>
      </c>
      <c r="CA92" s="302">
        <v>0</v>
      </c>
      <c r="CB92" s="302">
        <v>0</v>
      </c>
      <c r="CC92" s="302">
        <v>0</v>
      </c>
      <c r="CD92" s="302">
        <v>0</v>
      </c>
      <c r="CE92" s="302">
        <v>0</v>
      </c>
      <c r="CF92" s="302">
        <v>0</v>
      </c>
      <c r="CG92" s="302">
        <v>0</v>
      </c>
      <c r="CH92" s="302">
        <v>0</v>
      </c>
      <c r="CI92" s="302">
        <v>0</v>
      </c>
      <c r="CJ92" s="302">
        <v>0</v>
      </c>
      <c r="CK92" s="302">
        <v>0</v>
      </c>
      <c r="CL92" s="302">
        <v>0</v>
      </c>
      <c r="CM92" s="302">
        <v>0</v>
      </c>
      <c r="CN92" s="302">
        <v>0</v>
      </c>
      <c r="CO92" s="302">
        <v>0</v>
      </c>
      <c r="CP92" s="302">
        <v>0</v>
      </c>
      <c r="CQ92" s="302">
        <v>0</v>
      </c>
      <c r="CR92" s="302">
        <v>0</v>
      </c>
      <c r="CS92" s="302">
        <v>0</v>
      </c>
      <c r="CT92" s="302">
        <v>0</v>
      </c>
      <c r="CU92" s="302">
        <v>0</v>
      </c>
      <c r="CV92" s="302">
        <v>0</v>
      </c>
      <c r="CW92" s="302">
        <v>0</v>
      </c>
      <c r="CX92" s="302">
        <v>0</v>
      </c>
      <c r="CY92" s="302">
        <v>0</v>
      </c>
      <c r="CZ92" s="302">
        <v>0</v>
      </c>
      <c r="DA92" s="302">
        <v>0</v>
      </c>
      <c r="DB92" s="302">
        <v>0</v>
      </c>
      <c r="DC92" s="302">
        <v>0</v>
      </c>
      <c r="DD92" s="302">
        <v>0</v>
      </c>
      <c r="DE92" s="302">
        <v>0</v>
      </c>
      <c r="DF92" s="302">
        <v>0</v>
      </c>
      <c r="DG92" s="302">
        <v>0</v>
      </c>
      <c r="DH92" s="302">
        <v>0</v>
      </c>
      <c r="DI92" s="302">
        <v>0</v>
      </c>
    </row>
    <row r="93" spans="30:113">
      <c r="AD93" s="304" t="s">
        <v>709</v>
      </c>
      <c r="AE93" s="305">
        <v>0</v>
      </c>
      <c r="AF93" s="305">
        <v>66251.174567632304</v>
      </c>
      <c r="AG93" s="305">
        <v>0</v>
      </c>
      <c r="AH93" s="305">
        <v>0</v>
      </c>
      <c r="AI93" s="305">
        <v>0</v>
      </c>
      <c r="AJ93" s="305">
        <v>0</v>
      </c>
      <c r="AK93" s="305">
        <v>0</v>
      </c>
      <c r="AL93" s="305">
        <v>0</v>
      </c>
      <c r="AM93" s="305">
        <v>0</v>
      </c>
      <c r="AN93" s="305">
        <v>0</v>
      </c>
      <c r="AO93" s="305">
        <v>0</v>
      </c>
      <c r="AP93" s="305">
        <v>0</v>
      </c>
      <c r="AQ93" s="305">
        <v>0</v>
      </c>
      <c r="AR93" s="305">
        <v>0</v>
      </c>
      <c r="AS93" s="305">
        <v>0</v>
      </c>
      <c r="AT93" s="305">
        <v>0</v>
      </c>
      <c r="AU93" s="305">
        <v>0</v>
      </c>
      <c r="AV93" s="305">
        <v>0</v>
      </c>
      <c r="AW93" s="305">
        <v>0</v>
      </c>
      <c r="AX93" s="305">
        <v>0</v>
      </c>
      <c r="AY93" s="305">
        <v>0</v>
      </c>
      <c r="AZ93" s="305">
        <v>0</v>
      </c>
      <c r="BA93" s="305">
        <v>0</v>
      </c>
      <c r="BB93" s="305">
        <v>0</v>
      </c>
      <c r="BC93" s="305">
        <v>0</v>
      </c>
      <c r="BD93" s="305">
        <v>0</v>
      </c>
      <c r="BE93" s="305">
        <v>0</v>
      </c>
      <c r="BF93" s="305">
        <v>0</v>
      </c>
      <c r="BG93" s="305">
        <v>0</v>
      </c>
      <c r="BH93" s="305">
        <v>0</v>
      </c>
      <c r="BI93" s="305">
        <v>0</v>
      </c>
      <c r="BJ93" s="305">
        <v>0</v>
      </c>
      <c r="BK93" s="305">
        <v>0</v>
      </c>
      <c r="BL93" s="305">
        <v>0</v>
      </c>
      <c r="BM93" s="305">
        <v>0</v>
      </c>
      <c r="BN93" s="305">
        <v>0</v>
      </c>
      <c r="BO93" s="305">
        <v>0</v>
      </c>
      <c r="BP93" s="305">
        <v>0</v>
      </c>
      <c r="BQ93" s="305">
        <v>0</v>
      </c>
      <c r="BR93" s="305">
        <v>0</v>
      </c>
      <c r="BU93" s="304" t="s">
        <v>709</v>
      </c>
      <c r="BV93" s="302">
        <v>0</v>
      </c>
      <c r="BW93" s="302">
        <v>0</v>
      </c>
      <c r="BX93" s="302">
        <v>0</v>
      </c>
      <c r="BY93" s="302">
        <v>0</v>
      </c>
      <c r="BZ93" s="302">
        <v>0</v>
      </c>
      <c r="CA93" s="302">
        <v>0</v>
      </c>
      <c r="CB93" s="302">
        <v>0</v>
      </c>
      <c r="CC93" s="302">
        <v>0</v>
      </c>
      <c r="CD93" s="302">
        <v>0</v>
      </c>
      <c r="CE93" s="302">
        <v>0</v>
      </c>
      <c r="CF93" s="302">
        <v>0</v>
      </c>
      <c r="CG93" s="302">
        <v>0</v>
      </c>
      <c r="CH93" s="302">
        <v>0</v>
      </c>
      <c r="CI93" s="302">
        <v>0</v>
      </c>
      <c r="CJ93" s="302">
        <v>0</v>
      </c>
      <c r="CK93" s="302">
        <v>0</v>
      </c>
      <c r="CL93" s="302">
        <v>0</v>
      </c>
      <c r="CM93" s="302">
        <v>0</v>
      </c>
      <c r="CN93" s="302">
        <v>0</v>
      </c>
      <c r="CO93" s="302">
        <v>0</v>
      </c>
      <c r="CP93" s="302">
        <v>0</v>
      </c>
      <c r="CQ93" s="302">
        <v>0</v>
      </c>
      <c r="CR93" s="302">
        <v>0</v>
      </c>
      <c r="CS93" s="302">
        <v>0</v>
      </c>
      <c r="CT93" s="302">
        <v>0</v>
      </c>
      <c r="CU93" s="302">
        <v>0</v>
      </c>
      <c r="CV93" s="302">
        <v>0</v>
      </c>
      <c r="CW93" s="302">
        <v>0</v>
      </c>
      <c r="CX93" s="302">
        <v>0</v>
      </c>
      <c r="CY93" s="302">
        <v>0</v>
      </c>
      <c r="CZ93" s="302">
        <v>0</v>
      </c>
      <c r="DA93" s="302">
        <v>0</v>
      </c>
      <c r="DB93" s="302">
        <v>0</v>
      </c>
      <c r="DC93" s="302">
        <v>0</v>
      </c>
      <c r="DD93" s="302">
        <v>0</v>
      </c>
      <c r="DE93" s="302">
        <v>0</v>
      </c>
      <c r="DF93" s="302">
        <v>0</v>
      </c>
      <c r="DG93" s="302">
        <v>0</v>
      </c>
      <c r="DH93" s="302">
        <v>0</v>
      </c>
      <c r="DI93" s="302">
        <v>0</v>
      </c>
    </row>
    <row r="94" spans="30:113">
      <c r="AD94" s="304" t="s">
        <v>710</v>
      </c>
      <c r="AE94" s="305">
        <v>0</v>
      </c>
      <c r="AF94" s="305">
        <v>0</v>
      </c>
      <c r="AG94" s="305">
        <v>0</v>
      </c>
      <c r="AH94" s="305">
        <v>0</v>
      </c>
      <c r="AI94" s="305">
        <v>0</v>
      </c>
      <c r="AJ94" s="305">
        <v>0</v>
      </c>
      <c r="AK94" s="305">
        <v>0</v>
      </c>
      <c r="AL94" s="305">
        <v>0</v>
      </c>
      <c r="AM94" s="305">
        <v>0</v>
      </c>
      <c r="AN94" s="305">
        <v>0</v>
      </c>
      <c r="AO94" s="305">
        <v>0</v>
      </c>
      <c r="AP94" s="305">
        <v>0</v>
      </c>
      <c r="AQ94" s="305">
        <v>91837.795018258301</v>
      </c>
      <c r="AR94" s="305">
        <v>0</v>
      </c>
      <c r="AS94" s="305">
        <v>0</v>
      </c>
      <c r="AT94" s="305">
        <v>0</v>
      </c>
      <c r="AU94" s="305">
        <v>0</v>
      </c>
      <c r="AV94" s="305">
        <v>0</v>
      </c>
      <c r="AW94" s="305">
        <v>0</v>
      </c>
      <c r="AX94" s="305">
        <v>0</v>
      </c>
      <c r="AY94" s="305">
        <v>0</v>
      </c>
      <c r="AZ94" s="305">
        <v>0</v>
      </c>
      <c r="BA94" s="305">
        <v>0</v>
      </c>
      <c r="BB94" s="305">
        <v>0</v>
      </c>
      <c r="BC94" s="305">
        <v>0</v>
      </c>
      <c r="BD94" s="305">
        <v>0</v>
      </c>
      <c r="BE94" s="305">
        <v>0</v>
      </c>
      <c r="BF94" s="305">
        <v>0</v>
      </c>
      <c r="BG94" s="305">
        <v>0</v>
      </c>
      <c r="BH94" s="305">
        <v>0</v>
      </c>
      <c r="BI94" s="305">
        <v>0</v>
      </c>
      <c r="BJ94" s="305">
        <v>0</v>
      </c>
      <c r="BK94" s="305">
        <v>0</v>
      </c>
      <c r="BL94" s="305">
        <v>0</v>
      </c>
      <c r="BM94" s="305">
        <v>0</v>
      </c>
      <c r="BN94" s="305">
        <v>0</v>
      </c>
      <c r="BO94" s="305">
        <v>0</v>
      </c>
      <c r="BP94" s="305">
        <v>0</v>
      </c>
      <c r="BQ94" s="305">
        <v>0</v>
      </c>
      <c r="BR94" s="305">
        <v>0</v>
      </c>
      <c r="BU94" s="304" t="s">
        <v>710</v>
      </c>
      <c r="BV94" s="302">
        <v>0</v>
      </c>
      <c r="BW94" s="302">
        <v>0</v>
      </c>
      <c r="BX94" s="302">
        <v>0</v>
      </c>
      <c r="BY94" s="302">
        <v>0</v>
      </c>
      <c r="BZ94" s="302">
        <v>0</v>
      </c>
      <c r="CA94" s="302">
        <v>0</v>
      </c>
      <c r="CB94" s="302">
        <v>0</v>
      </c>
      <c r="CC94" s="302">
        <v>0</v>
      </c>
      <c r="CD94" s="302">
        <v>0</v>
      </c>
      <c r="CE94" s="302">
        <v>0</v>
      </c>
      <c r="CF94" s="302">
        <v>0</v>
      </c>
      <c r="CG94" s="302">
        <v>0</v>
      </c>
      <c r="CH94" s="302">
        <v>0</v>
      </c>
      <c r="CI94" s="302">
        <v>0</v>
      </c>
      <c r="CJ94" s="302">
        <v>0</v>
      </c>
      <c r="CK94" s="302">
        <v>0</v>
      </c>
      <c r="CL94" s="302">
        <v>0</v>
      </c>
      <c r="CM94" s="302">
        <v>0</v>
      </c>
      <c r="CN94" s="302">
        <v>0</v>
      </c>
      <c r="CO94" s="302">
        <v>0</v>
      </c>
      <c r="CP94" s="302">
        <v>0</v>
      </c>
      <c r="CQ94" s="302">
        <v>0</v>
      </c>
      <c r="CR94" s="302">
        <v>0</v>
      </c>
      <c r="CS94" s="302">
        <v>0</v>
      </c>
      <c r="CT94" s="302">
        <v>0</v>
      </c>
      <c r="CU94" s="302">
        <v>0</v>
      </c>
      <c r="CV94" s="302">
        <v>0</v>
      </c>
      <c r="CW94" s="302">
        <v>0</v>
      </c>
      <c r="CX94" s="302">
        <v>0</v>
      </c>
      <c r="CY94" s="302">
        <v>0</v>
      </c>
      <c r="CZ94" s="302">
        <v>0</v>
      </c>
      <c r="DA94" s="302">
        <v>0</v>
      </c>
      <c r="DB94" s="302">
        <v>0</v>
      </c>
      <c r="DC94" s="302">
        <v>0</v>
      </c>
      <c r="DD94" s="302">
        <v>0</v>
      </c>
      <c r="DE94" s="302">
        <v>0</v>
      </c>
      <c r="DF94" s="302">
        <v>0</v>
      </c>
      <c r="DG94" s="302">
        <v>0</v>
      </c>
      <c r="DH94" s="302">
        <v>0</v>
      </c>
      <c r="DI94" s="302">
        <v>0</v>
      </c>
    </row>
    <row r="95" spans="30:113">
      <c r="AD95" s="304" t="s">
        <v>711</v>
      </c>
      <c r="AE95" s="305">
        <v>0</v>
      </c>
      <c r="AF95" s="305">
        <v>0</v>
      </c>
      <c r="AG95" s="305">
        <v>0</v>
      </c>
      <c r="AH95" s="305">
        <v>0</v>
      </c>
      <c r="AI95" s="305">
        <v>0</v>
      </c>
      <c r="AJ95" s="305">
        <v>0</v>
      </c>
      <c r="AK95" s="305">
        <v>0</v>
      </c>
      <c r="AL95" s="305">
        <v>0</v>
      </c>
      <c r="AM95" s="305">
        <v>0</v>
      </c>
      <c r="AN95" s="305">
        <v>0</v>
      </c>
      <c r="AO95" s="305">
        <v>0</v>
      </c>
      <c r="AP95" s="305">
        <v>290.15291867903898</v>
      </c>
      <c r="AQ95" s="305">
        <v>0</v>
      </c>
      <c r="AR95" s="305">
        <v>0</v>
      </c>
      <c r="AS95" s="305">
        <v>0</v>
      </c>
      <c r="AT95" s="305">
        <v>0</v>
      </c>
      <c r="AU95" s="305">
        <v>0</v>
      </c>
      <c r="AV95" s="305">
        <v>0</v>
      </c>
      <c r="AW95" s="305">
        <v>0</v>
      </c>
      <c r="AX95" s="305">
        <v>0</v>
      </c>
      <c r="AY95" s="305">
        <v>0</v>
      </c>
      <c r="AZ95" s="305">
        <v>0</v>
      </c>
      <c r="BA95" s="305">
        <v>0</v>
      </c>
      <c r="BB95" s="305">
        <v>0</v>
      </c>
      <c r="BC95" s="305">
        <v>0</v>
      </c>
      <c r="BD95" s="305">
        <v>0</v>
      </c>
      <c r="BE95" s="305">
        <v>0</v>
      </c>
      <c r="BF95" s="305">
        <v>0</v>
      </c>
      <c r="BG95" s="305">
        <v>0</v>
      </c>
      <c r="BH95" s="305">
        <v>0</v>
      </c>
      <c r="BI95" s="305">
        <v>0</v>
      </c>
      <c r="BJ95" s="305">
        <v>0</v>
      </c>
      <c r="BK95" s="305">
        <v>0</v>
      </c>
      <c r="BL95" s="305">
        <v>0</v>
      </c>
      <c r="BM95" s="305">
        <v>0</v>
      </c>
      <c r="BN95" s="305">
        <v>0</v>
      </c>
      <c r="BO95" s="305">
        <v>0</v>
      </c>
      <c r="BP95" s="305">
        <v>0</v>
      </c>
      <c r="BQ95" s="305">
        <v>0</v>
      </c>
      <c r="BR95" s="305">
        <v>0</v>
      </c>
      <c r="BU95" s="304" t="s">
        <v>711</v>
      </c>
      <c r="BV95" s="302">
        <v>0</v>
      </c>
      <c r="BW95" s="302">
        <v>0</v>
      </c>
      <c r="BX95" s="302">
        <v>0</v>
      </c>
      <c r="BY95" s="302">
        <v>0</v>
      </c>
      <c r="BZ95" s="302">
        <v>0</v>
      </c>
      <c r="CA95" s="302">
        <v>0</v>
      </c>
      <c r="CB95" s="302">
        <v>0</v>
      </c>
      <c r="CC95" s="302">
        <v>0</v>
      </c>
      <c r="CD95" s="302">
        <v>0</v>
      </c>
      <c r="CE95" s="302">
        <v>0</v>
      </c>
      <c r="CF95" s="302">
        <v>0</v>
      </c>
      <c r="CG95" s="302">
        <v>0</v>
      </c>
      <c r="CH95" s="302">
        <v>0</v>
      </c>
      <c r="CI95" s="302">
        <v>0</v>
      </c>
      <c r="CJ95" s="302">
        <v>0</v>
      </c>
      <c r="CK95" s="302">
        <v>0</v>
      </c>
      <c r="CL95" s="302">
        <v>0</v>
      </c>
      <c r="CM95" s="302">
        <v>0</v>
      </c>
      <c r="CN95" s="302">
        <v>0</v>
      </c>
      <c r="CO95" s="302">
        <v>0</v>
      </c>
      <c r="CP95" s="302">
        <v>0</v>
      </c>
      <c r="CQ95" s="302">
        <v>0</v>
      </c>
      <c r="CR95" s="302">
        <v>0</v>
      </c>
      <c r="CS95" s="302">
        <v>0</v>
      </c>
      <c r="CT95" s="302">
        <v>0</v>
      </c>
      <c r="CU95" s="302">
        <v>0</v>
      </c>
      <c r="CV95" s="302">
        <v>0</v>
      </c>
      <c r="CW95" s="302">
        <v>0</v>
      </c>
      <c r="CX95" s="302">
        <v>0</v>
      </c>
      <c r="CY95" s="302">
        <v>0</v>
      </c>
      <c r="CZ95" s="302">
        <v>0</v>
      </c>
      <c r="DA95" s="302">
        <v>0</v>
      </c>
      <c r="DB95" s="302">
        <v>0</v>
      </c>
      <c r="DC95" s="302">
        <v>0</v>
      </c>
      <c r="DD95" s="302">
        <v>0</v>
      </c>
      <c r="DE95" s="302">
        <v>0</v>
      </c>
      <c r="DF95" s="302">
        <v>0</v>
      </c>
      <c r="DG95" s="302">
        <v>0</v>
      </c>
      <c r="DH95" s="302">
        <v>0</v>
      </c>
      <c r="DI95" s="302">
        <v>0</v>
      </c>
    </row>
    <row r="96" spans="30:113">
      <c r="AD96" s="304" t="s">
        <v>656</v>
      </c>
      <c r="AE96" s="305">
        <v>0</v>
      </c>
      <c r="AF96" s="305">
        <v>5820.7321553561396</v>
      </c>
      <c r="AG96" s="305">
        <v>0</v>
      </c>
      <c r="AH96" s="305">
        <v>67354.020465940004</v>
      </c>
      <c r="AI96" s="305">
        <v>0</v>
      </c>
      <c r="AJ96" s="305">
        <v>0</v>
      </c>
      <c r="AK96" s="305">
        <v>0</v>
      </c>
      <c r="AL96" s="305">
        <v>0</v>
      </c>
      <c r="AM96" s="305">
        <v>0</v>
      </c>
      <c r="AN96" s="305">
        <v>0</v>
      </c>
      <c r="AO96" s="305">
        <v>0</v>
      </c>
      <c r="AP96" s="305">
        <v>0</v>
      </c>
      <c r="AQ96" s="305">
        <v>3155.63573488975</v>
      </c>
      <c r="AR96" s="305">
        <v>0</v>
      </c>
      <c r="AS96" s="305">
        <v>0</v>
      </c>
      <c r="AT96" s="305">
        <v>0</v>
      </c>
      <c r="AU96" s="305">
        <v>0</v>
      </c>
      <c r="AV96" s="305">
        <v>0</v>
      </c>
      <c r="AW96" s="305">
        <v>0</v>
      </c>
      <c r="AX96" s="305">
        <v>0</v>
      </c>
      <c r="AY96" s="305">
        <v>0</v>
      </c>
      <c r="AZ96" s="305">
        <v>0</v>
      </c>
      <c r="BA96" s="305">
        <v>0</v>
      </c>
      <c r="BB96" s="305">
        <v>0</v>
      </c>
      <c r="BC96" s="305">
        <v>0</v>
      </c>
      <c r="BD96" s="305">
        <v>0</v>
      </c>
      <c r="BE96" s="305">
        <v>0</v>
      </c>
      <c r="BF96" s="305">
        <v>0</v>
      </c>
      <c r="BG96" s="305">
        <v>0</v>
      </c>
      <c r="BH96" s="305">
        <v>0</v>
      </c>
      <c r="BI96" s="305">
        <v>0</v>
      </c>
      <c r="BJ96" s="305">
        <v>0</v>
      </c>
      <c r="BK96" s="305">
        <v>0</v>
      </c>
      <c r="BL96" s="305">
        <v>0</v>
      </c>
      <c r="BM96" s="305">
        <v>0</v>
      </c>
      <c r="BN96" s="305">
        <v>0</v>
      </c>
      <c r="BO96" s="305">
        <v>0</v>
      </c>
      <c r="BP96" s="305">
        <v>0</v>
      </c>
      <c r="BQ96" s="305">
        <v>0</v>
      </c>
      <c r="BR96" s="305">
        <v>0</v>
      </c>
      <c r="BU96" s="304" t="s">
        <v>656</v>
      </c>
      <c r="BV96" s="302">
        <v>0</v>
      </c>
      <c r="BW96" s="302">
        <v>0</v>
      </c>
      <c r="BX96" s="302">
        <v>0</v>
      </c>
      <c r="BY96" s="302">
        <v>0</v>
      </c>
      <c r="BZ96" s="302">
        <v>0</v>
      </c>
      <c r="CA96" s="302">
        <v>0</v>
      </c>
      <c r="CB96" s="302">
        <v>0</v>
      </c>
      <c r="CC96" s="302">
        <v>0</v>
      </c>
      <c r="CD96" s="302">
        <v>0</v>
      </c>
      <c r="CE96" s="302">
        <v>0</v>
      </c>
      <c r="CF96" s="302">
        <v>0</v>
      </c>
      <c r="CG96" s="302">
        <v>0</v>
      </c>
      <c r="CH96" s="302">
        <v>0</v>
      </c>
      <c r="CI96" s="302">
        <v>0</v>
      </c>
      <c r="CJ96" s="302">
        <v>0</v>
      </c>
      <c r="CK96" s="302">
        <v>0</v>
      </c>
      <c r="CL96" s="302">
        <v>0</v>
      </c>
      <c r="CM96" s="302">
        <v>0</v>
      </c>
      <c r="CN96" s="302">
        <v>0</v>
      </c>
      <c r="CO96" s="302">
        <v>0</v>
      </c>
      <c r="CP96" s="302">
        <v>0</v>
      </c>
      <c r="CQ96" s="302">
        <v>0</v>
      </c>
      <c r="CR96" s="302">
        <v>0</v>
      </c>
      <c r="CS96" s="302">
        <v>0</v>
      </c>
      <c r="CT96" s="302">
        <v>0</v>
      </c>
      <c r="CU96" s="302">
        <v>0</v>
      </c>
      <c r="CV96" s="302">
        <v>0</v>
      </c>
      <c r="CW96" s="302">
        <v>0</v>
      </c>
      <c r="CX96" s="302">
        <v>0</v>
      </c>
      <c r="CY96" s="302">
        <v>0</v>
      </c>
      <c r="CZ96" s="302">
        <v>0</v>
      </c>
      <c r="DA96" s="302">
        <v>0</v>
      </c>
      <c r="DB96" s="302">
        <v>0</v>
      </c>
      <c r="DC96" s="302">
        <v>0</v>
      </c>
      <c r="DD96" s="302">
        <v>0</v>
      </c>
      <c r="DE96" s="302">
        <v>0</v>
      </c>
      <c r="DF96" s="302">
        <v>0</v>
      </c>
      <c r="DG96" s="302">
        <v>0</v>
      </c>
      <c r="DH96" s="302">
        <v>0</v>
      </c>
      <c r="DI96" s="302">
        <v>0</v>
      </c>
    </row>
    <row r="97" spans="30:113">
      <c r="AD97" s="304" t="s">
        <v>657</v>
      </c>
      <c r="AE97" s="305">
        <v>0</v>
      </c>
      <c r="AF97" s="305">
        <v>0</v>
      </c>
      <c r="AG97" s="305">
        <v>0</v>
      </c>
      <c r="AH97" s="305">
        <v>0</v>
      </c>
      <c r="AI97" s="305">
        <v>0</v>
      </c>
      <c r="AJ97" s="305">
        <v>0</v>
      </c>
      <c r="AK97" s="305">
        <v>0</v>
      </c>
      <c r="AL97" s="305">
        <v>0</v>
      </c>
      <c r="AM97" s="305">
        <v>0</v>
      </c>
      <c r="AN97" s="305">
        <v>0</v>
      </c>
      <c r="AO97" s="305">
        <v>0</v>
      </c>
      <c r="AP97" s="305">
        <v>0</v>
      </c>
      <c r="AQ97" s="305">
        <v>0</v>
      </c>
      <c r="AR97" s="305">
        <v>0</v>
      </c>
      <c r="AS97" s="305">
        <v>0</v>
      </c>
      <c r="AT97" s="305">
        <v>0</v>
      </c>
      <c r="AU97" s="305">
        <v>0</v>
      </c>
      <c r="AV97" s="305">
        <v>0</v>
      </c>
      <c r="AW97" s="305">
        <v>0</v>
      </c>
      <c r="AX97" s="305">
        <v>0</v>
      </c>
      <c r="AY97" s="305">
        <v>0</v>
      </c>
      <c r="AZ97" s="305">
        <v>0</v>
      </c>
      <c r="BA97" s="305">
        <v>0</v>
      </c>
      <c r="BB97" s="305">
        <v>0</v>
      </c>
      <c r="BC97" s="305">
        <v>0</v>
      </c>
      <c r="BD97" s="305">
        <v>0</v>
      </c>
      <c r="BE97" s="305">
        <v>0</v>
      </c>
      <c r="BF97" s="305">
        <v>0</v>
      </c>
      <c r="BG97" s="305">
        <v>0</v>
      </c>
      <c r="BH97" s="305">
        <v>0</v>
      </c>
      <c r="BI97" s="305">
        <v>0</v>
      </c>
      <c r="BJ97" s="305">
        <v>0</v>
      </c>
      <c r="BK97" s="305">
        <v>0</v>
      </c>
      <c r="BL97" s="305">
        <v>0</v>
      </c>
      <c r="BM97" s="305">
        <v>0</v>
      </c>
      <c r="BN97" s="305">
        <v>0</v>
      </c>
      <c r="BO97" s="305">
        <v>0</v>
      </c>
      <c r="BP97" s="305">
        <v>0</v>
      </c>
      <c r="BQ97" s="305">
        <v>0</v>
      </c>
      <c r="BR97" s="305">
        <v>0</v>
      </c>
      <c r="BU97" s="304" t="s">
        <v>657</v>
      </c>
      <c r="BV97" s="302">
        <v>0</v>
      </c>
      <c r="BW97" s="302">
        <v>0</v>
      </c>
      <c r="BX97" s="302">
        <v>0</v>
      </c>
      <c r="BY97" s="302">
        <v>0</v>
      </c>
      <c r="BZ97" s="302">
        <v>0</v>
      </c>
      <c r="CA97" s="302">
        <v>0</v>
      </c>
      <c r="CB97" s="302">
        <v>0</v>
      </c>
      <c r="CC97" s="302">
        <v>0</v>
      </c>
      <c r="CD97" s="302">
        <v>0</v>
      </c>
      <c r="CE97" s="302">
        <v>0</v>
      </c>
      <c r="CF97" s="302">
        <v>0</v>
      </c>
      <c r="CG97" s="302">
        <v>0</v>
      </c>
      <c r="CH97" s="302">
        <v>0</v>
      </c>
      <c r="CI97" s="302">
        <v>0</v>
      </c>
      <c r="CJ97" s="302">
        <v>0</v>
      </c>
      <c r="CK97" s="302">
        <v>0</v>
      </c>
      <c r="CL97" s="302">
        <v>0</v>
      </c>
      <c r="CM97" s="302">
        <v>0</v>
      </c>
      <c r="CN97" s="302">
        <v>0</v>
      </c>
      <c r="CO97" s="302">
        <v>0</v>
      </c>
      <c r="CP97" s="302">
        <v>0</v>
      </c>
      <c r="CQ97" s="302">
        <v>0</v>
      </c>
      <c r="CR97" s="302">
        <v>0</v>
      </c>
      <c r="CS97" s="302">
        <v>0</v>
      </c>
      <c r="CT97" s="302">
        <v>0</v>
      </c>
      <c r="CU97" s="302">
        <v>0</v>
      </c>
      <c r="CV97" s="302">
        <v>0</v>
      </c>
      <c r="CW97" s="302">
        <v>0</v>
      </c>
      <c r="CX97" s="302">
        <v>0</v>
      </c>
      <c r="CY97" s="302">
        <v>0</v>
      </c>
      <c r="CZ97" s="302">
        <v>0</v>
      </c>
      <c r="DA97" s="302">
        <v>0</v>
      </c>
      <c r="DB97" s="302">
        <v>0</v>
      </c>
      <c r="DC97" s="302">
        <v>0</v>
      </c>
      <c r="DD97" s="302">
        <v>0</v>
      </c>
      <c r="DE97" s="302">
        <v>0</v>
      </c>
      <c r="DF97" s="302">
        <v>0</v>
      </c>
      <c r="DG97" s="302">
        <v>0</v>
      </c>
      <c r="DH97" s="302">
        <v>0</v>
      </c>
      <c r="DI97" s="302">
        <v>0</v>
      </c>
    </row>
    <row r="98" spans="30:113">
      <c r="AD98" s="304" t="s">
        <v>751</v>
      </c>
      <c r="AE98" s="305">
        <v>0</v>
      </c>
      <c r="AF98" s="305">
        <v>0</v>
      </c>
      <c r="AG98" s="305">
        <v>0</v>
      </c>
      <c r="AH98" s="305">
        <v>0</v>
      </c>
      <c r="AI98" s="305">
        <v>0</v>
      </c>
      <c r="AJ98" s="305">
        <v>0</v>
      </c>
      <c r="AK98" s="305">
        <v>0</v>
      </c>
      <c r="AL98" s="305">
        <v>0</v>
      </c>
      <c r="AM98" s="305">
        <v>0</v>
      </c>
      <c r="AN98" s="305">
        <v>0</v>
      </c>
      <c r="AO98" s="305">
        <v>0</v>
      </c>
      <c r="AP98" s="305">
        <v>0</v>
      </c>
      <c r="AQ98" s="305">
        <v>0</v>
      </c>
      <c r="AR98" s="305">
        <v>0</v>
      </c>
      <c r="AS98" s="305">
        <v>0</v>
      </c>
      <c r="AT98" s="305">
        <v>0</v>
      </c>
      <c r="AU98" s="305">
        <v>0</v>
      </c>
      <c r="AV98" s="305">
        <v>0</v>
      </c>
      <c r="AW98" s="305">
        <v>0</v>
      </c>
      <c r="AX98" s="305">
        <v>0</v>
      </c>
      <c r="AY98" s="305">
        <v>0</v>
      </c>
      <c r="AZ98" s="305">
        <v>0</v>
      </c>
      <c r="BA98" s="305">
        <v>0</v>
      </c>
      <c r="BB98" s="305">
        <v>0</v>
      </c>
      <c r="BC98" s="305">
        <v>0</v>
      </c>
      <c r="BD98" s="305">
        <v>0</v>
      </c>
      <c r="BE98" s="305">
        <v>0</v>
      </c>
      <c r="BF98" s="305">
        <v>0</v>
      </c>
      <c r="BG98" s="305">
        <v>0</v>
      </c>
      <c r="BH98" s="305">
        <v>0</v>
      </c>
      <c r="BI98" s="305">
        <v>0</v>
      </c>
      <c r="BJ98" s="305">
        <v>0</v>
      </c>
      <c r="BK98" s="305">
        <v>0</v>
      </c>
      <c r="BL98" s="305">
        <v>0</v>
      </c>
      <c r="BM98" s="305">
        <v>0</v>
      </c>
      <c r="BN98" s="305">
        <v>0</v>
      </c>
      <c r="BO98" s="305">
        <v>0</v>
      </c>
      <c r="BP98" s="305">
        <v>0</v>
      </c>
      <c r="BQ98" s="305">
        <v>0</v>
      </c>
      <c r="BR98" s="305">
        <v>0</v>
      </c>
      <c r="BU98" s="304" t="s">
        <v>751</v>
      </c>
      <c r="BV98" s="302">
        <v>0</v>
      </c>
      <c r="BW98" s="302">
        <v>0</v>
      </c>
      <c r="BX98" s="302">
        <v>0</v>
      </c>
      <c r="BY98" s="302">
        <v>0</v>
      </c>
      <c r="BZ98" s="302">
        <v>0</v>
      </c>
      <c r="CA98" s="302">
        <v>0</v>
      </c>
      <c r="CB98" s="302">
        <v>0</v>
      </c>
      <c r="CC98" s="302">
        <v>0</v>
      </c>
      <c r="CD98" s="302">
        <v>0</v>
      </c>
      <c r="CE98" s="302">
        <v>0</v>
      </c>
      <c r="CF98" s="302">
        <v>0</v>
      </c>
      <c r="CG98" s="302">
        <v>0</v>
      </c>
      <c r="CH98" s="302">
        <v>0</v>
      </c>
      <c r="CI98" s="302">
        <v>0</v>
      </c>
      <c r="CJ98" s="302">
        <v>0</v>
      </c>
      <c r="CK98" s="302">
        <v>0</v>
      </c>
      <c r="CL98" s="302">
        <v>0</v>
      </c>
      <c r="CM98" s="302">
        <v>0</v>
      </c>
      <c r="CN98" s="302">
        <v>0</v>
      </c>
      <c r="CO98" s="302">
        <v>0</v>
      </c>
      <c r="CP98" s="302">
        <v>0</v>
      </c>
      <c r="CQ98" s="302">
        <v>0</v>
      </c>
      <c r="CR98" s="302">
        <v>0</v>
      </c>
      <c r="CS98" s="302">
        <v>0</v>
      </c>
      <c r="CT98" s="302">
        <v>0</v>
      </c>
      <c r="CU98" s="302">
        <v>0</v>
      </c>
      <c r="CV98" s="302">
        <v>0</v>
      </c>
      <c r="CW98" s="302">
        <v>0</v>
      </c>
      <c r="CX98" s="302">
        <v>0</v>
      </c>
      <c r="CY98" s="302">
        <v>0</v>
      </c>
      <c r="CZ98" s="302">
        <v>0</v>
      </c>
      <c r="DA98" s="302">
        <v>0</v>
      </c>
      <c r="DB98" s="302">
        <v>0</v>
      </c>
      <c r="DC98" s="302">
        <v>0</v>
      </c>
      <c r="DD98" s="302">
        <v>0</v>
      </c>
      <c r="DE98" s="302">
        <v>0</v>
      </c>
      <c r="DF98" s="302">
        <v>0</v>
      </c>
      <c r="DG98" s="302">
        <v>0</v>
      </c>
      <c r="DH98" s="302">
        <v>0</v>
      </c>
      <c r="DI98" s="302">
        <v>0</v>
      </c>
    </row>
    <row r="99" spans="30:113">
      <c r="AD99" s="304" t="s">
        <v>658</v>
      </c>
      <c r="AE99" s="305">
        <v>0</v>
      </c>
      <c r="AF99" s="305">
        <v>0</v>
      </c>
      <c r="AG99" s="305">
        <v>0</v>
      </c>
      <c r="AH99" s="305">
        <v>2511.39821094118</v>
      </c>
      <c r="AI99" s="305">
        <v>0</v>
      </c>
      <c r="AJ99" s="305">
        <v>0</v>
      </c>
      <c r="AK99" s="305">
        <v>0</v>
      </c>
      <c r="AL99" s="305">
        <v>0</v>
      </c>
      <c r="AM99" s="305">
        <v>0</v>
      </c>
      <c r="AN99" s="305">
        <v>0</v>
      </c>
      <c r="AO99" s="305">
        <v>0</v>
      </c>
      <c r="AP99" s="305">
        <v>0</v>
      </c>
      <c r="AQ99" s="305">
        <v>0</v>
      </c>
      <c r="AR99" s="305">
        <v>0</v>
      </c>
      <c r="AS99" s="305">
        <v>0</v>
      </c>
      <c r="AT99" s="305">
        <v>0</v>
      </c>
      <c r="AU99" s="305">
        <v>0</v>
      </c>
      <c r="AV99" s="305">
        <v>0</v>
      </c>
      <c r="AW99" s="305">
        <v>0</v>
      </c>
      <c r="AX99" s="305">
        <v>0</v>
      </c>
      <c r="AY99" s="305">
        <v>0</v>
      </c>
      <c r="AZ99" s="305">
        <v>0</v>
      </c>
      <c r="BA99" s="305">
        <v>0</v>
      </c>
      <c r="BB99" s="305">
        <v>0</v>
      </c>
      <c r="BC99" s="305">
        <v>0</v>
      </c>
      <c r="BD99" s="305">
        <v>0</v>
      </c>
      <c r="BE99" s="305">
        <v>0</v>
      </c>
      <c r="BF99" s="305">
        <v>0</v>
      </c>
      <c r="BG99" s="305">
        <v>0</v>
      </c>
      <c r="BH99" s="305">
        <v>0</v>
      </c>
      <c r="BI99" s="305">
        <v>0</v>
      </c>
      <c r="BJ99" s="305">
        <v>0</v>
      </c>
      <c r="BK99" s="305">
        <v>0</v>
      </c>
      <c r="BL99" s="305">
        <v>0</v>
      </c>
      <c r="BM99" s="305">
        <v>0</v>
      </c>
      <c r="BN99" s="305">
        <v>0</v>
      </c>
      <c r="BO99" s="305">
        <v>0</v>
      </c>
      <c r="BP99" s="305">
        <v>0</v>
      </c>
      <c r="BQ99" s="305">
        <v>0</v>
      </c>
      <c r="BR99" s="305">
        <v>0</v>
      </c>
      <c r="BU99" s="304" t="s">
        <v>658</v>
      </c>
      <c r="BV99" s="302">
        <v>0</v>
      </c>
      <c r="BW99" s="302">
        <v>0</v>
      </c>
      <c r="BX99" s="302">
        <v>0</v>
      </c>
      <c r="BY99" s="302">
        <v>0</v>
      </c>
      <c r="BZ99" s="302">
        <v>0</v>
      </c>
      <c r="CA99" s="302">
        <v>0</v>
      </c>
      <c r="CB99" s="302">
        <v>0</v>
      </c>
      <c r="CC99" s="302">
        <v>0</v>
      </c>
      <c r="CD99" s="302">
        <v>0</v>
      </c>
      <c r="CE99" s="302">
        <v>0</v>
      </c>
      <c r="CF99" s="302">
        <v>0</v>
      </c>
      <c r="CG99" s="302">
        <v>0</v>
      </c>
      <c r="CH99" s="302">
        <v>0</v>
      </c>
      <c r="CI99" s="302">
        <v>0</v>
      </c>
      <c r="CJ99" s="302">
        <v>0</v>
      </c>
      <c r="CK99" s="302">
        <v>0</v>
      </c>
      <c r="CL99" s="302">
        <v>0</v>
      </c>
      <c r="CM99" s="302">
        <v>0</v>
      </c>
      <c r="CN99" s="302">
        <v>0</v>
      </c>
      <c r="CO99" s="302">
        <v>0</v>
      </c>
      <c r="CP99" s="302">
        <v>0</v>
      </c>
      <c r="CQ99" s="302">
        <v>0</v>
      </c>
      <c r="CR99" s="302">
        <v>0</v>
      </c>
      <c r="CS99" s="302">
        <v>0</v>
      </c>
      <c r="CT99" s="302">
        <v>0</v>
      </c>
      <c r="CU99" s="302">
        <v>0</v>
      </c>
      <c r="CV99" s="302">
        <v>0</v>
      </c>
      <c r="CW99" s="302">
        <v>0</v>
      </c>
      <c r="CX99" s="302">
        <v>0</v>
      </c>
      <c r="CY99" s="302">
        <v>0</v>
      </c>
      <c r="CZ99" s="302">
        <v>0</v>
      </c>
      <c r="DA99" s="302">
        <v>0</v>
      </c>
      <c r="DB99" s="302">
        <v>0</v>
      </c>
      <c r="DC99" s="302">
        <v>0</v>
      </c>
      <c r="DD99" s="302">
        <v>0</v>
      </c>
      <c r="DE99" s="302">
        <v>0</v>
      </c>
      <c r="DF99" s="302">
        <v>0</v>
      </c>
      <c r="DG99" s="302">
        <v>0</v>
      </c>
      <c r="DH99" s="302">
        <v>0</v>
      </c>
      <c r="DI99" s="302">
        <v>0</v>
      </c>
    </row>
    <row r="100" spans="30:113">
      <c r="AD100" s="304" t="s">
        <v>712</v>
      </c>
      <c r="AE100" s="305">
        <v>0</v>
      </c>
      <c r="AF100" s="305">
        <v>0</v>
      </c>
      <c r="AG100" s="305">
        <v>0</v>
      </c>
      <c r="AH100" s="305">
        <v>4830.4442158522497</v>
      </c>
      <c r="AI100" s="305">
        <v>0</v>
      </c>
      <c r="AJ100" s="305">
        <v>0</v>
      </c>
      <c r="AK100" s="305">
        <v>0</v>
      </c>
      <c r="AL100" s="305">
        <v>0</v>
      </c>
      <c r="AM100" s="305">
        <v>0</v>
      </c>
      <c r="AN100" s="305">
        <v>0</v>
      </c>
      <c r="AO100" s="305">
        <v>0</v>
      </c>
      <c r="AP100" s="305">
        <v>0</v>
      </c>
      <c r="AQ100" s="305">
        <v>0</v>
      </c>
      <c r="AR100" s="305">
        <v>0</v>
      </c>
      <c r="AS100" s="305">
        <v>0</v>
      </c>
      <c r="AT100" s="305">
        <v>0</v>
      </c>
      <c r="AU100" s="305">
        <v>0</v>
      </c>
      <c r="AV100" s="305">
        <v>0</v>
      </c>
      <c r="AW100" s="305">
        <v>0</v>
      </c>
      <c r="AX100" s="305">
        <v>0</v>
      </c>
      <c r="AY100" s="305">
        <v>0</v>
      </c>
      <c r="AZ100" s="305">
        <v>0</v>
      </c>
      <c r="BA100" s="305">
        <v>0</v>
      </c>
      <c r="BB100" s="305">
        <v>0</v>
      </c>
      <c r="BC100" s="305">
        <v>0</v>
      </c>
      <c r="BD100" s="305">
        <v>0</v>
      </c>
      <c r="BE100" s="305">
        <v>0</v>
      </c>
      <c r="BF100" s="305">
        <v>0</v>
      </c>
      <c r="BG100" s="305">
        <v>0</v>
      </c>
      <c r="BH100" s="305">
        <v>0</v>
      </c>
      <c r="BI100" s="305">
        <v>0</v>
      </c>
      <c r="BJ100" s="305">
        <v>0</v>
      </c>
      <c r="BK100" s="305">
        <v>0</v>
      </c>
      <c r="BL100" s="305">
        <v>0</v>
      </c>
      <c r="BM100" s="305">
        <v>0</v>
      </c>
      <c r="BN100" s="305">
        <v>0</v>
      </c>
      <c r="BO100" s="305">
        <v>0</v>
      </c>
      <c r="BP100" s="305">
        <v>0</v>
      </c>
      <c r="BQ100" s="305">
        <v>0</v>
      </c>
      <c r="BR100" s="305">
        <v>0</v>
      </c>
      <c r="BU100" s="304" t="s">
        <v>712</v>
      </c>
      <c r="BV100" s="302">
        <v>0</v>
      </c>
      <c r="BW100" s="302">
        <v>0</v>
      </c>
      <c r="BX100" s="302">
        <v>0</v>
      </c>
      <c r="BY100" s="302">
        <v>0</v>
      </c>
      <c r="BZ100" s="302">
        <v>0</v>
      </c>
      <c r="CA100" s="302">
        <v>0</v>
      </c>
      <c r="CB100" s="302">
        <v>0</v>
      </c>
      <c r="CC100" s="302">
        <v>0</v>
      </c>
      <c r="CD100" s="302">
        <v>0</v>
      </c>
      <c r="CE100" s="302">
        <v>0</v>
      </c>
      <c r="CF100" s="302">
        <v>0</v>
      </c>
      <c r="CG100" s="302">
        <v>0</v>
      </c>
      <c r="CH100" s="302">
        <v>0</v>
      </c>
      <c r="CI100" s="302">
        <v>0</v>
      </c>
      <c r="CJ100" s="302">
        <v>0</v>
      </c>
      <c r="CK100" s="302">
        <v>0</v>
      </c>
      <c r="CL100" s="302">
        <v>0</v>
      </c>
      <c r="CM100" s="302">
        <v>0</v>
      </c>
      <c r="CN100" s="302">
        <v>0</v>
      </c>
      <c r="CO100" s="302">
        <v>0</v>
      </c>
      <c r="CP100" s="302">
        <v>0</v>
      </c>
      <c r="CQ100" s="302">
        <v>0</v>
      </c>
      <c r="CR100" s="302">
        <v>0</v>
      </c>
      <c r="CS100" s="302">
        <v>0</v>
      </c>
      <c r="CT100" s="302">
        <v>0</v>
      </c>
      <c r="CU100" s="302">
        <v>0</v>
      </c>
      <c r="CV100" s="302">
        <v>0</v>
      </c>
      <c r="CW100" s="302">
        <v>0</v>
      </c>
      <c r="CX100" s="302">
        <v>0</v>
      </c>
      <c r="CY100" s="302">
        <v>0</v>
      </c>
      <c r="CZ100" s="302">
        <v>0</v>
      </c>
      <c r="DA100" s="302">
        <v>0</v>
      </c>
      <c r="DB100" s="302">
        <v>0</v>
      </c>
      <c r="DC100" s="302">
        <v>0</v>
      </c>
      <c r="DD100" s="302">
        <v>0</v>
      </c>
      <c r="DE100" s="302">
        <v>0</v>
      </c>
      <c r="DF100" s="302">
        <v>0</v>
      </c>
      <c r="DG100" s="302">
        <v>0</v>
      </c>
      <c r="DH100" s="302">
        <v>0</v>
      </c>
      <c r="DI100" s="302">
        <v>0</v>
      </c>
    </row>
    <row r="101" spans="30:113">
      <c r="AD101" s="304" t="s">
        <v>713</v>
      </c>
      <c r="AE101" s="305">
        <v>0</v>
      </c>
      <c r="AF101" s="305">
        <v>0</v>
      </c>
      <c r="AG101" s="305">
        <v>0</v>
      </c>
      <c r="AH101" s="305">
        <v>0</v>
      </c>
      <c r="AI101" s="305">
        <v>4830.4442158522497</v>
      </c>
      <c r="AJ101" s="305">
        <v>0</v>
      </c>
      <c r="AK101" s="305">
        <v>0</v>
      </c>
      <c r="AL101" s="305">
        <v>0</v>
      </c>
      <c r="AM101" s="305">
        <v>0</v>
      </c>
      <c r="AN101" s="305">
        <v>0</v>
      </c>
      <c r="AO101" s="305">
        <v>0</v>
      </c>
      <c r="AP101" s="305">
        <v>0</v>
      </c>
      <c r="AQ101" s="305">
        <v>0</v>
      </c>
      <c r="AR101" s="305">
        <v>0</v>
      </c>
      <c r="AS101" s="305">
        <v>0</v>
      </c>
      <c r="AT101" s="305">
        <v>0</v>
      </c>
      <c r="AU101" s="305">
        <v>0</v>
      </c>
      <c r="AV101" s="305">
        <v>0</v>
      </c>
      <c r="AW101" s="305">
        <v>0</v>
      </c>
      <c r="AX101" s="305">
        <v>0</v>
      </c>
      <c r="AY101" s="305">
        <v>0</v>
      </c>
      <c r="AZ101" s="305">
        <v>0</v>
      </c>
      <c r="BA101" s="305">
        <v>0</v>
      </c>
      <c r="BB101" s="305">
        <v>0</v>
      </c>
      <c r="BC101" s="305">
        <v>0</v>
      </c>
      <c r="BD101" s="305">
        <v>0</v>
      </c>
      <c r="BE101" s="305">
        <v>0</v>
      </c>
      <c r="BF101" s="305">
        <v>0</v>
      </c>
      <c r="BG101" s="305">
        <v>0</v>
      </c>
      <c r="BH101" s="305">
        <v>0</v>
      </c>
      <c r="BI101" s="305">
        <v>0</v>
      </c>
      <c r="BJ101" s="305">
        <v>0</v>
      </c>
      <c r="BK101" s="305">
        <v>0</v>
      </c>
      <c r="BL101" s="305">
        <v>0</v>
      </c>
      <c r="BM101" s="305">
        <v>0</v>
      </c>
      <c r="BN101" s="305">
        <v>0</v>
      </c>
      <c r="BO101" s="305">
        <v>0</v>
      </c>
      <c r="BP101" s="305">
        <v>0</v>
      </c>
      <c r="BQ101" s="305">
        <v>0</v>
      </c>
      <c r="BR101" s="305">
        <v>0</v>
      </c>
      <c r="BU101" s="304" t="s">
        <v>713</v>
      </c>
      <c r="BV101" s="302">
        <v>0</v>
      </c>
      <c r="BW101" s="302">
        <v>0</v>
      </c>
      <c r="BX101" s="302">
        <v>0</v>
      </c>
      <c r="BY101" s="302">
        <v>0</v>
      </c>
      <c r="BZ101" s="302">
        <v>0</v>
      </c>
      <c r="CA101" s="302">
        <v>0</v>
      </c>
      <c r="CB101" s="302">
        <v>0</v>
      </c>
      <c r="CC101" s="302">
        <v>0</v>
      </c>
      <c r="CD101" s="302">
        <v>0</v>
      </c>
      <c r="CE101" s="302">
        <v>0</v>
      </c>
      <c r="CF101" s="302">
        <v>0</v>
      </c>
      <c r="CG101" s="302">
        <v>0</v>
      </c>
      <c r="CH101" s="302">
        <v>0</v>
      </c>
      <c r="CI101" s="302">
        <v>0</v>
      </c>
      <c r="CJ101" s="302">
        <v>0</v>
      </c>
      <c r="CK101" s="302">
        <v>0</v>
      </c>
      <c r="CL101" s="302">
        <v>0</v>
      </c>
      <c r="CM101" s="302">
        <v>0</v>
      </c>
      <c r="CN101" s="302">
        <v>0</v>
      </c>
      <c r="CO101" s="302">
        <v>0</v>
      </c>
      <c r="CP101" s="302">
        <v>0</v>
      </c>
      <c r="CQ101" s="302">
        <v>0</v>
      </c>
      <c r="CR101" s="302">
        <v>0</v>
      </c>
      <c r="CS101" s="302">
        <v>0</v>
      </c>
      <c r="CT101" s="302">
        <v>0</v>
      </c>
      <c r="CU101" s="302">
        <v>0</v>
      </c>
      <c r="CV101" s="302">
        <v>0</v>
      </c>
      <c r="CW101" s="302">
        <v>0</v>
      </c>
      <c r="CX101" s="302">
        <v>0</v>
      </c>
      <c r="CY101" s="302">
        <v>0</v>
      </c>
      <c r="CZ101" s="302">
        <v>0</v>
      </c>
      <c r="DA101" s="302">
        <v>0</v>
      </c>
      <c r="DB101" s="302">
        <v>0</v>
      </c>
      <c r="DC101" s="302">
        <v>0</v>
      </c>
      <c r="DD101" s="302">
        <v>0</v>
      </c>
      <c r="DE101" s="302">
        <v>0</v>
      </c>
      <c r="DF101" s="302">
        <v>0</v>
      </c>
      <c r="DG101" s="302">
        <v>0</v>
      </c>
      <c r="DH101" s="302">
        <v>0</v>
      </c>
      <c r="DI101" s="302">
        <v>0</v>
      </c>
    </row>
    <row r="102" spans="30:113">
      <c r="AD102" s="304" t="s">
        <v>752</v>
      </c>
      <c r="AE102" s="305">
        <v>0</v>
      </c>
      <c r="AF102" s="305">
        <v>0</v>
      </c>
      <c r="AG102" s="305">
        <v>0</v>
      </c>
      <c r="AH102" s="305">
        <v>0</v>
      </c>
      <c r="AI102" s="305">
        <v>0</v>
      </c>
      <c r="AJ102" s="305">
        <v>0</v>
      </c>
      <c r="AK102" s="305">
        <v>0</v>
      </c>
      <c r="AL102" s="305">
        <v>0</v>
      </c>
      <c r="AM102" s="305">
        <v>0</v>
      </c>
      <c r="AN102" s="305">
        <v>0</v>
      </c>
      <c r="AO102" s="305">
        <v>0</v>
      </c>
      <c r="AP102" s="305">
        <v>0</v>
      </c>
      <c r="AQ102" s="305">
        <v>0</v>
      </c>
      <c r="AR102" s="305">
        <v>0</v>
      </c>
      <c r="AS102" s="305">
        <v>0</v>
      </c>
      <c r="AT102" s="305">
        <v>0</v>
      </c>
      <c r="AU102" s="305">
        <v>0</v>
      </c>
      <c r="AV102" s="305">
        <v>0</v>
      </c>
      <c r="AW102" s="305">
        <v>0</v>
      </c>
      <c r="AX102" s="305">
        <v>0</v>
      </c>
      <c r="AY102" s="305">
        <v>0</v>
      </c>
      <c r="AZ102" s="305">
        <v>0</v>
      </c>
      <c r="BA102" s="305">
        <v>0</v>
      </c>
      <c r="BB102" s="305">
        <v>0</v>
      </c>
      <c r="BC102" s="305">
        <v>0</v>
      </c>
      <c r="BD102" s="305">
        <v>0</v>
      </c>
      <c r="BE102" s="305">
        <v>0</v>
      </c>
      <c r="BF102" s="305">
        <v>0</v>
      </c>
      <c r="BG102" s="305">
        <v>0</v>
      </c>
      <c r="BH102" s="305">
        <v>0</v>
      </c>
      <c r="BI102" s="305">
        <v>0</v>
      </c>
      <c r="BJ102" s="305">
        <v>0</v>
      </c>
      <c r="BK102" s="305">
        <v>0</v>
      </c>
      <c r="BL102" s="305">
        <v>0</v>
      </c>
      <c r="BM102" s="305">
        <v>0</v>
      </c>
      <c r="BN102" s="305">
        <v>0</v>
      </c>
      <c r="BO102" s="305">
        <v>0</v>
      </c>
      <c r="BP102" s="305">
        <v>0</v>
      </c>
      <c r="BQ102" s="305">
        <v>0</v>
      </c>
      <c r="BR102" s="305">
        <v>0</v>
      </c>
      <c r="BU102" s="304" t="s">
        <v>752</v>
      </c>
      <c r="BV102" s="302">
        <v>0</v>
      </c>
      <c r="BW102" s="302">
        <v>0</v>
      </c>
      <c r="BX102" s="302">
        <v>0</v>
      </c>
      <c r="BY102" s="302">
        <v>0</v>
      </c>
      <c r="BZ102" s="302">
        <v>0</v>
      </c>
      <c r="CA102" s="302">
        <v>0</v>
      </c>
      <c r="CB102" s="302">
        <v>0</v>
      </c>
      <c r="CC102" s="302">
        <v>0</v>
      </c>
      <c r="CD102" s="302">
        <v>0</v>
      </c>
      <c r="CE102" s="302">
        <v>0</v>
      </c>
      <c r="CF102" s="302">
        <v>0</v>
      </c>
      <c r="CG102" s="302">
        <v>0</v>
      </c>
      <c r="CH102" s="302">
        <v>0</v>
      </c>
      <c r="CI102" s="302">
        <v>0</v>
      </c>
      <c r="CJ102" s="302">
        <v>0</v>
      </c>
      <c r="CK102" s="302">
        <v>0</v>
      </c>
      <c r="CL102" s="302">
        <v>0</v>
      </c>
      <c r="CM102" s="302">
        <v>0</v>
      </c>
      <c r="CN102" s="302">
        <v>0</v>
      </c>
      <c r="CO102" s="302">
        <v>0</v>
      </c>
      <c r="CP102" s="302">
        <v>0</v>
      </c>
      <c r="CQ102" s="302">
        <v>0</v>
      </c>
      <c r="CR102" s="302">
        <v>0</v>
      </c>
      <c r="CS102" s="302">
        <v>0</v>
      </c>
      <c r="CT102" s="302">
        <v>0</v>
      </c>
      <c r="CU102" s="302">
        <v>0</v>
      </c>
      <c r="CV102" s="302">
        <v>0</v>
      </c>
      <c r="CW102" s="302">
        <v>0</v>
      </c>
      <c r="CX102" s="302">
        <v>0</v>
      </c>
      <c r="CY102" s="302">
        <v>0</v>
      </c>
      <c r="CZ102" s="302">
        <v>0</v>
      </c>
      <c r="DA102" s="302">
        <v>0</v>
      </c>
      <c r="DB102" s="302">
        <v>0</v>
      </c>
      <c r="DC102" s="302">
        <v>0</v>
      </c>
      <c r="DD102" s="302">
        <v>0</v>
      </c>
      <c r="DE102" s="302">
        <v>0</v>
      </c>
      <c r="DF102" s="302">
        <v>0</v>
      </c>
      <c r="DG102" s="302">
        <v>0</v>
      </c>
      <c r="DH102" s="302">
        <v>0</v>
      </c>
      <c r="DI102" s="302">
        <v>0</v>
      </c>
    </row>
    <row r="103" spans="30:113">
      <c r="AD103" s="304" t="s">
        <v>753</v>
      </c>
      <c r="AE103" s="305">
        <v>0</v>
      </c>
      <c r="AF103" s="305">
        <v>0</v>
      </c>
      <c r="AG103" s="305">
        <v>0</v>
      </c>
      <c r="AH103" s="305">
        <v>0</v>
      </c>
      <c r="AI103" s="305">
        <v>0</v>
      </c>
      <c r="AJ103" s="305">
        <v>0</v>
      </c>
      <c r="AK103" s="305">
        <v>0</v>
      </c>
      <c r="AL103" s="305">
        <v>0</v>
      </c>
      <c r="AM103" s="305">
        <v>0</v>
      </c>
      <c r="AN103" s="305">
        <v>0</v>
      </c>
      <c r="AO103" s="305">
        <v>0</v>
      </c>
      <c r="AP103" s="305">
        <v>0</v>
      </c>
      <c r="AQ103" s="305">
        <v>0</v>
      </c>
      <c r="AR103" s="305">
        <v>0</v>
      </c>
      <c r="AS103" s="305">
        <v>0</v>
      </c>
      <c r="AT103" s="305">
        <v>0</v>
      </c>
      <c r="AU103" s="305">
        <v>0</v>
      </c>
      <c r="AV103" s="305">
        <v>0</v>
      </c>
      <c r="AW103" s="305">
        <v>0</v>
      </c>
      <c r="AX103" s="305">
        <v>0</v>
      </c>
      <c r="AY103" s="305">
        <v>0</v>
      </c>
      <c r="AZ103" s="305">
        <v>0</v>
      </c>
      <c r="BA103" s="305">
        <v>0</v>
      </c>
      <c r="BB103" s="305">
        <v>0</v>
      </c>
      <c r="BC103" s="305">
        <v>0</v>
      </c>
      <c r="BD103" s="305">
        <v>0</v>
      </c>
      <c r="BE103" s="305">
        <v>0</v>
      </c>
      <c r="BF103" s="305">
        <v>0</v>
      </c>
      <c r="BG103" s="305">
        <v>0</v>
      </c>
      <c r="BH103" s="305">
        <v>0</v>
      </c>
      <c r="BI103" s="305">
        <v>0</v>
      </c>
      <c r="BJ103" s="305">
        <v>0</v>
      </c>
      <c r="BK103" s="305">
        <v>0</v>
      </c>
      <c r="BL103" s="305">
        <v>0</v>
      </c>
      <c r="BM103" s="305">
        <v>0</v>
      </c>
      <c r="BN103" s="305">
        <v>0</v>
      </c>
      <c r="BO103" s="305">
        <v>0</v>
      </c>
      <c r="BP103" s="305">
        <v>0</v>
      </c>
      <c r="BQ103" s="305">
        <v>0</v>
      </c>
      <c r="BR103" s="305">
        <v>0</v>
      </c>
      <c r="BU103" s="304" t="s">
        <v>753</v>
      </c>
      <c r="BV103" s="302">
        <v>0</v>
      </c>
      <c r="BW103" s="302">
        <v>0</v>
      </c>
      <c r="BX103" s="302">
        <v>0</v>
      </c>
      <c r="BY103" s="302">
        <v>0</v>
      </c>
      <c r="BZ103" s="302">
        <v>0</v>
      </c>
      <c r="CA103" s="302">
        <v>0</v>
      </c>
      <c r="CB103" s="302">
        <v>0</v>
      </c>
      <c r="CC103" s="302">
        <v>0</v>
      </c>
      <c r="CD103" s="302">
        <v>0</v>
      </c>
      <c r="CE103" s="302">
        <v>0</v>
      </c>
      <c r="CF103" s="302">
        <v>0</v>
      </c>
      <c r="CG103" s="302">
        <v>0</v>
      </c>
      <c r="CH103" s="302">
        <v>0</v>
      </c>
      <c r="CI103" s="302">
        <v>0</v>
      </c>
      <c r="CJ103" s="302">
        <v>0</v>
      </c>
      <c r="CK103" s="302">
        <v>0</v>
      </c>
      <c r="CL103" s="302">
        <v>0</v>
      </c>
      <c r="CM103" s="302">
        <v>0</v>
      </c>
      <c r="CN103" s="302">
        <v>0</v>
      </c>
      <c r="CO103" s="302">
        <v>0</v>
      </c>
      <c r="CP103" s="302">
        <v>0</v>
      </c>
      <c r="CQ103" s="302">
        <v>0</v>
      </c>
      <c r="CR103" s="302">
        <v>0</v>
      </c>
      <c r="CS103" s="302">
        <v>0</v>
      </c>
      <c r="CT103" s="302">
        <v>0</v>
      </c>
      <c r="CU103" s="302">
        <v>0</v>
      </c>
      <c r="CV103" s="302">
        <v>0</v>
      </c>
      <c r="CW103" s="302">
        <v>0</v>
      </c>
      <c r="CX103" s="302">
        <v>0</v>
      </c>
      <c r="CY103" s="302">
        <v>0</v>
      </c>
      <c r="CZ103" s="302">
        <v>0</v>
      </c>
      <c r="DA103" s="302">
        <v>0</v>
      </c>
      <c r="DB103" s="302">
        <v>0</v>
      </c>
      <c r="DC103" s="302">
        <v>0</v>
      </c>
      <c r="DD103" s="302">
        <v>0</v>
      </c>
      <c r="DE103" s="302">
        <v>0</v>
      </c>
      <c r="DF103" s="302">
        <v>0</v>
      </c>
      <c r="DG103" s="302">
        <v>0</v>
      </c>
      <c r="DH103" s="302">
        <v>0</v>
      </c>
      <c r="DI103" s="302">
        <v>0</v>
      </c>
    </row>
    <row r="104" spans="30:113">
      <c r="AD104" s="304" t="s">
        <v>754</v>
      </c>
      <c r="AE104" s="305">
        <v>0</v>
      </c>
      <c r="AF104" s="305">
        <v>0</v>
      </c>
      <c r="AG104" s="305">
        <v>0</v>
      </c>
      <c r="AH104" s="305">
        <v>0</v>
      </c>
      <c r="AI104" s="305">
        <v>0</v>
      </c>
      <c r="AJ104" s="305">
        <v>0</v>
      </c>
      <c r="AK104" s="305">
        <v>0</v>
      </c>
      <c r="AL104" s="305">
        <v>0</v>
      </c>
      <c r="AM104" s="305">
        <v>0</v>
      </c>
      <c r="AN104" s="305">
        <v>0</v>
      </c>
      <c r="AO104" s="305">
        <v>0</v>
      </c>
      <c r="AP104" s="305">
        <v>0</v>
      </c>
      <c r="AQ104" s="305">
        <v>0</v>
      </c>
      <c r="AR104" s="305">
        <v>0</v>
      </c>
      <c r="AS104" s="305">
        <v>0</v>
      </c>
      <c r="AT104" s="305">
        <v>0</v>
      </c>
      <c r="AU104" s="305">
        <v>0</v>
      </c>
      <c r="AV104" s="305">
        <v>0</v>
      </c>
      <c r="AW104" s="305">
        <v>0</v>
      </c>
      <c r="AX104" s="305">
        <v>0</v>
      </c>
      <c r="AY104" s="305">
        <v>0</v>
      </c>
      <c r="AZ104" s="305">
        <v>0</v>
      </c>
      <c r="BA104" s="305">
        <v>0</v>
      </c>
      <c r="BB104" s="305">
        <v>0</v>
      </c>
      <c r="BC104" s="305">
        <v>0</v>
      </c>
      <c r="BD104" s="305">
        <v>0</v>
      </c>
      <c r="BE104" s="305">
        <v>0</v>
      </c>
      <c r="BF104" s="305">
        <v>0</v>
      </c>
      <c r="BG104" s="305">
        <v>0</v>
      </c>
      <c r="BH104" s="305">
        <v>0</v>
      </c>
      <c r="BI104" s="305">
        <v>0</v>
      </c>
      <c r="BJ104" s="305">
        <v>0</v>
      </c>
      <c r="BK104" s="305">
        <v>0</v>
      </c>
      <c r="BL104" s="305">
        <v>0</v>
      </c>
      <c r="BM104" s="305">
        <v>0</v>
      </c>
      <c r="BN104" s="305">
        <v>0</v>
      </c>
      <c r="BO104" s="305">
        <v>0</v>
      </c>
      <c r="BP104" s="305">
        <v>0</v>
      </c>
      <c r="BQ104" s="305">
        <v>0</v>
      </c>
      <c r="BR104" s="305">
        <v>0</v>
      </c>
      <c r="BU104" s="304" t="s">
        <v>754</v>
      </c>
      <c r="BV104" s="302">
        <v>0</v>
      </c>
      <c r="BW104" s="302">
        <v>0</v>
      </c>
      <c r="BX104" s="302">
        <v>0</v>
      </c>
      <c r="BY104" s="302">
        <v>0</v>
      </c>
      <c r="BZ104" s="302">
        <v>0</v>
      </c>
      <c r="CA104" s="302">
        <v>0</v>
      </c>
      <c r="CB104" s="302">
        <v>0</v>
      </c>
      <c r="CC104" s="302">
        <v>0</v>
      </c>
      <c r="CD104" s="302">
        <v>0</v>
      </c>
      <c r="CE104" s="302">
        <v>0</v>
      </c>
      <c r="CF104" s="302">
        <v>0</v>
      </c>
      <c r="CG104" s="302">
        <v>0</v>
      </c>
      <c r="CH104" s="302">
        <v>0</v>
      </c>
      <c r="CI104" s="302">
        <v>0</v>
      </c>
      <c r="CJ104" s="302">
        <v>0</v>
      </c>
      <c r="CK104" s="302">
        <v>0</v>
      </c>
      <c r="CL104" s="302">
        <v>0</v>
      </c>
      <c r="CM104" s="302">
        <v>0</v>
      </c>
      <c r="CN104" s="302">
        <v>0</v>
      </c>
      <c r="CO104" s="302">
        <v>0</v>
      </c>
      <c r="CP104" s="302">
        <v>0</v>
      </c>
      <c r="CQ104" s="302">
        <v>0</v>
      </c>
      <c r="CR104" s="302">
        <v>0</v>
      </c>
      <c r="CS104" s="302">
        <v>0</v>
      </c>
      <c r="CT104" s="302">
        <v>0</v>
      </c>
      <c r="CU104" s="302">
        <v>0</v>
      </c>
      <c r="CV104" s="302">
        <v>0</v>
      </c>
      <c r="CW104" s="302">
        <v>0</v>
      </c>
      <c r="CX104" s="302">
        <v>0</v>
      </c>
      <c r="CY104" s="302">
        <v>0</v>
      </c>
      <c r="CZ104" s="302">
        <v>0</v>
      </c>
      <c r="DA104" s="302">
        <v>0</v>
      </c>
      <c r="DB104" s="302">
        <v>0</v>
      </c>
      <c r="DC104" s="302">
        <v>0</v>
      </c>
      <c r="DD104" s="302">
        <v>0</v>
      </c>
      <c r="DE104" s="302">
        <v>0</v>
      </c>
      <c r="DF104" s="302">
        <v>0</v>
      </c>
      <c r="DG104" s="302">
        <v>0</v>
      </c>
      <c r="DH104" s="302">
        <v>0</v>
      </c>
      <c r="DI104" s="302">
        <v>0</v>
      </c>
    </row>
    <row r="105" spans="30:113">
      <c r="AD105" s="304" t="s">
        <v>755</v>
      </c>
      <c r="AE105" s="305">
        <v>0</v>
      </c>
      <c r="AF105" s="305">
        <v>0</v>
      </c>
      <c r="AG105" s="305">
        <v>0</v>
      </c>
      <c r="AH105" s="305">
        <v>0</v>
      </c>
      <c r="AI105" s="305">
        <v>0</v>
      </c>
      <c r="AJ105" s="305">
        <v>0</v>
      </c>
      <c r="AK105" s="305">
        <v>0</v>
      </c>
      <c r="AL105" s="305">
        <v>0</v>
      </c>
      <c r="AM105" s="305">
        <v>0</v>
      </c>
      <c r="AN105" s="305">
        <v>0</v>
      </c>
      <c r="AO105" s="305">
        <v>0</v>
      </c>
      <c r="AP105" s="305">
        <v>0</v>
      </c>
      <c r="AQ105" s="305">
        <v>0</v>
      </c>
      <c r="AR105" s="305">
        <v>0</v>
      </c>
      <c r="AS105" s="305">
        <v>0</v>
      </c>
      <c r="AT105" s="305">
        <v>0</v>
      </c>
      <c r="AU105" s="305">
        <v>0</v>
      </c>
      <c r="AV105" s="305">
        <v>0</v>
      </c>
      <c r="AW105" s="305">
        <v>0</v>
      </c>
      <c r="AX105" s="305">
        <v>0</v>
      </c>
      <c r="AY105" s="305">
        <v>0</v>
      </c>
      <c r="AZ105" s="305">
        <v>0</v>
      </c>
      <c r="BA105" s="305">
        <v>0</v>
      </c>
      <c r="BB105" s="305">
        <v>0</v>
      </c>
      <c r="BC105" s="305">
        <v>0</v>
      </c>
      <c r="BD105" s="305">
        <v>0</v>
      </c>
      <c r="BE105" s="305">
        <v>0</v>
      </c>
      <c r="BF105" s="305">
        <v>0</v>
      </c>
      <c r="BG105" s="305">
        <v>0</v>
      </c>
      <c r="BH105" s="305">
        <v>0</v>
      </c>
      <c r="BI105" s="305">
        <v>0</v>
      </c>
      <c r="BJ105" s="305">
        <v>0</v>
      </c>
      <c r="BK105" s="305">
        <v>0</v>
      </c>
      <c r="BL105" s="305">
        <v>0</v>
      </c>
      <c r="BM105" s="305">
        <v>0</v>
      </c>
      <c r="BN105" s="305">
        <v>0</v>
      </c>
      <c r="BO105" s="305">
        <v>0</v>
      </c>
      <c r="BP105" s="305">
        <v>0</v>
      </c>
      <c r="BQ105" s="305">
        <v>0</v>
      </c>
      <c r="BR105" s="305">
        <v>0</v>
      </c>
      <c r="BU105" s="304" t="s">
        <v>755</v>
      </c>
      <c r="BV105" s="302">
        <v>0</v>
      </c>
      <c r="BW105" s="302">
        <v>0</v>
      </c>
      <c r="BX105" s="302">
        <v>0</v>
      </c>
      <c r="BY105" s="302">
        <v>0</v>
      </c>
      <c r="BZ105" s="302">
        <v>0</v>
      </c>
      <c r="CA105" s="302">
        <v>0</v>
      </c>
      <c r="CB105" s="302">
        <v>0</v>
      </c>
      <c r="CC105" s="302">
        <v>0</v>
      </c>
      <c r="CD105" s="302">
        <v>0</v>
      </c>
      <c r="CE105" s="302">
        <v>0</v>
      </c>
      <c r="CF105" s="302">
        <v>0</v>
      </c>
      <c r="CG105" s="302">
        <v>0</v>
      </c>
      <c r="CH105" s="302">
        <v>0</v>
      </c>
      <c r="CI105" s="302">
        <v>0</v>
      </c>
      <c r="CJ105" s="302">
        <v>0</v>
      </c>
      <c r="CK105" s="302">
        <v>0</v>
      </c>
      <c r="CL105" s="302">
        <v>0</v>
      </c>
      <c r="CM105" s="302">
        <v>0</v>
      </c>
      <c r="CN105" s="302">
        <v>0</v>
      </c>
      <c r="CO105" s="302">
        <v>0</v>
      </c>
      <c r="CP105" s="302">
        <v>0</v>
      </c>
      <c r="CQ105" s="302">
        <v>0</v>
      </c>
      <c r="CR105" s="302">
        <v>0</v>
      </c>
      <c r="CS105" s="302">
        <v>0</v>
      </c>
      <c r="CT105" s="302">
        <v>0</v>
      </c>
      <c r="CU105" s="302">
        <v>0</v>
      </c>
      <c r="CV105" s="302">
        <v>0</v>
      </c>
      <c r="CW105" s="302">
        <v>0</v>
      </c>
      <c r="CX105" s="302">
        <v>0</v>
      </c>
      <c r="CY105" s="302">
        <v>0</v>
      </c>
      <c r="CZ105" s="302">
        <v>0</v>
      </c>
      <c r="DA105" s="302">
        <v>0</v>
      </c>
      <c r="DB105" s="302">
        <v>0</v>
      </c>
      <c r="DC105" s="302">
        <v>0</v>
      </c>
      <c r="DD105" s="302">
        <v>0</v>
      </c>
      <c r="DE105" s="302">
        <v>0</v>
      </c>
      <c r="DF105" s="302">
        <v>0</v>
      </c>
      <c r="DG105" s="302">
        <v>0</v>
      </c>
      <c r="DH105" s="302">
        <v>0</v>
      </c>
      <c r="DI105" s="302">
        <v>0</v>
      </c>
    </row>
    <row r="106" spans="30:113">
      <c r="AD106" s="304" t="s">
        <v>756</v>
      </c>
      <c r="AE106" s="305">
        <v>0</v>
      </c>
      <c r="AF106" s="305">
        <v>0</v>
      </c>
      <c r="AG106" s="305">
        <v>0</v>
      </c>
      <c r="AH106" s="305">
        <v>0</v>
      </c>
      <c r="AI106" s="305">
        <v>0</v>
      </c>
      <c r="AJ106" s="305">
        <v>0</v>
      </c>
      <c r="AK106" s="305">
        <v>0</v>
      </c>
      <c r="AL106" s="305">
        <v>0</v>
      </c>
      <c r="AM106" s="305">
        <v>0</v>
      </c>
      <c r="AN106" s="305">
        <v>0</v>
      </c>
      <c r="AO106" s="305">
        <v>0</v>
      </c>
      <c r="AP106" s="305">
        <v>0</v>
      </c>
      <c r="AQ106" s="305">
        <v>0</v>
      </c>
      <c r="AR106" s="305">
        <v>0</v>
      </c>
      <c r="AS106" s="305">
        <v>0</v>
      </c>
      <c r="AT106" s="305">
        <v>0</v>
      </c>
      <c r="AU106" s="305">
        <v>0</v>
      </c>
      <c r="AV106" s="305">
        <v>0</v>
      </c>
      <c r="AW106" s="305">
        <v>0</v>
      </c>
      <c r="AX106" s="305">
        <v>0</v>
      </c>
      <c r="AY106" s="305">
        <v>0</v>
      </c>
      <c r="AZ106" s="305">
        <v>0</v>
      </c>
      <c r="BA106" s="305">
        <v>0</v>
      </c>
      <c r="BB106" s="305">
        <v>0</v>
      </c>
      <c r="BC106" s="305">
        <v>0</v>
      </c>
      <c r="BD106" s="305">
        <v>0</v>
      </c>
      <c r="BE106" s="305">
        <v>0</v>
      </c>
      <c r="BF106" s="305">
        <v>0</v>
      </c>
      <c r="BG106" s="305">
        <v>0</v>
      </c>
      <c r="BH106" s="305">
        <v>0</v>
      </c>
      <c r="BI106" s="305">
        <v>0</v>
      </c>
      <c r="BJ106" s="305">
        <v>0</v>
      </c>
      <c r="BK106" s="305">
        <v>0</v>
      </c>
      <c r="BL106" s="305">
        <v>0</v>
      </c>
      <c r="BM106" s="305">
        <v>0</v>
      </c>
      <c r="BN106" s="305">
        <v>0</v>
      </c>
      <c r="BO106" s="305">
        <v>0</v>
      </c>
      <c r="BP106" s="305">
        <v>0</v>
      </c>
      <c r="BQ106" s="305">
        <v>0</v>
      </c>
      <c r="BR106" s="305">
        <v>0</v>
      </c>
      <c r="BU106" s="304" t="s">
        <v>756</v>
      </c>
      <c r="BV106" s="302">
        <v>0</v>
      </c>
      <c r="BW106" s="302">
        <v>0</v>
      </c>
      <c r="BX106" s="302">
        <v>0</v>
      </c>
      <c r="BY106" s="302">
        <v>0</v>
      </c>
      <c r="BZ106" s="302">
        <v>0</v>
      </c>
      <c r="CA106" s="302">
        <v>0</v>
      </c>
      <c r="CB106" s="302">
        <v>0</v>
      </c>
      <c r="CC106" s="302">
        <v>0</v>
      </c>
      <c r="CD106" s="302">
        <v>0</v>
      </c>
      <c r="CE106" s="302">
        <v>0</v>
      </c>
      <c r="CF106" s="302">
        <v>0</v>
      </c>
      <c r="CG106" s="302">
        <v>0</v>
      </c>
      <c r="CH106" s="302">
        <v>0</v>
      </c>
      <c r="CI106" s="302">
        <v>0</v>
      </c>
      <c r="CJ106" s="302">
        <v>0</v>
      </c>
      <c r="CK106" s="302">
        <v>0</v>
      </c>
      <c r="CL106" s="302">
        <v>0</v>
      </c>
      <c r="CM106" s="302">
        <v>0</v>
      </c>
      <c r="CN106" s="302">
        <v>0</v>
      </c>
      <c r="CO106" s="302">
        <v>0</v>
      </c>
      <c r="CP106" s="302">
        <v>0</v>
      </c>
      <c r="CQ106" s="302">
        <v>0</v>
      </c>
      <c r="CR106" s="302">
        <v>0</v>
      </c>
      <c r="CS106" s="302">
        <v>0</v>
      </c>
      <c r="CT106" s="302">
        <v>0</v>
      </c>
      <c r="CU106" s="302">
        <v>0</v>
      </c>
      <c r="CV106" s="302">
        <v>0</v>
      </c>
      <c r="CW106" s="302">
        <v>0</v>
      </c>
      <c r="CX106" s="302">
        <v>0</v>
      </c>
      <c r="CY106" s="302">
        <v>0</v>
      </c>
      <c r="CZ106" s="302">
        <v>0</v>
      </c>
      <c r="DA106" s="302">
        <v>0</v>
      </c>
      <c r="DB106" s="302">
        <v>0</v>
      </c>
      <c r="DC106" s="302">
        <v>0</v>
      </c>
      <c r="DD106" s="302">
        <v>0</v>
      </c>
      <c r="DE106" s="302">
        <v>0</v>
      </c>
      <c r="DF106" s="302">
        <v>0</v>
      </c>
      <c r="DG106" s="302">
        <v>0</v>
      </c>
      <c r="DH106" s="302">
        <v>0</v>
      </c>
      <c r="DI106" s="302">
        <v>0</v>
      </c>
    </row>
    <row r="107" spans="30:113">
      <c r="AD107" s="304" t="s">
        <v>757</v>
      </c>
      <c r="AE107" s="305">
        <v>0</v>
      </c>
      <c r="AF107" s="305">
        <v>0</v>
      </c>
      <c r="AG107" s="305">
        <v>0</v>
      </c>
      <c r="AH107" s="305">
        <v>0</v>
      </c>
      <c r="AI107" s="305">
        <v>0</v>
      </c>
      <c r="AJ107" s="305">
        <v>0</v>
      </c>
      <c r="AK107" s="305">
        <v>0</v>
      </c>
      <c r="AL107" s="305">
        <v>0</v>
      </c>
      <c r="AM107" s="305">
        <v>0</v>
      </c>
      <c r="AN107" s="305">
        <v>0</v>
      </c>
      <c r="AO107" s="305">
        <v>0</v>
      </c>
      <c r="AP107" s="305">
        <v>0</v>
      </c>
      <c r="AQ107" s="305">
        <v>0</v>
      </c>
      <c r="AR107" s="305">
        <v>0</v>
      </c>
      <c r="AS107" s="305">
        <v>0</v>
      </c>
      <c r="AT107" s="305">
        <v>0</v>
      </c>
      <c r="AU107" s="305">
        <v>0</v>
      </c>
      <c r="AV107" s="305">
        <v>0</v>
      </c>
      <c r="AW107" s="305">
        <v>0</v>
      </c>
      <c r="AX107" s="305">
        <v>0</v>
      </c>
      <c r="AY107" s="305">
        <v>0</v>
      </c>
      <c r="AZ107" s="305">
        <v>0</v>
      </c>
      <c r="BA107" s="305">
        <v>0</v>
      </c>
      <c r="BB107" s="305">
        <v>0</v>
      </c>
      <c r="BC107" s="305">
        <v>0</v>
      </c>
      <c r="BD107" s="305">
        <v>0</v>
      </c>
      <c r="BE107" s="305">
        <v>0</v>
      </c>
      <c r="BF107" s="305">
        <v>0</v>
      </c>
      <c r="BG107" s="305">
        <v>0</v>
      </c>
      <c r="BH107" s="305">
        <v>0</v>
      </c>
      <c r="BI107" s="305">
        <v>0</v>
      </c>
      <c r="BJ107" s="305">
        <v>0</v>
      </c>
      <c r="BK107" s="305">
        <v>0</v>
      </c>
      <c r="BL107" s="305">
        <v>0</v>
      </c>
      <c r="BM107" s="305">
        <v>0</v>
      </c>
      <c r="BN107" s="305">
        <v>0</v>
      </c>
      <c r="BO107" s="305">
        <v>0</v>
      </c>
      <c r="BP107" s="305">
        <v>0</v>
      </c>
      <c r="BQ107" s="305">
        <v>0</v>
      </c>
      <c r="BR107" s="305">
        <v>0</v>
      </c>
      <c r="BU107" s="304" t="s">
        <v>757</v>
      </c>
      <c r="BV107" s="302">
        <v>0</v>
      </c>
      <c r="BW107" s="302">
        <v>0</v>
      </c>
      <c r="BX107" s="302">
        <v>0</v>
      </c>
      <c r="BY107" s="302">
        <v>0</v>
      </c>
      <c r="BZ107" s="302">
        <v>0</v>
      </c>
      <c r="CA107" s="302">
        <v>0</v>
      </c>
      <c r="CB107" s="302">
        <v>0</v>
      </c>
      <c r="CC107" s="302">
        <v>0</v>
      </c>
      <c r="CD107" s="302">
        <v>0</v>
      </c>
      <c r="CE107" s="302">
        <v>0</v>
      </c>
      <c r="CF107" s="302">
        <v>0</v>
      </c>
      <c r="CG107" s="302">
        <v>0</v>
      </c>
      <c r="CH107" s="302">
        <v>0</v>
      </c>
      <c r="CI107" s="302">
        <v>0</v>
      </c>
      <c r="CJ107" s="302">
        <v>0</v>
      </c>
      <c r="CK107" s="302">
        <v>0</v>
      </c>
      <c r="CL107" s="302">
        <v>0</v>
      </c>
      <c r="CM107" s="302">
        <v>0</v>
      </c>
      <c r="CN107" s="302">
        <v>0</v>
      </c>
      <c r="CO107" s="302">
        <v>0</v>
      </c>
      <c r="CP107" s="302">
        <v>0</v>
      </c>
      <c r="CQ107" s="302">
        <v>0</v>
      </c>
      <c r="CR107" s="302">
        <v>0</v>
      </c>
      <c r="CS107" s="302">
        <v>0</v>
      </c>
      <c r="CT107" s="302">
        <v>0</v>
      </c>
      <c r="CU107" s="302">
        <v>0</v>
      </c>
      <c r="CV107" s="302">
        <v>0</v>
      </c>
      <c r="CW107" s="302">
        <v>0</v>
      </c>
      <c r="CX107" s="302">
        <v>0</v>
      </c>
      <c r="CY107" s="302">
        <v>0</v>
      </c>
      <c r="CZ107" s="302">
        <v>0</v>
      </c>
      <c r="DA107" s="302">
        <v>0</v>
      </c>
      <c r="DB107" s="302">
        <v>0</v>
      </c>
      <c r="DC107" s="302">
        <v>0</v>
      </c>
      <c r="DD107" s="302">
        <v>0</v>
      </c>
      <c r="DE107" s="302">
        <v>0</v>
      </c>
      <c r="DF107" s="302">
        <v>0</v>
      </c>
      <c r="DG107" s="302">
        <v>0</v>
      </c>
      <c r="DH107" s="302">
        <v>0</v>
      </c>
      <c r="DI107" s="302">
        <v>0</v>
      </c>
    </row>
    <row r="108" spans="30:113">
      <c r="AD108" s="304" t="s">
        <v>670</v>
      </c>
      <c r="AE108" s="305">
        <v>0</v>
      </c>
      <c r="AF108" s="305">
        <v>0</v>
      </c>
      <c r="AG108" s="305">
        <v>0</v>
      </c>
      <c r="AH108" s="305">
        <v>0</v>
      </c>
      <c r="AI108" s="305">
        <v>0</v>
      </c>
      <c r="AJ108" s="305">
        <v>0</v>
      </c>
      <c r="AK108" s="305">
        <v>0</v>
      </c>
      <c r="AL108" s="305">
        <v>0</v>
      </c>
      <c r="AM108" s="305">
        <v>0</v>
      </c>
      <c r="AN108" s="305">
        <v>0</v>
      </c>
      <c r="AO108" s="305">
        <v>0</v>
      </c>
      <c r="AP108" s="305">
        <v>0</v>
      </c>
      <c r="AQ108" s="305">
        <v>0</v>
      </c>
      <c r="AR108" s="305">
        <v>0</v>
      </c>
      <c r="AS108" s="305">
        <v>0</v>
      </c>
      <c r="AT108" s="305">
        <v>0</v>
      </c>
      <c r="AU108" s="305">
        <v>0</v>
      </c>
      <c r="AV108" s="305">
        <v>0</v>
      </c>
      <c r="AW108" s="305">
        <v>0</v>
      </c>
      <c r="AX108" s="305">
        <v>0</v>
      </c>
      <c r="AY108" s="305">
        <v>0</v>
      </c>
      <c r="AZ108" s="305">
        <v>0</v>
      </c>
      <c r="BA108" s="305">
        <v>0</v>
      </c>
      <c r="BB108" s="305">
        <v>0</v>
      </c>
      <c r="BC108" s="305">
        <v>0</v>
      </c>
      <c r="BD108" s="305">
        <v>0</v>
      </c>
      <c r="BE108" s="305">
        <v>0</v>
      </c>
      <c r="BF108" s="305">
        <v>0</v>
      </c>
      <c r="BG108" s="305">
        <v>0</v>
      </c>
      <c r="BH108" s="305">
        <v>0</v>
      </c>
      <c r="BI108" s="305">
        <v>0</v>
      </c>
      <c r="BJ108" s="305">
        <v>0</v>
      </c>
      <c r="BK108" s="305">
        <v>0</v>
      </c>
      <c r="BL108" s="305">
        <v>0</v>
      </c>
      <c r="BM108" s="305">
        <v>0</v>
      </c>
      <c r="BN108" s="305">
        <v>0</v>
      </c>
      <c r="BO108" s="305">
        <v>0</v>
      </c>
      <c r="BP108" s="305">
        <v>0</v>
      </c>
      <c r="BQ108" s="305">
        <v>0</v>
      </c>
      <c r="BR108" s="305">
        <v>0</v>
      </c>
      <c r="BU108" s="304" t="s">
        <v>670</v>
      </c>
      <c r="BV108" s="302">
        <v>0</v>
      </c>
      <c r="BW108" s="302">
        <v>0</v>
      </c>
      <c r="BX108" s="302">
        <v>0</v>
      </c>
      <c r="BY108" s="302">
        <v>0</v>
      </c>
      <c r="BZ108" s="302">
        <v>0</v>
      </c>
      <c r="CA108" s="302">
        <v>0</v>
      </c>
      <c r="CB108" s="302">
        <v>0</v>
      </c>
      <c r="CC108" s="302">
        <v>0</v>
      </c>
      <c r="CD108" s="302">
        <v>0</v>
      </c>
      <c r="CE108" s="302">
        <v>0</v>
      </c>
      <c r="CF108" s="302">
        <v>0</v>
      </c>
      <c r="CG108" s="302">
        <v>0</v>
      </c>
      <c r="CH108" s="302">
        <v>0</v>
      </c>
      <c r="CI108" s="302">
        <v>0</v>
      </c>
      <c r="CJ108" s="302">
        <v>0</v>
      </c>
      <c r="CK108" s="302">
        <v>0</v>
      </c>
      <c r="CL108" s="302">
        <v>0</v>
      </c>
      <c r="CM108" s="302">
        <v>0</v>
      </c>
      <c r="CN108" s="302">
        <v>0</v>
      </c>
      <c r="CO108" s="302">
        <v>0</v>
      </c>
      <c r="CP108" s="302">
        <v>0</v>
      </c>
      <c r="CQ108" s="302">
        <v>0</v>
      </c>
      <c r="CR108" s="302">
        <v>0</v>
      </c>
      <c r="CS108" s="302">
        <v>0</v>
      </c>
      <c r="CT108" s="302">
        <v>0</v>
      </c>
      <c r="CU108" s="302">
        <v>0</v>
      </c>
      <c r="CV108" s="302">
        <v>0</v>
      </c>
      <c r="CW108" s="302">
        <v>0</v>
      </c>
      <c r="CX108" s="302">
        <v>0</v>
      </c>
      <c r="CY108" s="302">
        <v>0</v>
      </c>
      <c r="CZ108" s="302">
        <v>0</v>
      </c>
      <c r="DA108" s="302">
        <v>0</v>
      </c>
      <c r="DB108" s="302">
        <v>0</v>
      </c>
      <c r="DC108" s="302">
        <v>0</v>
      </c>
      <c r="DD108" s="302">
        <v>0</v>
      </c>
      <c r="DE108" s="302">
        <v>0</v>
      </c>
      <c r="DF108" s="302">
        <v>0</v>
      </c>
      <c r="DG108" s="302">
        <v>0</v>
      </c>
      <c r="DH108" s="302">
        <v>0</v>
      </c>
      <c r="DI108" s="302">
        <v>0</v>
      </c>
    </row>
    <row r="109" spans="30:113">
      <c r="AD109" s="304" t="s">
        <v>671</v>
      </c>
      <c r="AE109" s="305">
        <v>0</v>
      </c>
      <c r="AF109" s="305">
        <v>0</v>
      </c>
      <c r="AG109" s="305">
        <v>10407.5335702297</v>
      </c>
      <c r="AH109" s="305">
        <v>0</v>
      </c>
      <c r="AI109" s="305">
        <v>0</v>
      </c>
      <c r="AJ109" s="305">
        <v>0</v>
      </c>
      <c r="AK109" s="305">
        <v>0</v>
      </c>
      <c r="AL109" s="305">
        <v>0</v>
      </c>
      <c r="AM109" s="305">
        <v>0</v>
      </c>
      <c r="AN109" s="305">
        <v>0</v>
      </c>
      <c r="AO109" s="305">
        <v>0</v>
      </c>
      <c r="AP109" s="305">
        <v>0</v>
      </c>
      <c r="AQ109" s="305">
        <v>0</v>
      </c>
      <c r="AR109" s="305">
        <v>0</v>
      </c>
      <c r="AS109" s="305">
        <v>0</v>
      </c>
      <c r="AT109" s="305">
        <v>0</v>
      </c>
      <c r="AU109" s="305">
        <v>0</v>
      </c>
      <c r="AV109" s="305">
        <v>0</v>
      </c>
      <c r="AW109" s="305">
        <v>0</v>
      </c>
      <c r="AX109" s="305">
        <v>0</v>
      </c>
      <c r="AY109" s="305">
        <v>0</v>
      </c>
      <c r="AZ109" s="305">
        <v>0</v>
      </c>
      <c r="BA109" s="305">
        <v>0</v>
      </c>
      <c r="BB109" s="305">
        <v>0</v>
      </c>
      <c r="BC109" s="305">
        <v>0</v>
      </c>
      <c r="BD109" s="305">
        <v>0</v>
      </c>
      <c r="BE109" s="305">
        <v>0</v>
      </c>
      <c r="BF109" s="305">
        <v>0</v>
      </c>
      <c r="BG109" s="305">
        <v>0</v>
      </c>
      <c r="BH109" s="305">
        <v>0</v>
      </c>
      <c r="BI109" s="305">
        <v>0</v>
      </c>
      <c r="BJ109" s="305">
        <v>0</v>
      </c>
      <c r="BK109" s="305">
        <v>0</v>
      </c>
      <c r="BL109" s="305">
        <v>0</v>
      </c>
      <c r="BM109" s="305">
        <v>0</v>
      </c>
      <c r="BN109" s="305">
        <v>0</v>
      </c>
      <c r="BO109" s="305">
        <v>0</v>
      </c>
      <c r="BP109" s="305">
        <v>0</v>
      </c>
      <c r="BQ109" s="305">
        <v>0</v>
      </c>
      <c r="BR109" s="305">
        <v>0</v>
      </c>
      <c r="BU109" s="304" t="s">
        <v>671</v>
      </c>
      <c r="BV109" s="302">
        <v>0</v>
      </c>
      <c r="BW109" s="302">
        <v>0</v>
      </c>
      <c r="BX109" s="302">
        <v>0</v>
      </c>
      <c r="BY109" s="302">
        <v>0</v>
      </c>
      <c r="BZ109" s="302">
        <v>0</v>
      </c>
      <c r="CA109" s="302">
        <v>0</v>
      </c>
      <c r="CB109" s="302">
        <v>0</v>
      </c>
      <c r="CC109" s="302">
        <v>0</v>
      </c>
      <c r="CD109" s="302">
        <v>0</v>
      </c>
      <c r="CE109" s="302">
        <v>0</v>
      </c>
      <c r="CF109" s="302">
        <v>0</v>
      </c>
      <c r="CG109" s="302">
        <v>0</v>
      </c>
      <c r="CH109" s="302">
        <v>0</v>
      </c>
      <c r="CI109" s="302">
        <v>0</v>
      </c>
      <c r="CJ109" s="302">
        <v>0</v>
      </c>
      <c r="CK109" s="302">
        <v>0</v>
      </c>
      <c r="CL109" s="302">
        <v>0</v>
      </c>
      <c r="CM109" s="302">
        <v>0</v>
      </c>
      <c r="CN109" s="302">
        <v>0</v>
      </c>
      <c r="CO109" s="302">
        <v>0</v>
      </c>
      <c r="CP109" s="302">
        <v>0</v>
      </c>
      <c r="CQ109" s="302">
        <v>0</v>
      </c>
      <c r="CR109" s="302">
        <v>0</v>
      </c>
      <c r="CS109" s="302">
        <v>0</v>
      </c>
      <c r="CT109" s="302">
        <v>0</v>
      </c>
      <c r="CU109" s="302">
        <v>0</v>
      </c>
      <c r="CV109" s="302">
        <v>0</v>
      </c>
      <c r="CW109" s="302">
        <v>0</v>
      </c>
      <c r="CX109" s="302">
        <v>0</v>
      </c>
      <c r="CY109" s="302">
        <v>0</v>
      </c>
      <c r="CZ109" s="302">
        <v>0</v>
      </c>
      <c r="DA109" s="302">
        <v>0</v>
      </c>
      <c r="DB109" s="302">
        <v>0</v>
      </c>
      <c r="DC109" s="302">
        <v>0</v>
      </c>
      <c r="DD109" s="302">
        <v>0</v>
      </c>
      <c r="DE109" s="302">
        <v>0</v>
      </c>
      <c r="DF109" s="302">
        <v>0</v>
      </c>
      <c r="DG109" s="302">
        <v>0</v>
      </c>
      <c r="DH109" s="302">
        <v>0</v>
      </c>
      <c r="DI109" s="302">
        <v>0</v>
      </c>
    </row>
    <row r="110" spans="30:113">
      <c r="AD110" s="304" t="s">
        <v>714</v>
      </c>
      <c r="AE110" s="305">
        <v>0</v>
      </c>
      <c r="AF110" s="305">
        <v>0</v>
      </c>
      <c r="AG110" s="305">
        <v>0</v>
      </c>
      <c r="AH110" s="305">
        <v>0</v>
      </c>
      <c r="AI110" s="305">
        <v>0</v>
      </c>
      <c r="AJ110" s="305">
        <v>0</v>
      </c>
      <c r="AK110" s="305">
        <v>0</v>
      </c>
      <c r="AL110" s="305">
        <v>0</v>
      </c>
      <c r="AM110" s="305">
        <v>0</v>
      </c>
      <c r="AN110" s="305">
        <v>3749358.3680556798</v>
      </c>
      <c r="AO110" s="305">
        <v>0</v>
      </c>
      <c r="AP110" s="305">
        <v>0</v>
      </c>
      <c r="AQ110" s="305">
        <v>0</v>
      </c>
      <c r="AR110" s="305">
        <v>0</v>
      </c>
      <c r="AS110" s="305">
        <v>0</v>
      </c>
      <c r="AT110" s="305">
        <v>0</v>
      </c>
      <c r="AU110" s="305">
        <v>0</v>
      </c>
      <c r="AV110" s="305">
        <v>0</v>
      </c>
      <c r="AW110" s="305">
        <v>0</v>
      </c>
      <c r="AX110" s="305">
        <v>0</v>
      </c>
      <c r="AY110" s="305">
        <v>0</v>
      </c>
      <c r="AZ110" s="305">
        <v>0</v>
      </c>
      <c r="BA110" s="305">
        <v>0</v>
      </c>
      <c r="BB110" s="305">
        <v>0</v>
      </c>
      <c r="BC110" s="305">
        <v>0</v>
      </c>
      <c r="BD110" s="305">
        <v>0</v>
      </c>
      <c r="BE110" s="305">
        <v>0</v>
      </c>
      <c r="BF110" s="305">
        <v>0</v>
      </c>
      <c r="BG110" s="305">
        <v>0</v>
      </c>
      <c r="BH110" s="305">
        <v>0</v>
      </c>
      <c r="BI110" s="305">
        <v>0</v>
      </c>
      <c r="BJ110" s="305">
        <v>0</v>
      </c>
      <c r="BK110" s="305">
        <v>0</v>
      </c>
      <c r="BL110" s="305">
        <v>0</v>
      </c>
      <c r="BM110" s="305">
        <v>0</v>
      </c>
      <c r="BN110" s="305">
        <v>0</v>
      </c>
      <c r="BO110" s="305">
        <v>0</v>
      </c>
      <c r="BP110" s="305">
        <v>0</v>
      </c>
      <c r="BQ110" s="305">
        <v>0</v>
      </c>
      <c r="BR110" s="305">
        <v>0</v>
      </c>
      <c r="BU110" s="304" t="s">
        <v>714</v>
      </c>
      <c r="BV110" s="302">
        <v>0</v>
      </c>
      <c r="BW110" s="302">
        <v>0</v>
      </c>
      <c r="BX110" s="302">
        <v>0</v>
      </c>
      <c r="BY110" s="302">
        <v>0</v>
      </c>
      <c r="BZ110" s="302">
        <v>0</v>
      </c>
      <c r="CA110" s="302">
        <v>0</v>
      </c>
      <c r="CB110" s="302">
        <v>0</v>
      </c>
      <c r="CC110" s="302">
        <v>0</v>
      </c>
      <c r="CD110" s="302">
        <v>0</v>
      </c>
      <c r="CE110" s="302">
        <v>0</v>
      </c>
      <c r="CF110" s="302">
        <v>0</v>
      </c>
      <c r="CG110" s="302">
        <v>0</v>
      </c>
      <c r="CH110" s="302">
        <v>0</v>
      </c>
      <c r="CI110" s="302">
        <v>0</v>
      </c>
      <c r="CJ110" s="302">
        <v>0</v>
      </c>
      <c r="CK110" s="302">
        <v>0</v>
      </c>
      <c r="CL110" s="302">
        <v>0</v>
      </c>
      <c r="CM110" s="302">
        <v>0</v>
      </c>
      <c r="CN110" s="302">
        <v>0</v>
      </c>
      <c r="CO110" s="302">
        <v>0</v>
      </c>
      <c r="CP110" s="302">
        <v>0</v>
      </c>
      <c r="CQ110" s="302">
        <v>0</v>
      </c>
      <c r="CR110" s="302">
        <v>0</v>
      </c>
      <c r="CS110" s="302">
        <v>0</v>
      </c>
      <c r="CT110" s="302">
        <v>0</v>
      </c>
      <c r="CU110" s="302">
        <v>0</v>
      </c>
      <c r="CV110" s="302">
        <v>0</v>
      </c>
      <c r="CW110" s="302">
        <v>0</v>
      </c>
      <c r="CX110" s="302">
        <v>0</v>
      </c>
      <c r="CY110" s="302">
        <v>0</v>
      </c>
      <c r="CZ110" s="302">
        <v>0</v>
      </c>
      <c r="DA110" s="302">
        <v>0</v>
      </c>
      <c r="DB110" s="302">
        <v>0</v>
      </c>
      <c r="DC110" s="302">
        <v>0</v>
      </c>
      <c r="DD110" s="302">
        <v>0</v>
      </c>
      <c r="DE110" s="302">
        <v>0</v>
      </c>
      <c r="DF110" s="302">
        <v>0</v>
      </c>
      <c r="DG110" s="302">
        <v>0</v>
      </c>
      <c r="DH110" s="302">
        <v>0</v>
      </c>
      <c r="DI110" s="302">
        <v>0</v>
      </c>
    </row>
    <row r="111" spans="30:113">
      <c r="AD111" s="304" t="s">
        <v>758</v>
      </c>
      <c r="AE111" s="305">
        <v>0</v>
      </c>
      <c r="AF111" s="305">
        <v>0</v>
      </c>
      <c r="AG111" s="305">
        <v>0</v>
      </c>
      <c r="AH111" s="305">
        <v>0</v>
      </c>
      <c r="AI111" s="305">
        <v>0</v>
      </c>
      <c r="AJ111" s="305">
        <v>0</v>
      </c>
      <c r="AK111" s="305">
        <v>0</v>
      </c>
      <c r="AL111" s="305">
        <v>0</v>
      </c>
      <c r="AM111" s="305">
        <v>0</v>
      </c>
      <c r="AN111" s="305">
        <v>0</v>
      </c>
      <c r="AO111" s="305">
        <v>0</v>
      </c>
      <c r="AP111" s="305">
        <v>0</v>
      </c>
      <c r="AQ111" s="305">
        <v>0</v>
      </c>
      <c r="AR111" s="305">
        <v>0</v>
      </c>
      <c r="AS111" s="305">
        <v>0</v>
      </c>
      <c r="AT111" s="305">
        <v>0</v>
      </c>
      <c r="AU111" s="305">
        <v>0</v>
      </c>
      <c r="AV111" s="305">
        <v>0</v>
      </c>
      <c r="AW111" s="305">
        <v>0</v>
      </c>
      <c r="AX111" s="305">
        <v>0</v>
      </c>
      <c r="AY111" s="305">
        <v>0</v>
      </c>
      <c r="AZ111" s="305">
        <v>0</v>
      </c>
      <c r="BA111" s="305">
        <v>0</v>
      </c>
      <c r="BB111" s="305">
        <v>0</v>
      </c>
      <c r="BC111" s="305">
        <v>0</v>
      </c>
      <c r="BD111" s="305">
        <v>0</v>
      </c>
      <c r="BE111" s="305">
        <v>0</v>
      </c>
      <c r="BF111" s="305">
        <v>0</v>
      </c>
      <c r="BG111" s="305">
        <v>0</v>
      </c>
      <c r="BH111" s="305">
        <v>0</v>
      </c>
      <c r="BI111" s="305">
        <v>0</v>
      </c>
      <c r="BJ111" s="305">
        <v>0</v>
      </c>
      <c r="BK111" s="305">
        <v>0</v>
      </c>
      <c r="BL111" s="305">
        <v>0</v>
      </c>
      <c r="BM111" s="305">
        <v>0</v>
      </c>
      <c r="BN111" s="305">
        <v>0</v>
      </c>
      <c r="BO111" s="305">
        <v>0</v>
      </c>
      <c r="BP111" s="305">
        <v>0</v>
      </c>
      <c r="BQ111" s="305">
        <v>0</v>
      </c>
      <c r="BR111" s="305">
        <v>0</v>
      </c>
      <c r="BU111" s="304" t="s">
        <v>758</v>
      </c>
      <c r="BV111" s="302">
        <v>0</v>
      </c>
      <c r="BW111" s="302">
        <v>0</v>
      </c>
      <c r="BX111" s="302">
        <v>0</v>
      </c>
      <c r="BY111" s="302">
        <v>0</v>
      </c>
      <c r="BZ111" s="302">
        <v>0</v>
      </c>
      <c r="CA111" s="302">
        <v>0</v>
      </c>
      <c r="CB111" s="302">
        <v>0</v>
      </c>
      <c r="CC111" s="302">
        <v>0</v>
      </c>
      <c r="CD111" s="302">
        <v>0</v>
      </c>
      <c r="CE111" s="302">
        <v>0</v>
      </c>
      <c r="CF111" s="302">
        <v>0</v>
      </c>
      <c r="CG111" s="302">
        <v>0</v>
      </c>
      <c r="CH111" s="302">
        <v>0</v>
      </c>
      <c r="CI111" s="302">
        <v>0</v>
      </c>
      <c r="CJ111" s="302">
        <v>0</v>
      </c>
      <c r="CK111" s="302">
        <v>0</v>
      </c>
      <c r="CL111" s="302">
        <v>0</v>
      </c>
      <c r="CM111" s="302">
        <v>0</v>
      </c>
      <c r="CN111" s="302">
        <v>0</v>
      </c>
      <c r="CO111" s="302">
        <v>0</v>
      </c>
      <c r="CP111" s="302">
        <v>0</v>
      </c>
      <c r="CQ111" s="302">
        <v>0</v>
      </c>
      <c r="CR111" s="302">
        <v>0</v>
      </c>
      <c r="CS111" s="302">
        <v>0</v>
      </c>
      <c r="CT111" s="302">
        <v>0</v>
      </c>
      <c r="CU111" s="302">
        <v>0</v>
      </c>
      <c r="CV111" s="302">
        <v>0</v>
      </c>
      <c r="CW111" s="302">
        <v>0</v>
      </c>
      <c r="CX111" s="302">
        <v>0</v>
      </c>
      <c r="CY111" s="302">
        <v>0</v>
      </c>
      <c r="CZ111" s="302">
        <v>0</v>
      </c>
      <c r="DA111" s="302">
        <v>0</v>
      </c>
      <c r="DB111" s="302">
        <v>0</v>
      </c>
      <c r="DC111" s="302">
        <v>0</v>
      </c>
      <c r="DD111" s="302">
        <v>0</v>
      </c>
      <c r="DE111" s="302">
        <v>0</v>
      </c>
      <c r="DF111" s="302">
        <v>0</v>
      </c>
      <c r="DG111" s="302">
        <v>0</v>
      </c>
      <c r="DH111" s="302">
        <v>0</v>
      </c>
      <c r="DI111" s="302">
        <v>0</v>
      </c>
    </row>
    <row r="112" spans="30:113">
      <c r="AD112" s="304" t="s">
        <v>715</v>
      </c>
      <c r="AE112" s="305">
        <v>0</v>
      </c>
      <c r="AF112" s="305">
        <v>0</v>
      </c>
      <c r="AG112" s="305">
        <v>0</v>
      </c>
      <c r="AH112" s="305">
        <v>0</v>
      </c>
      <c r="AI112" s="305">
        <v>0</v>
      </c>
      <c r="AJ112" s="305">
        <v>0</v>
      </c>
      <c r="AK112" s="305">
        <v>0</v>
      </c>
      <c r="AL112" s="305">
        <v>0</v>
      </c>
      <c r="AM112" s="305">
        <v>0</v>
      </c>
      <c r="AN112" s="305">
        <v>0</v>
      </c>
      <c r="AO112" s="305">
        <v>0</v>
      </c>
      <c r="AP112" s="305">
        <v>0</v>
      </c>
      <c r="AQ112" s="305">
        <v>668.84165319492104</v>
      </c>
      <c r="AR112" s="305">
        <v>0</v>
      </c>
      <c r="AS112" s="305">
        <v>0</v>
      </c>
      <c r="AT112" s="305">
        <v>0</v>
      </c>
      <c r="AU112" s="305">
        <v>0</v>
      </c>
      <c r="AV112" s="305">
        <v>0</v>
      </c>
      <c r="AW112" s="305">
        <v>0</v>
      </c>
      <c r="AX112" s="305">
        <v>0</v>
      </c>
      <c r="AY112" s="305">
        <v>0</v>
      </c>
      <c r="AZ112" s="305">
        <v>0</v>
      </c>
      <c r="BA112" s="305">
        <v>0</v>
      </c>
      <c r="BB112" s="305">
        <v>0</v>
      </c>
      <c r="BC112" s="305">
        <v>0</v>
      </c>
      <c r="BD112" s="305">
        <v>0</v>
      </c>
      <c r="BE112" s="305">
        <v>0</v>
      </c>
      <c r="BF112" s="305">
        <v>0</v>
      </c>
      <c r="BG112" s="305">
        <v>0</v>
      </c>
      <c r="BH112" s="305">
        <v>0</v>
      </c>
      <c r="BI112" s="305">
        <v>0</v>
      </c>
      <c r="BJ112" s="305">
        <v>0</v>
      </c>
      <c r="BK112" s="305">
        <v>0</v>
      </c>
      <c r="BL112" s="305">
        <v>0</v>
      </c>
      <c r="BM112" s="305">
        <v>0</v>
      </c>
      <c r="BN112" s="305">
        <v>0</v>
      </c>
      <c r="BO112" s="305">
        <v>0</v>
      </c>
      <c r="BP112" s="305">
        <v>0</v>
      </c>
      <c r="BQ112" s="305">
        <v>0</v>
      </c>
      <c r="BR112" s="305">
        <v>0</v>
      </c>
      <c r="BU112" s="304" t="s">
        <v>715</v>
      </c>
      <c r="BV112" s="302">
        <v>0</v>
      </c>
      <c r="BW112" s="302">
        <v>0</v>
      </c>
      <c r="BX112" s="302">
        <v>0</v>
      </c>
      <c r="BY112" s="302">
        <v>0</v>
      </c>
      <c r="BZ112" s="302">
        <v>0</v>
      </c>
      <c r="CA112" s="302">
        <v>0</v>
      </c>
      <c r="CB112" s="302">
        <v>0</v>
      </c>
      <c r="CC112" s="302">
        <v>0</v>
      </c>
      <c r="CD112" s="302">
        <v>0</v>
      </c>
      <c r="CE112" s="302">
        <v>0</v>
      </c>
      <c r="CF112" s="302">
        <v>0</v>
      </c>
      <c r="CG112" s="302">
        <v>0</v>
      </c>
      <c r="CH112" s="302">
        <v>0</v>
      </c>
      <c r="CI112" s="302">
        <v>0</v>
      </c>
      <c r="CJ112" s="302">
        <v>0</v>
      </c>
      <c r="CK112" s="302">
        <v>0</v>
      </c>
      <c r="CL112" s="302">
        <v>0</v>
      </c>
      <c r="CM112" s="302">
        <v>0</v>
      </c>
      <c r="CN112" s="302">
        <v>0</v>
      </c>
      <c r="CO112" s="302">
        <v>0</v>
      </c>
      <c r="CP112" s="302">
        <v>0</v>
      </c>
      <c r="CQ112" s="302">
        <v>0</v>
      </c>
      <c r="CR112" s="302">
        <v>0</v>
      </c>
      <c r="CS112" s="302">
        <v>0</v>
      </c>
      <c r="CT112" s="302">
        <v>0</v>
      </c>
      <c r="CU112" s="302">
        <v>0</v>
      </c>
      <c r="CV112" s="302">
        <v>0</v>
      </c>
      <c r="CW112" s="302">
        <v>0</v>
      </c>
      <c r="CX112" s="302">
        <v>0</v>
      </c>
      <c r="CY112" s="302">
        <v>0</v>
      </c>
      <c r="CZ112" s="302">
        <v>0</v>
      </c>
      <c r="DA112" s="302">
        <v>0</v>
      </c>
      <c r="DB112" s="302">
        <v>0</v>
      </c>
      <c r="DC112" s="302">
        <v>0</v>
      </c>
      <c r="DD112" s="302">
        <v>0</v>
      </c>
      <c r="DE112" s="302">
        <v>0</v>
      </c>
      <c r="DF112" s="302">
        <v>0</v>
      </c>
      <c r="DG112" s="302">
        <v>0</v>
      </c>
      <c r="DH112" s="302">
        <v>0</v>
      </c>
      <c r="DI112" s="302">
        <v>0</v>
      </c>
    </row>
    <row r="113" spans="30:113">
      <c r="AD113" s="304" t="s">
        <v>716</v>
      </c>
      <c r="AE113" s="305">
        <v>0</v>
      </c>
      <c r="AF113" s="305">
        <v>0</v>
      </c>
      <c r="AG113" s="305">
        <v>0</v>
      </c>
      <c r="AH113" s="305">
        <v>0</v>
      </c>
      <c r="AI113" s="305">
        <v>0</v>
      </c>
      <c r="AJ113" s="305">
        <v>0</v>
      </c>
      <c r="AK113" s="305">
        <v>0</v>
      </c>
      <c r="AL113" s="305">
        <v>0</v>
      </c>
      <c r="AM113" s="305">
        <v>0</v>
      </c>
      <c r="AN113" s="305">
        <v>0</v>
      </c>
      <c r="AO113" s="305">
        <v>0</v>
      </c>
      <c r="AP113" s="305">
        <v>668.84165319492104</v>
      </c>
      <c r="AQ113" s="305">
        <v>0</v>
      </c>
      <c r="AR113" s="305">
        <v>0</v>
      </c>
      <c r="AS113" s="305">
        <v>0</v>
      </c>
      <c r="AT113" s="305">
        <v>0</v>
      </c>
      <c r="AU113" s="305">
        <v>0</v>
      </c>
      <c r="AV113" s="305">
        <v>0</v>
      </c>
      <c r="AW113" s="305">
        <v>0</v>
      </c>
      <c r="AX113" s="305">
        <v>0</v>
      </c>
      <c r="AY113" s="305">
        <v>0</v>
      </c>
      <c r="AZ113" s="305">
        <v>0</v>
      </c>
      <c r="BA113" s="305">
        <v>0</v>
      </c>
      <c r="BB113" s="305">
        <v>0</v>
      </c>
      <c r="BC113" s="305">
        <v>0</v>
      </c>
      <c r="BD113" s="305">
        <v>0</v>
      </c>
      <c r="BE113" s="305">
        <v>0</v>
      </c>
      <c r="BF113" s="305">
        <v>0</v>
      </c>
      <c r="BG113" s="305">
        <v>0</v>
      </c>
      <c r="BH113" s="305">
        <v>0</v>
      </c>
      <c r="BI113" s="305">
        <v>0</v>
      </c>
      <c r="BJ113" s="305">
        <v>0</v>
      </c>
      <c r="BK113" s="305">
        <v>0</v>
      </c>
      <c r="BL113" s="305">
        <v>0</v>
      </c>
      <c r="BM113" s="305">
        <v>0</v>
      </c>
      <c r="BN113" s="305">
        <v>0</v>
      </c>
      <c r="BO113" s="305">
        <v>0</v>
      </c>
      <c r="BP113" s="305">
        <v>0</v>
      </c>
      <c r="BQ113" s="305">
        <v>0</v>
      </c>
      <c r="BR113" s="305">
        <v>0</v>
      </c>
      <c r="BU113" s="304" t="s">
        <v>716</v>
      </c>
      <c r="BV113" s="302">
        <v>0</v>
      </c>
      <c r="BW113" s="302">
        <v>0</v>
      </c>
      <c r="BX113" s="302">
        <v>0</v>
      </c>
      <c r="BY113" s="302">
        <v>0</v>
      </c>
      <c r="BZ113" s="302">
        <v>0</v>
      </c>
      <c r="CA113" s="302">
        <v>0</v>
      </c>
      <c r="CB113" s="302">
        <v>0</v>
      </c>
      <c r="CC113" s="302">
        <v>0</v>
      </c>
      <c r="CD113" s="302">
        <v>0</v>
      </c>
      <c r="CE113" s="302">
        <v>0</v>
      </c>
      <c r="CF113" s="302">
        <v>0</v>
      </c>
      <c r="CG113" s="302">
        <v>0</v>
      </c>
      <c r="CH113" s="302">
        <v>0</v>
      </c>
      <c r="CI113" s="302">
        <v>0</v>
      </c>
      <c r="CJ113" s="302">
        <v>0</v>
      </c>
      <c r="CK113" s="302">
        <v>0</v>
      </c>
      <c r="CL113" s="302">
        <v>0</v>
      </c>
      <c r="CM113" s="302">
        <v>0</v>
      </c>
      <c r="CN113" s="302">
        <v>0</v>
      </c>
      <c r="CO113" s="302">
        <v>0</v>
      </c>
      <c r="CP113" s="302">
        <v>0</v>
      </c>
      <c r="CQ113" s="302">
        <v>0</v>
      </c>
      <c r="CR113" s="302">
        <v>0</v>
      </c>
      <c r="CS113" s="302">
        <v>0</v>
      </c>
      <c r="CT113" s="302">
        <v>0</v>
      </c>
      <c r="CU113" s="302">
        <v>0</v>
      </c>
      <c r="CV113" s="302">
        <v>0</v>
      </c>
      <c r="CW113" s="302">
        <v>0</v>
      </c>
      <c r="CX113" s="302">
        <v>0</v>
      </c>
      <c r="CY113" s="302">
        <v>0</v>
      </c>
      <c r="CZ113" s="302">
        <v>0</v>
      </c>
      <c r="DA113" s="302">
        <v>0</v>
      </c>
      <c r="DB113" s="302">
        <v>0</v>
      </c>
      <c r="DC113" s="302">
        <v>0</v>
      </c>
      <c r="DD113" s="302">
        <v>0</v>
      </c>
      <c r="DE113" s="302">
        <v>0</v>
      </c>
      <c r="DF113" s="302">
        <v>0</v>
      </c>
      <c r="DG113" s="302">
        <v>0</v>
      </c>
      <c r="DH113" s="302">
        <v>0</v>
      </c>
      <c r="DI113" s="302">
        <v>0</v>
      </c>
    </row>
    <row r="114" spans="30:113">
      <c r="AD114" s="304" t="s">
        <v>717</v>
      </c>
      <c r="AE114" s="305">
        <v>0</v>
      </c>
      <c r="AF114" s="305">
        <v>0</v>
      </c>
      <c r="AG114" s="305">
        <v>0</v>
      </c>
      <c r="AH114" s="305">
        <v>0</v>
      </c>
      <c r="AI114" s="305">
        <v>0</v>
      </c>
      <c r="AJ114" s="305">
        <v>0</v>
      </c>
      <c r="AK114" s="305">
        <v>0</v>
      </c>
      <c r="AL114" s="305">
        <v>0</v>
      </c>
      <c r="AM114" s="305">
        <v>0</v>
      </c>
      <c r="AN114" s="305">
        <v>0</v>
      </c>
      <c r="AO114" s="305">
        <v>184686.52821315001</v>
      </c>
      <c r="AP114" s="305">
        <v>0</v>
      </c>
      <c r="AQ114" s="305">
        <v>0</v>
      </c>
      <c r="AR114" s="305">
        <v>0</v>
      </c>
      <c r="AS114" s="305">
        <v>0</v>
      </c>
      <c r="AT114" s="305">
        <v>0</v>
      </c>
      <c r="AU114" s="305">
        <v>0</v>
      </c>
      <c r="AV114" s="305">
        <v>0</v>
      </c>
      <c r="AW114" s="305">
        <v>0</v>
      </c>
      <c r="AX114" s="305">
        <v>0</v>
      </c>
      <c r="AY114" s="305">
        <v>0</v>
      </c>
      <c r="AZ114" s="305">
        <v>0</v>
      </c>
      <c r="BA114" s="305">
        <v>0</v>
      </c>
      <c r="BB114" s="305">
        <v>0</v>
      </c>
      <c r="BC114" s="305">
        <v>0</v>
      </c>
      <c r="BD114" s="305">
        <v>0</v>
      </c>
      <c r="BE114" s="305">
        <v>0</v>
      </c>
      <c r="BF114" s="305">
        <v>0</v>
      </c>
      <c r="BG114" s="305">
        <v>0</v>
      </c>
      <c r="BH114" s="305">
        <v>0</v>
      </c>
      <c r="BI114" s="305">
        <v>0</v>
      </c>
      <c r="BJ114" s="305">
        <v>0</v>
      </c>
      <c r="BK114" s="305">
        <v>0</v>
      </c>
      <c r="BL114" s="305">
        <v>0</v>
      </c>
      <c r="BM114" s="305">
        <v>0</v>
      </c>
      <c r="BN114" s="305">
        <v>0</v>
      </c>
      <c r="BO114" s="305">
        <v>0</v>
      </c>
      <c r="BP114" s="305">
        <v>0</v>
      </c>
      <c r="BQ114" s="305">
        <v>0</v>
      </c>
      <c r="BR114" s="305">
        <v>0</v>
      </c>
      <c r="BU114" s="304" t="s">
        <v>717</v>
      </c>
      <c r="BV114" s="302">
        <v>0</v>
      </c>
      <c r="BW114" s="302">
        <v>0</v>
      </c>
      <c r="BX114" s="302">
        <v>0</v>
      </c>
      <c r="BY114" s="302">
        <v>0</v>
      </c>
      <c r="BZ114" s="302">
        <v>0</v>
      </c>
      <c r="CA114" s="302">
        <v>0</v>
      </c>
      <c r="CB114" s="302">
        <v>0</v>
      </c>
      <c r="CC114" s="302">
        <v>0</v>
      </c>
      <c r="CD114" s="302">
        <v>0</v>
      </c>
      <c r="CE114" s="302">
        <v>0</v>
      </c>
      <c r="CF114" s="302">
        <v>0</v>
      </c>
      <c r="CG114" s="302">
        <v>0</v>
      </c>
      <c r="CH114" s="302">
        <v>0</v>
      </c>
      <c r="CI114" s="302">
        <v>0</v>
      </c>
      <c r="CJ114" s="302">
        <v>0</v>
      </c>
      <c r="CK114" s="302">
        <v>0</v>
      </c>
      <c r="CL114" s="302">
        <v>0</v>
      </c>
      <c r="CM114" s="302">
        <v>0</v>
      </c>
      <c r="CN114" s="302">
        <v>0</v>
      </c>
      <c r="CO114" s="302">
        <v>0</v>
      </c>
      <c r="CP114" s="302">
        <v>0</v>
      </c>
      <c r="CQ114" s="302">
        <v>0</v>
      </c>
      <c r="CR114" s="302">
        <v>0</v>
      </c>
      <c r="CS114" s="302">
        <v>0</v>
      </c>
      <c r="CT114" s="302">
        <v>0</v>
      </c>
      <c r="CU114" s="302">
        <v>0</v>
      </c>
      <c r="CV114" s="302">
        <v>0</v>
      </c>
      <c r="CW114" s="302">
        <v>0</v>
      </c>
      <c r="CX114" s="302">
        <v>0</v>
      </c>
      <c r="CY114" s="302">
        <v>0</v>
      </c>
      <c r="CZ114" s="302">
        <v>0</v>
      </c>
      <c r="DA114" s="302">
        <v>0</v>
      </c>
      <c r="DB114" s="302">
        <v>0</v>
      </c>
      <c r="DC114" s="302">
        <v>0</v>
      </c>
      <c r="DD114" s="302">
        <v>0</v>
      </c>
      <c r="DE114" s="302">
        <v>0</v>
      </c>
      <c r="DF114" s="302">
        <v>0</v>
      </c>
      <c r="DG114" s="302">
        <v>0</v>
      </c>
      <c r="DH114" s="302">
        <v>0</v>
      </c>
      <c r="DI114" s="302">
        <v>0</v>
      </c>
    </row>
    <row r="115" spans="30:113">
      <c r="AD115" s="304" t="s">
        <v>718</v>
      </c>
      <c r="AE115" s="305">
        <v>0</v>
      </c>
      <c r="AF115" s="305">
        <v>0</v>
      </c>
      <c r="AG115" s="305">
        <v>0</v>
      </c>
      <c r="AH115" s="305">
        <v>0</v>
      </c>
      <c r="AI115" s="305">
        <v>0</v>
      </c>
      <c r="AJ115" s="305">
        <v>184686.52821315001</v>
      </c>
      <c r="AK115" s="305">
        <v>0</v>
      </c>
      <c r="AL115" s="305">
        <v>0</v>
      </c>
      <c r="AM115" s="305">
        <v>0</v>
      </c>
      <c r="AN115" s="305">
        <v>0</v>
      </c>
      <c r="AO115" s="305">
        <v>0</v>
      </c>
      <c r="AP115" s="305">
        <v>0</v>
      </c>
      <c r="AQ115" s="305">
        <v>0</v>
      </c>
      <c r="AR115" s="305">
        <v>0</v>
      </c>
      <c r="AS115" s="305">
        <v>0</v>
      </c>
      <c r="AT115" s="305">
        <v>0</v>
      </c>
      <c r="AU115" s="305">
        <v>0</v>
      </c>
      <c r="AV115" s="305">
        <v>0</v>
      </c>
      <c r="AW115" s="305">
        <v>0</v>
      </c>
      <c r="AX115" s="305">
        <v>0</v>
      </c>
      <c r="AY115" s="305">
        <v>0</v>
      </c>
      <c r="AZ115" s="305">
        <v>0</v>
      </c>
      <c r="BA115" s="305">
        <v>0</v>
      </c>
      <c r="BB115" s="305">
        <v>0</v>
      </c>
      <c r="BC115" s="305">
        <v>0</v>
      </c>
      <c r="BD115" s="305">
        <v>0</v>
      </c>
      <c r="BE115" s="305">
        <v>0</v>
      </c>
      <c r="BF115" s="305">
        <v>0</v>
      </c>
      <c r="BG115" s="305">
        <v>0</v>
      </c>
      <c r="BH115" s="305">
        <v>0</v>
      </c>
      <c r="BI115" s="305">
        <v>0</v>
      </c>
      <c r="BJ115" s="305">
        <v>0</v>
      </c>
      <c r="BK115" s="305">
        <v>0</v>
      </c>
      <c r="BL115" s="305">
        <v>0</v>
      </c>
      <c r="BM115" s="305">
        <v>0</v>
      </c>
      <c r="BN115" s="305">
        <v>0</v>
      </c>
      <c r="BO115" s="305">
        <v>0</v>
      </c>
      <c r="BP115" s="305">
        <v>0</v>
      </c>
      <c r="BQ115" s="305">
        <v>0</v>
      </c>
      <c r="BR115" s="305">
        <v>0</v>
      </c>
      <c r="BU115" s="304" t="s">
        <v>718</v>
      </c>
      <c r="BV115" s="302">
        <v>0</v>
      </c>
      <c r="BW115" s="302">
        <v>0</v>
      </c>
      <c r="BX115" s="302">
        <v>0</v>
      </c>
      <c r="BY115" s="302">
        <v>0</v>
      </c>
      <c r="BZ115" s="302">
        <v>0</v>
      </c>
      <c r="CA115" s="302">
        <v>0</v>
      </c>
      <c r="CB115" s="302">
        <v>0</v>
      </c>
      <c r="CC115" s="302">
        <v>0</v>
      </c>
      <c r="CD115" s="302">
        <v>0</v>
      </c>
      <c r="CE115" s="302">
        <v>0</v>
      </c>
      <c r="CF115" s="302">
        <v>0</v>
      </c>
      <c r="CG115" s="302">
        <v>0</v>
      </c>
      <c r="CH115" s="302">
        <v>0</v>
      </c>
      <c r="CI115" s="302">
        <v>0</v>
      </c>
      <c r="CJ115" s="302">
        <v>0</v>
      </c>
      <c r="CK115" s="302">
        <v>0</v>
      </c>
      <c r="CL115" s="302">
        <v>0</v>
      </c>
      <c r="CM115" s="302">
        <v>0</v>
      </c>
      <c r="CN115" s="302">
        <v>0</v>
      </c>
      <c r="CO115" s="302">
        <v>0</v>
      </c>
      <c r="CP115" s="302">
        <v>0</v>
      </c>
      <c r="CQ115" s="302">
        <v>0</v>
      </c>
      <c r="CR115" s="302">
        <v>0</v>
      </c>
      <c r="CS115" s="302">
        <v>0</v>
      </c>
      <c r="CT115" s="302">
        <v>0</v>
      </c>
      <c r="CU115" s="302">
        <v>0</v>
      </c>
      <c r="CV115" s="302">
        <v>0</v>
      </c>
      <c r="CW115" s="302">
        <v>0</v>
      </c>
      <c r="CX115" s="302">
        <v>0</v>
      </c>
      <c r="CY115" s="302">
        <v>0</v>
      </c>
      <c r="CZ115" s="302">
        <v>0</v>
      </c>
      <c r="DA115" s="302">
        <v>0</v>
      </c>
      <c r="DB115" s="302">
        <v>0</v>
      </c>
      <c r="DC115" s="302">
        <v>0</v>
      </c>
      <c r="DD115" s="302">
        <v>0</v>
      </c>
      <c r="DE115" s="302">
        <v>0</v>
      </c>
      <c r="DF115" s="302">
        <v>0</v>
      </c>
      <c r="DG115" s="302">
        <v>0</v>
      </c>
      <c r="DH115" s="302">
        <v>0</v>
      </c>
      <c r="DI115" s="302">
        <v>0</v>
      </c>
    </row>
    <row r="116" spans="30:113">
      <c r="AD116" s="304" t="s">
        <v>759</v>
      </c>
      <c r="AE116" s="305">
        <v>0</v>
      </c>
      <c r="AF116" s="305">
        <v>0</v>
      </c>
      <c r="AG116" s="305">
        <v>0</v>
      </c>
      <c r="AH116" s="305">
        <v>0</v>
      </c>
      <c r="AI116" s="305">
        <v>0</v>
      </c>
      <c r="AJ116" s="305">
        <v>0</v>
      </c>
      <c r="AK116" s="305">
        <v>0</v>
      </c>
      <c r="AL116" s="305">
        <v>0</v>
      </c>
      <c r="AM116" s="305">
        <v>0</v>
      </c>
      <c r="AN116" s="305">
        <v>0</v>
      </c>
      <c r="AO116" s="305">
        <v>0</v>
      </c>
      <c r="AP116" s="305">
        <v>0</v>
      </c>
      <c r="AQ116" s="305">
        <v>0</v>
      </c>
      <c r="AR116" s="305">
        <v>0</v>
      </c>
      <c r="AS116" s="305">
        <v>0</v>
      </c>
      <c r="AT116" s="305">
        <v>0</v>
      </c>
      <c r="AU116" s="305">
        <v>0</v>
      </c>
      <c r="AV116" s="305">
        <v>0</v>
      </c>
      <c r="AW116" s="305">
        <v>0</v>
      </c>
      <c r="AX116" s="305">
        <v>0</v>
      </c>
      <c r="AY116" s="305">
        <v>0</v>
      </c>
      <c r="AZ116" s="305">
        <v>0</v>
      </c>
      <c r="BA116" s="305">
        <v>0</v>
      </c>
      <c r="BB116" s="305">
        <v>0</v>
      </c>
      <c r="BC116" s="305">
        <v>0</v>
      </c>
      <c r="BD116" s="305">
        <v>0</v>
      </c>
      <c r="BE116" s="305">
        <v>0</v>
      </c>
      <c r="BF116" s="305">
        <v>0</v>
      </c>
      <c r="BG116" s="305">
        <v>0</v>
      </c>
      <c r="BH116" s="305">
        <v>0</v>
      </c>
      <c r="BI116" s="305">
        <v>0</v>
      </c>
      <c r="BJ116" s="305">
        <v>0</v>
      </c>
      <c r="BK116" s="305">
        <v>0</v>
      </c>
      <c r="BL116" s="305">
        <v>0</v>
      </c>
      <c r="BM116" s="305">
        <v>0</v>
      </c>
      <c r="BN116" s="305">
        <v>0</v>
      </c>
      <c r="BO116" s="305">
        <v>0</v>
      </c>
      <c r="BP116" s="305">
        <v>0</v>
      </c>
      <c r="BQ116" s="305">
        <v>0</v>
      </c>
      <c r="BR116" s="305">
        <v>0</v>
      </c>
      <c r="BU116" s="304" t="s">
        <v>759</v>
      </c>
      <c r="BV116" s="302">
        <v>0</v>
      </c>
      <c r="BW116" s="302">
        <v>0</v>
      </c>
      <c r="BX116" s="302">
        <v>0</v>
      </c>
      <c r="BY116" s="302">
        <v>0</v>
      </c>
      <c r="BZ116" s="302">
        <v>0</v>
      </c>
      <c r="CA116" s="302">
        <v>0</v>
      </c>
      <c r="CB116" s="302">
        <v>0</v>
      </c>
      <c r="CC116" s="302">
        <v>0</v>
      </c>
      <c r="CD116" s="302">
        <v>0</v>
      </c>
      <c r="CE116" s="302">
        <v>0</v>
      </c>
      <c r="CF116" s="302">
        <v>0</v>
      </c>
      <c r="CG116" s="302">
        <v>0</v>
      </c>
      <c r="CH116" s="302">
        <v>0</v>
      </c>
      <c r="CI116" s="302">
        <v>0</v>
      </c>
      <c r="CJ116" s="302">
        <v>0</v>
      </c>
      <c r="CK116" s="302">
        <v>0</v>
      </c>
      <c r="CL116" s="302">
        <v>0</v>
      </c>
      <c r="CM116" s="302">
        <v>0</v>
      </c>
      <c r="CN116" s="302">
        <v>0</v>
      </c>
      <c r="CO116" s="302">
        <v>0</v>
      </c>
      <c r="CP116" s="302">
        <v>0</v>
      </c>
      <c r="CQ116" s="302">
        <v>0</v>
      </c>
      <c r="CR116" s="302">
        <v>0</v>
      </c>
      <c r="CS116" s="302">
        <v>0</v>
      </c>
      <c r="CT116" s="302">
        <v>0</v>
      </c>
      <c r="CU116" s="302">
        <v>0</v>
      </c>
      <c r="CV116" s="302">
        <v>0</v>
      </c>
      <c r="CW116" s="302">
        <v>0</v>
      </c>
      <c r="CX116" s="302">
        <v>0</v>
      </c>
      <c r="CY116" s="302">
        <v>0</v>
      </c>
      <c r="CZ116" s="302">
        <v>0</v>
      </c>
      <c r="DA116" s="302">
        <v>0</v>
      </c>
      <c r="DB116" s="302">
        <v>0</v>
      </c>
      <c r="DC116" s="302">
        <v>0</v>
      </c>
      <c r="DD116" s="302">
        <v>0</v>
      </c>
      <c r="DE116" s="302">
        <v>0</v>
      </c>
      <c r="DF116" s="302">
        <v>0</v>
      </c>
      <c r="DG116" s="302">
        <v>0</v>
      </c>
      <c r="DH116" s="302">
        <v>0</v>
      </c>
      <c r="DI116" s="302">
        <v>0</v>
      </c>
    </row>
    <row r="117" spans="30:113">
      <c r="AD117" s="304" t="s">
        <v>760</v>
      </c>
      <c r="AE117" s="305">
        <v>0</v>
      </c>
      <c r="AF117" s="305">
        <v>0</v>
      </c>
      <c r="AG117" s="305">
        <v>0</v>
      </c>
      <c r="AH117" s="305">
        <v>0</v>
      </c>
      <c r="AI117" s="305">
        <v>0</v>
      </c>
      <c r="AJ117" s="305">
        <v>0</v>
      </c>
      <c r="AK117" s="305">
        <v>0</v>
      </c>
      <c r="AL117" s="305">
        <v>0</v>
      </c>
      <c r="AM117" s="305">
        <v>0</v>
      </c>
      <c r="AN117" s="305">
        <v>0</v>
      </c>
      <c r="AO117" s="305">
        <v>0</v>
      </c>
      <c r="AP117" s="305">
        <v>0</v>
      </c>
      <c r="AQ117" s="305">
        <v>0</v>
      </c>
      <c r="AR117" s="305">
        <v>0</v>
      </c>
      <c r="AS117" s="305">
        <v>0</v>
      </c>
      <c r="AT117" s="305">
        <v>0</v>
      </c>
      <c r="AU117" s="305">
        <v>0</v>
      </c>
      <c r="AV117" s="305">
        <v>0</v>
      </c>
      <c r="AW117" s="305">
        <v>0</v>
      </c>
      <c r="AX117" s="305">
        <v>0</v>
      </c>
      <c r="AY117" s="305">
        <v>0</v>
      </c>
      <c r="AZ117" s="305">
        <v>0</v>
      </c>
      <c r="BA117" s="305">
        <v>0</v>
      </c>
      <c r="BB117" s="305">
        <v>0</v>
      </c>
      <c r="BC117" s="305">
        <v>0</v>
      </c>
      <c r="BD117" s="305">
        <v>0</v>
      </c>
      <c r="BE117" s="305">
        <v>0</v>
      </c>
      <c r="BF117" s="305">
        <v>0</v>
      </c>
      <c r="BG117" s="305">
        <v>0</v>
      </c>
      <c r="BH117" s="305">
        <v>0</v>
      </c>
      <c r="BI117" s="305">
        <v>0</v>
      </c>
      <c r="BJ117" s="305">
        <v>0</v>
      </c>
      <c r="BK117" s="305">
        <v>0</v>
      </c>
      <c r="BL117" s="305">
        <v>0</v>
      </c>
      <c r="BM117" s="305">
        <v>0</v>
      </c>
      <c r="BN117" s="305">
        <v>0</v>
      </c>
      <c r="BO117" s="305">
        <v>0</v>
      </c>
      <c r="BP117" s="305">
        <v>0</v>
      </c>
      <c r="BQ117" s="305">
        <v>0</v>
      </c>
      <c r="BR117" s="305">
        <v>0</v>
      </c>
      <c r="BU117" s="304" t="s">
        <v>760</v>
      </c>
      <c r="BV117" s="302">
        <v>0</v>
      </c>
      <c r="BW117" s="302">
        <v>0</v>
      </c>
      <c r="BX117" s="302">
        <v>0</v>
      </c>
      <c r="BY117" s="302">
        <v>0</v>
      </c>
      <c r="BZ117" s="302">
        <v>0</v>
      </c>
      <c r="CA117" s="302">
        <v>0</v>
      </c>
      <c r="CB117" s="302">
        <v>0</v>
      </c>
      <c r="CC117" s="302">
        <v>0</v>
      </c>
      <c r="CD117" s="302">
        <v>0</v>
      </c>
      <c r="CE117" s="302">
        <v>0</v>
      </c>
      <c r="CF117" s="302">
        <v>0</v>
      </c>
      <c r="CG117" s="302">
        <v>0</v>
      </c>
      <c r="CH117" s="302">
        <v>0</v>
      </c>
      <c r="CI117" s="302">
        <v>0</v>
      </c>
      <c r="CJ117" s="302">
        <v>0</v>
      </c>
      <c r="CK117" s="302">
        <v>0</v>
      </c>
      <c r="CL117" s="302">
        <v>0</v>
      </c>
      <c r="CM117" s="302">
        <v>0</v>
      </c>
      <c r="CN117" s="302">
        <v>0</v>
      </c>
      <c r="CO117" s="302">
        <v>0</v>
      </c>
      <c r="CP117" s="302">
        <v>0</v>
      </c>
      <c r="CQ117" s="302">
        <v>0</v>
      </c>
      <c r="CR117" s="302">
        <v>0</v>
      </c>
      <c r="CS117" s="302">
        <v>0</v>
      </c>
      <c r="CT117" s="302">
        <v>0</v>
      </c>
      <c r="CU117" s="302">
        <v>0</v>
      </c>
      <c r="CV117" s="302">
        <v>0</v>
      </c>
      <c r="CW117" s="302">
        <v>0</v>
      </c>
      <c r="CX117" s="302">
        <v>0</v>
      </c>
      <c r="CY117" s="302">
        <v>0</v>
      </c>
      <c r="CZ117" s="302">
        <v>0</v>
      </c>
      <c r="DA117" s="302">
        <v>0</v>
      </c>
      <c r="DB117" s="302">
        <v>0</v>
      </c>
      <c r="DC117" s="302">
        <v>0</v>
      </c>
      <c r="DD117" s="302">
        <v>0</v>
      </c>
      <c r="DE117" s="302">
        <v>0</v>
      </c>
      <c r="DF117" s="302">
        <v>0</v>
      </c>
      <c r="DG117" s="302">
        <v>0</v>
      </c>
      <c r="DH117" s="302">
        <v>0</v>
      </c>
      <c r="DI117" s="302">
        <v>0</v>
      </c>
    </row>
    <row r="118" spans="30:113">
      <c r="AD118" s="304" t="s">
        <v>761</v>
      </c>
      <c r="AE118" s="305">
        <v>0</v>
      </c>
      <c r="AF118" s="305">
        <v>0</v>
      </c>
      <c r="AG118" s="305">
        <v>0</v>
      </c>
      <c r="AH118" s="305">
        <v>0</v>
      </c>
      <c r="AI118" s="305">
        <v>0</v>
      </c>
      <c r="AJ118" s="305">
        <v>0</v>
      </c>
      <c r="AK118" s="305">
        <v>0</v>
      </c>
      <c r="AL118" s="305">
        <v>0</v>
      </c>
      <c r="AM118" s="305">
        <v>0</v>
      </c>
      <c r="AN118" s="305">
        <v>0</v>
      </c>
      <c r="AO118" s="305">
        <v>0</v>
      </c>
      <c r="AP118" s="305">
        <v>0</v>
      </c>
      <c r="AQ118" s="305">
        <v>0</v>
      </c>
      <c r="AR118" s="305">
        <v>0</v>
      </c>
      <c r="AS118" s="305">
        <v>0</v>
      </c>
      <c r="AT118" s="305">
        <v>0</v>
      </c>
      <c r="AU118" s="305">
        <v>0</v>
      </c>
      <c r="AV118" s="305">
        <v>0</v>
      </c>
      <c r="AW118" s="305">
        <v>0</v>
      </c>
      <c r="AX118" s="305">
        <v>0</v>
      </c>
      <c r="AY118" s="305">
        <v>0</v>
      </c>
      <c r="AZ118" s="305">
        <v>0</v>
      </c>
      <c r="BA118" s="305">
        <v>0</v>
      </c>
      <c r="BB118" s="305">
        <v>0</v>
      </c>
      <c r="BC118" s="305">
        <v>0</v>
      </c>
      <c r="BD118" s="305">
        <v>0</v>
      </c>
      <c r="BE118" s="305">
        <v>0</v>
      </c>
      <c r="BF118" s="305">
        <v>0</v>
      </c>
      <c r="BG118" s="305">
        <v>0</v>
      </c>
      <c r="BH118" s="305">
        <v>0</v>
      </c>
      <c r="BI118" s="305">
        <v>0</v>
      </c>
      <c r="BJ118" s="305">
        <v>0</v>
      </c>
      <c r="BK118" s="305">
        <v>0</v>
      </c>
      <c r="BL118" s="305">
        <v>0</v>
      </c>
      <c r="BM118" s="305">
        <v>0</v>
      </c>
      <c r="BN118" s="305">
        <v>0</v>
      </c>
      <c r="BO118" s="305">
        <v>0</v>
      </c>
      <c r="BP118" s="305">
        <v>0</v>
      </c>
      <c r="BQ118" s="305">
        <v>0</v>
      </c>
      <c r="BR118" s="305">
        <v>0</v>
      </c>
      <c r="BU118" s="304" t="s">
        <v>761</v>
      </c>
      <c r="BV118" s="302">
        <v>0</v>
      </c>
      <c r="BW118" s="302">
        <v>0</v>
      </c>
      <c r="BX118" s="302">
        <v>0</v>
      </c>
      <c r="BY118" s="302">
        <v>0</v>
      </c>
      <c r="BZ118" s="302">
        <v>0</v>
      </c>
      <c r="CA118" s="302">
        <v>0</v>
      </c>
      <c r="CB118" s="302">
        <v>0</v>
      </c>
      <c r="CC118" s="302">
        <v>0</v>
      </c>
      <c r="CD118" s="302">
        <v>0</v>
      </c>
      <c r="CE118" s="302">
        <v>0</v>
      </c>
      <c r="CF118" s="302">
        <v>0</v>
      </c>
      <c r="CG118" s="302">
        <v>0</v>
      </c>
      <c r="CH118" s="302">
        <v>0</v>
      </c>
      <c r="CI118" s="302">
        <v>0</v>
      </c>
      <c r="CJ118" s="302">
        <v>0</v>
      </c>
      <c r="CK118" s="302">
        <v>0</v>
      </c>
      <c r="CL118" s="302">
        <v>0</v>
      </c>
      <c r="CM118" s="302">
        <v>0</v>
      </c>
      <c r="CN118" s="302">
        <v>0</v>
      </c>
      <c r="CO118" s="302">
        <v>0</v>
      </c>
      <c r="CP118" s="302">
        <v>0</v>
      </c>
      <c r="CQ118" s="302">
        <v>0</v>
      </c>
      <c r="CR118" s="302">
        <v>0</v>
      </c>
      <c r="CS118" s="302">
        <v>0</v>
      </c>
      <c r="CT118" s="302">
        <v>0</v>
      </c>
      <c r="CU118" s="302">
        <v>0</v>
      </c>
      <c r="CV118" s="302">
        <v>0</v>
      </c>
      <c r="CW118" s="302">
        <v>0</v>
      </c>
      <c r="CX118" s="302">
        <v>0</v>
      </c>
      <c r="CY118" s="302">
        <v>0</v>
      </c>
      <c r="CZ118" s="302">
        <v>0</v>
      </c>
      <c r="DA118" s="302">
        <v>0</v>
      </c>
      <c r="DB118" s="302">
        <v>0</v>
      </c>
      <c r="DC118" s="302">
        <v>0</v>
      </c>
      <c r="DD118" s="302">
        <v>0</v>
      </c>
      <c r="DE118" s="302">
        <v>0</v>
      </c>
      <c r="DF118" s="302">
        <v>0</v>
      </c>
      <c r="DG118" s="302">
        <v>0</v>
      </c>
      <c r="DH118" s="302">
        <v>0</v>
      </c>
      <c r="DI118" s="302">
        <v>0</v>
      </c>
    </row>
    <row r="119" spans="30:113">
      <c r="AD119" s="304" t="s">
        <v>719</v>
      </c>
      <c r="AE119" s="305">
        <v>80113.817233021196</v>
      </c>
      <c r="AF119" s="305">
        <v>0</v>
      </c>
      <c r="AG119" s="305">
        <v>0</v>
      </c>
      <c r="AH119" s="305">
        <v>3204496.1178020099</v>
      </c>
      <c r="AI119" s="305">
        <v>0</v>
      </c>
      <c r="AJ119" s="305">
        <v>0</v>
      </c>
      <c r="AK119" s="305">
        <v>0</v>
      </c>
      <c r="AL119" s="305">
        <v>0</v>
      </c>
      <c r="AM119" s="305">
        <v>0</v>
      </c>
      <c r="AN119" s="305">
        <v>0</v>
      </c>
      <c r="AO119" s="305">
        <v>0</v>
      </c>
      <c r="AP119" s="305">
        <v>0</v>
      </c>
      <c r="AQ119" s="305">
        <v>0</v>
      </c>
      <c r="AR119" s="305">
        <v>0</v>
      </c>
      <c r="AS119" s="305">
        <v>0</v>
      </c>
      <c r="AT119" s="305">
        <v>0</v>
      </c>
      <c r="AU119" s="305">
        <v>0</v>
      </c>
      <c r="AV119" s="305">
        <v>0</v>
      </c>
      <c r="AW119" s="305">
        <v>0</v>
      </c>
      <c r="AX119" s="305">
        <v>0</v>
      </c>
      <c r="AY119" s="305">
        <v>0</v>
      </c>
      <c r="AZ119" s="305">
        <v>0</v>
      </c>
      <c r="BA119" s="305">
        <v>0</v>
      </c>
      <c r="BB119" s="305">
        <v>0</v>
      </c>
      <c r="BC119" s="305">
        <v>0</v>
      </c>
      <c r="BD119" s="305">
        <v>0</v>
      </c>
      <c r="BE119" s="305">
        <v>0</v>
      </c>
      <c r="BF119" s="305">
        <v>0</v>
      </c>
      <c r="BG119" s="305">
        <v>0</v>
      </c>
      <c r="BH119" s="305">
        <v>0</v>
      </c>
      <c r="BI119" s="305">
        <v>0</v>
      </c>
      <c r="BJ119" s="305">
        <v>0</v>
      </c>
      <c r="BK119" s="305">
        <v>0</v>
      </c>
      <c r="BL119" s="305">
        <v>0</v>
      </c>
      <c r="BM119" s="305">
        <v>0</v>
      </c>
      <c r="BN119" s="305">
        <v>0</v>
      </c>
      <c r="BO119" s="305">
        <v>0</v>
      </c>
      <c r="BP119" s="305">
        <v>0</v>
      </c>
      <c r="BQ119" s="305">
        <v>0</v>
      </c>
      <c r="BR119" s="305">
        <v>0</v>
      </c>
      <c r="BU119" s="304" t="s">
        <v>719</v>
      </c>
      <c r="BV119" s="302">
        <v>0</v>
      </c>
      <c r="BW119" s="302">
        <v>0</v>
      </c>
      <c r="BX119" s="302">
        <v>0</v>
      </c>
      <c r="BY119" s="302">
        <v>0</v>
      </c>
      <c r="BZ119" s="302">
        <v>0</v>
      </c>
      <c r="CA119" s="302">
        <v>0</v>
      </c>
      <c r="CB119" s="302">
        <v>0</v>
      </c>
      <c r="CC119" s="302">
        <v>0</v>
      </c>
      <c r="CD119" s="302">
        <v>0</v>
      </c>
      <c r="CE119" s="302">
        <v>0</v>
      </c>
      <c r="CF119" s="302">
        <v>0</v>
      </c>
      <c r="CG119" s="302">
        <v>0</v>
      </c>
      <c r="CH119" s="302">
        <v>0</v>
      </c>
      <c r="CI119" s="302">
        <v>0</v>
      </c>
      <c r="CJ119" s="302">
        <v>0</v>
      </c>
      <c r="CK119" s="302">
        <v>0</v>
      </c>
      <c r="CL119" s="302">
        <v>0</v>
      </c>
      <c r="CM119" s="302">
        <v>0</v>
      </c>
      <c r="CN119" s="302">
        <v>0</v>
      </c>
      <c r="CO119" s="302">
        <v>0</v>
      </c>
      <c r="CP119" s="302">
        <v>0</v>
      </c>
      <c r="CQ119" s="302">
        <v>0</v>
      </c>
      <c r="CR119" s="302">
        <v>0</v>
      </c>
      <c r="CS119" s="302">
        <v>0</v>
      </c>
      <c r="CT119" s="302">
        <v>0</v>
      </c>
      <c r="CU119" s="302">
        <v>0</v>
      </c>
      <c r="CV119" s="302">
        <v>0</v>
      </c>
      <c r="CW119" s="302">
        <v>0</v>
      </c>
      <c r="CX119" s="302">
        <v>0</v>
      </c>
      <c r="CY119" s="302">
        <v>0</v>
      </c>
      <c r="CZ119" s="302">
        <v>0</v>
      </c>
      <c r="DA119" s="302">
        <v>0</v>
      </c>
      <c r="DB119" s="302">
        <v>0</v>
      </c>
      <c r="DC119" s="302">
        <v>0</v>
      </c>
      <c r="DD119" s="302">
        <v>0</v>
      </c>
      <c r="DE119" s="302">
        <v>0</v>
      </c>
      <c r="DF119" s="302">
        <v>0</v>
      </c>
      <c r="DG119" s="302">
        <v>0</v>
      </c>
      <c r="DH119" s="302">
        <v>0</v>
      </c>
      <c r="DI119" s="302">
        <v>0</v>
      </c>
    </row>
    <row r="120" spans="30:113">
      <c r="AD120" s="304" t="s">
        <v>720</v>
      </c>
      <c r="AE120" s="305">
        <v>0</v>
      </c>
      <c r="AF120" s="305">
        <v>3090735.3644190198</v>
      </c>
      <c r="AG120" s="305">
        <v>0</v>
      </c>
      <c r="AH120" s="305">
        <v>0</v>
      </c>
      <c r="AI120" s="305">
        <v>0</v>
      </c>
      <c r="AJ120" s="305">
        <v>0</v>
      </c>
      <c r="AK120" s="305">
        <v>0</v>
      </c>
      <c r="AL120" s="305">
        <v>0</v>
      </c>
      <c r="AM120" s="305">
        <v>0</v>
      </c>
      <c r="AN120" s="305">
        <v>0</v>
      </c>
      <c r="AO120" s="305">
        <v>0</v>
      </c>
      <c r="AP120" s="305">
        <v>0</v>
      </c>
      <c r="AQ120" s="305">
        <v>0</v>
      </c>
      <c r="AR120" s="305">
        <v>0</v>
      </c>
      <c r="AS120" s="305">
        <v>0</v>
      </c>
      <c r="AT120" s="305">
        <v>0</v>
      </c>
      <c r="AU120" s="305">
        <v>0</v>
      </c>
      <c r="AV120" s="305">
        <v>0</v>
      </c>
      <c r="AW120" s="305">
        <v>0</v>
      </c>
      <c r="AX120" s="305">
        <v>0</v>
      </c>
      <c r="AY120" s="305">
        <v>0</v>
      </c>
      <c r="AZ120" s="305">
        <v>0</v>
      </c>
      <c r="BA120" s="305">
        <v>0</v>
      </c>
      <c r="BB120" s="305">
        <v>0</v>
      </c>
      <c r="BC120" s="305">
        <v>0</v>
      </c>
      <c r="BD120" s="305">
        <v>0</v>
      </c>
      <c r="BE120" s="305">
        <v>0</v>
      </c>
      <c r="BF120" s="305">
        <v>0</v>
      </c>
      <c r="BG120" s="305">
        <v>0</v>
      </c>
      <c r="BH120" s="305">
        <v>0</v>
      </c>
      <c r="BI120" s="305">
        <v>0</v>
      </c>
      <c r="BJ120" s="305">
        <v>0</v>
      </c>
      <c r="BK120" s="305">
        <v>0</v>
      </c>
      <c r="BL120" s="305">
        <v>0</v>
      </c>
      <c r="BM120" s="305">
        <v>0</v>
      </c>
      <c r="BN120" s="305">
        <v>0</v>
      </c>
      <c r="BO120" s="305">
        <v>0</v>
      </c>
      <c r="BP120" s="305">
        <v>0</v>
      </c>
      <c r="BQ120" s="305">
        <v>0</v>
      </c>
      <c r="BR120" s="305">
        <v>0</v>
      </c>
      <c r="BU120" s="304" t="s">
        <v>720</v>
      </c>
      <c r="BV120" s="302">
        <v>0</v>
      </c>
      <c r="BW120" s="302">
        <v>0</v>
      </c>
      <c r="BX120" s="302">
        <v>0</v>
      </c>
      <c r="BY120" s="302">
        <v>0</v>
      </c>
      <c r="BZ120" s="302">
        <v>0</v>
      </c>
      <c r="CA120" s="302">
        <v>0</v>
      </c>
      <c r="CB120" s="302">
        <v>0</v>
      </c>
      <c r="CC120" s="302">
        <v>0</v>
      </c>
      <c r="CD120" s="302">
        <v>0</v>
      </c>
      <c r="CE120" s="302">
        <v>0</v>
      </c>
      <c r="CF120" s="302">
        <v>0</v>
      </c>
      <c r="CG120" s="302">
        <v>0</v>
      </c>
      <c r="CH120" s="302">
        <v>0</v>
      </c>
      <c r="CI120" s="302">
        <v>0</v>
      </c>
      <c r="CJ120" s="302">
        <v>0</v>
      </c>
      <c r="CK120" s="302">
        <v>0</v>
      </c>
      <c r="CL120" s="302">
        <v>0</v>
      </c>
      <c r="CM120" s="302">
        <v>0</v>
      </c>
      <c r="CN120" s="302">
        <v>0</v>
      </c>
      <c r="CO120" s="302">
        <v>0</v>
      </c>
      <c r="CP120" s="302">
        <v>0</v>
      </c>
      <c r="CQ120" s="302">
        <v>0</v>
      </c>
      <c r="CR120" s="302">
        <v>0</v>
      </c>
      <c r="CS120" s="302">
        <v>0</v>
      </c>
      <c r="CT120" s="302">
        <v>0</v>
      </c>
      <c r="CU120" s="302">
        <v>0</v>
      </c>
      <c r="CV120" s="302">
        <v>0</v>
      </c>
      <c r="CW120" s="302">
        <v>0</v>
      </c>
      <c r="CX120" s="302">
        <v>0</v>
      </c>
      <c r="CY120" s="302">
        <v>0</v>
      </c>
      <c r="CZ120" s="302">
        <v>0</v>
      </c>
      <c r="DA120" s="302">
        <v>0</v>
      </c>
      <c r="DB120" s="302">
        <v>0</v>
      </c>
      <c r="DC120" s="302">
        <v>0</v>
      </c>
      <c r="DD120" s="302">
        <v>0</v>
      </c>
      <c r="DE120" s="302">
        <v>0</v>
      </c>
      <c r="DF120" s="302">
        <v>0</v>
      </c>
      <c r="DG120" s="302">
        <v>0</v>
      </c>
      <c r="DH120" s="302">
        <v>0</v>
      </c>
      <c r="DI120" s="302">
        <v>0</v>
      </c>
    </row>
    <row r="121" spans="30:113">
      <c r="AD121" s="304" t="s">
        <v>721</v>
      </c>
      <c r="AE121" s="305">
        <v>0</v>
      </c>
      <c r="AF121" s="305">
        <v>0</v>
      </c>
      <c r="AG121" s="305">
        <v>0</v>
      </c>
      <c r="AH121" s="305">
        <v>0</v>
      </c>
      <c r="AI121" s="305">
        <v>0</v>
      </c>
      <c r="AJ121" s="305">
        <v>0</v>
      </c>
      <c r="AK121" s="305">
        <v>0</v>
      </c>
      <c r="AL121" s="305">
        <v>0</v>
      </c>
      <c r="AM121" s="305">
        <v>0</v>
      </c>
      <c r="AN121" s="305">
        <v>0</v>
      </c>
      <c r="AO121" s="305">
        <v>0</v>
      </c>
      <c r="AP121" s="305">
        <v>0</v>
      </c>
      <c r="AQ121" s="305">
        <v>0</v>
      </c>
      <c r="AR121" s="305">
        <v>21683.690906267198</v>
      </c>
      <c r="AS121" s="305">
        <v>0</v>
      </c>
      <c r="AT121" s="305">
        <v>0</v>
      </c>
      <c r="AU121" s="305">
        <v>0</v>
      </c>
      <c r="AV121" s="305">
        <v>0</v>
      </c>
      <c r="AW121" s="305">
        <v>0</v>
      </c>
      <c r="AX121" s="305">
        <v>0</v>
      </c>
      <c r="AY121" s="305">
        <v>0</v>
      </c>
      <c r="AZ121" s="305">
        <v>0</v>
      </c>
      <c r="BA121" s="305">
        <v>0</v>
      </c>
      <c r="BB121" s="305">
        <v>0</v>
      </c>
      <c r="BC121" s="305">
        <v>0</v>
      </c>
      <c r="BD121" s="305">
        <v>0</v>
      </c>
      <c r="BE121" s="305">
        <v>0</v>
      </c>
      <c r="BF121" s="305">
        <v>0</v>
      </c>
      <c r="BG121" s="305">
        <v>0</v>
      </c>
      <c r="BH121" s="305">
        <v>0</v>
      </c>
      <c r="BI121" s="305">
        <v>0</v>
      </c>
      <c r="BJ121" s="305">
        <v>0</v>
      </c>
      <c r="BK121" s="305">
        <v>0</v>
      </c>
      <c r="BL121" s="305">
        <v>0</v>
      </c>
      <c r="BM121" s="305">
        <v>0</v>
      </c>
      <c r="BN121" s="305">
        <v>0</v>
      </c>
      <c r="BO121" s="305">
        <v>0</v>
      </c>
      <c r="BP121" s="305">
        <v>0</v>
      </c>
      <c r="BQ121" s="305">
        <v>0</v>
      </c>
      <c r="BR121" s="305">
        <v>0</v>
      </c>
      <c r="BU121" s="304" t="s">
        <v>721</v>
      </c>
      <c r="BV121" s="302">
        <v>0</v>
      </c>
      <c r="BW121" s="302">
        <v>0</v>
      </c>
      <c r="BX121" s="302">
        <v>0</v>
      </c>
      <c r="BY121" s="302">
        <v>0</v>
      </c>
      <c r="BZ121" s="302">
        <v>0</v>
      </c>
      <c r="CA121" s="302">
        <v>0</v>
      </c>
      <c r="CB121" s="302">
        <v>0</v>
      </c>
      <c r="CC121" s="302">
        <v>0</v>
      </c>
      <c r="CD121" s="302">
        <v>0</v>
      </c>
      <c r="CE121" s="302">
        <v>0</v>
      </c>
      <c r="CF121" s="302">
        <v>0</v>
      </c>
      <c r="CG121" s="302">
        <v>0</v>
      </c>
      <c r="CH121" s="302">
        <v>0</v>
      </c>
      <c r="CI121" s="302">
        <v>0</v>
      </c>
      <c r="CJ121" s="302">
        <v>0</v>
      </c>
      <c r="CK121" s="302">
        <v>0</v>
      </c>
      <c r="CL121" s="302">
        <v>0</v>
      </c>
      <c r="CM121" s="302">
        <v>0</v>
      </c>
      <c r="CN121" s="302">
        <v>0</v>
      </c>
      <c r="CO121" s="302">
        <v>0</v>
      </c>
      <c r="CP121" s="302">
        <v>0</v>
      </c>
      <c r="CQ121" s="302">
        <v>0</v>
      </c>
      <c r="CR121" s="302">
        <v>0</v>
      </c>
      <c r="CS121" s="302">
        <v>0</v>
      </c>
      <c r="CT121" s="302">
        <v>0</v>
      </c>
      <c r="CU121" s="302">
        <v>0</v>
      </c>
      <c r="CV121" s="302">
        <v>0</v>
      </c>
      <c r="CW121" s="302">
        <v>0</v>
      </c>
      <c r="CX121" s="302">
        <v>0</v>
      </c>
      <c r="CY121" s="302">
        <v>0</v>
      </c>
      <c r="CZ121" s="302">
        <v>0</v>
      </c>
      <c r="DA121" s="302">
        <v>0</v>
      </c>
      <c r="DB121" s="302">
        <v>0</v>
      </c>
      <c r="DC121" s="302">
        <v>0</v>
      </c>
      <c r="DD121" s="302">
        <v>0</v>
      </c>
      <c r="DE121" s="302">
        <v>0</v>
      </c>
      <c r="DF121" s="302">
        <v>0</v>
      </c>
      <c r="DG121" s="302">
        <v>0</v>
      </c>
      <c r="DH121" s="302">
        <v>0</v>
      </c>
      <c r="DI121" s="302">
        <v>0</v>
      </c>
    </row>
    <row r="122" spans="30:113">
      <c r="AD122" s="304" t="s">
        <v>722</v>
      </c>
      <c r="AE122" s="305">
        <v>0</v>
      </c>
      <c r="AF122" s="305">
        <v>0</v>
      </c>
      <c r="AG122" s="305">
        <v>0</v>
      </c>
      <c r="AH122" s="305">
        <v>5048.7551388456604</v>
      </c>
      <c r="AI122" s="305">
        <v>0</v>
      </c>
      <c r="AJ122" s="305">
        <v>0</v>
      </c>
      <c r="AK122" s="305">
        <v>0</v>
      </c>
      <c r="AL122" s="305">
        <v>0</v>
      </c>
      <c r="AM122" s="305">
        <v>0</v>
      </c>
      <c r="AN122" s="305">
        <v>0</v>
      </c>
      <c r="AO122" s="305">
        <v>0</v>
      </c>
      <c r="AP122" s="305">
        <v>0</v>
      </c>
      <c r="AQ122" s="305">
        <v>0</v>
      </c>
      <c r="AR122" s="305">
        <v>0</v>
      </c>
      <c r="AS122" s="305">
        <v>0</v>
      </c>
      <c r="AT122" s="305">
        <v>0</v>
      </c>
      <c r="AU122" s="305">
        <v>0</v>
      </c>
      <c r="AV122" s="305">
        <v>0</v>
      </c>
      <c r="AW122" s="305">
        <v>0</v>
      </c>
      <c r="AX122" s="305">
        <v>0</v>
      </c>
      <c r="AY122" s="305">
        <v>0</v>
      </c>
      <c r="AZ122" s="305">
        <v>0</v>
      </c>
      <c r="BA122" s="305">
        <v>0</v>
      </c>
      <c r="BB122" s="305">
        <v>0</v>
      </c>
      <c r="BC122" s="305">
        <v>0</v>
      </c>
      <c r="BD122" s="305">
        <v>0</v>
      </c>
      <c r="BE122" s="305">
        <v>0</v>
      </c>
      <c r="BF122" s="305">
        <v>0</v>
      </c>
      <c r="BG122" s="305">
        <v>0</v>
      </c>
      <c r="BH122" s="305">
        <v>0</v>
      </c>
      <c r="BI122" s="305">
        <v>0</v>
      </c>
      <c r="BJ122" s="305">
        <v>0</v>
      </c>
      <c r="BK122" s="305">
        <v>0</v>
      </c>
      <c r="BL122" s="305">
        <v>0</v>
      </c>
      <c r="BM122" s="305">
        <v>0</v>
      </c>
      <c r="BN122" s="305">
        <v>0</v>
      </c>
      <c r="BO122" s="305">
        <v>0</v>
      </c>
      <c r="BP122" s="305">
        <v>0</v>
      </c>
      <c r="BQ122" s="305">
        <v>0</v>
      </c>
      <c r="BR122" s="305">
        <v>0</v>
      </c>
      <c r="BU122" s="304" t="s">
        <v>722</v>
      </c>
      <c r="BV122" s="302">
        <v>0</v>
      </c>
      <c r="BW122" s="302">
        <v>0</v>
      </c>
      <c r="BX122" s="302">
        <v>0</v>
      </c>
      <c r="BY122" s="302">
        <v>0</v>
      </c>
      <c r="BZ122" s="302">
        <v>0</v>
      </c>
      <c r="CA122" s="302">
        <v>0</v>
      </c>
      <c r="CB122" s="302">
        <v>0</v>
      </c>
      <c r="CC122" s="302">
        <v>0</v>
      </c>
      <c r="CD122" s="302">
        <v>0</v>
      </c>
      <c r="CE122" s="302">
        <v>0</v>
      </c>
      <c r="CF122" s="302">
        <v>0</v>
      </c>
      <c r="CG122" s="302">
        <v>0</v>
      </c>
      <c r="CH122" s="302">
        <v>0</v>
      </c>
      <c r="CI122" s="302">
        <v>0</v>
      </c>
      <c r="CJ122" s="302">
        <v>0</v>
      </c>
      <c r="CK122" s="302">
        <v>0</v>
      </c>
      <c r="CL122" s="302">
        <v>0</v>
      </c>
      <c r="CM122" s="302">
        <v>0</v>
      </c>
      <c r="CN122" s="302">
        <v>0</v>
      </c>
      <c r="CO122" s="302">
        <v>0</v>
      </c>
      <c r="CP122" s="302">
        <v>0</v>
      </c>
      <c r="CQ122" s="302">
        <v>0</v>
      </c>
      <c r="CR122" s="302">
        <v>0</v>
      </c>
      <c r="CS122" s="302">
        <v>0</v>
      </c>
      <c r="CT122" s="302">
        <v>0</v>
      </c>
      <c r="CU122" s="302">
        <v>0</v>
      </c>
      <c r="CV122" s="302">
        <v>0</v>
      </c>
      <c r="CW122" s="302">
        <v>0</v>
      </c>
      <c r="CX122" s="302">
        <v>0</v>
      </c>
      <c r="CY122" s="302">
        <v>0</v>
      </c>
      <c r="CZ122" s="302">
        <v>0</v>
      </c>
      <c r="DA122" s="302">
        <v>0</v>
      </c>
      <c r="DB122" s="302">
        <v>0</v>
      </c>
      <c r="DC122" s="302">
        <v>0</v>
      </c>
      <c r="DD122" s="302">
        <v>0</v>
      </c>
      <c r="DE122" s="302">
        <v>0</v>
      </c>
      <c r="DF122" s="302">
        <v>0</v>
      </c>
      <c r="DG122" s="302">
        <v>0</v>
      </c>
      <c r="DH122" s="302">
        <v>0</v>
      </c>
      <c r="DI122" s="302">
        <v>0</v>
      </c>
    </row>
    <row r="123" spans="30:113">
      <c r="AD123" s="304" t="s">
        <v>723</v>
      </c>
      <c r="AE123" s="305">
        <v>0</v>
      </c>
      <c r="AF123" s="305">
        <v>0</v>
      </c>
      <c r="AG123" s="305">
        <v>0</v>
      </c>
      <c r="AH123" s="305">
        <v>0</v>
      </c>
      <c r="AI123" s="305">
        <v>0</v>
      </c>
      <c r="AJ123" s="305">
        <v>0</v>
      </c>
      <c r="AK123" s="305">
        <v>5023.7890204089899</v>
      </c>
      <c r="AL123" s="305">
        <v>0</v>
      </c>
      <c r="AM123" s="305">
        <v>0</v>
      </c>
      <c r="AN123" s="305">
        <v>0</v>
      </c>
      <c r="AO123" s="305">
        <v>0</v>
      </c>
      <c r="AP123" s="305">
        <v>0</v>
      </c>
      <c r="AQ123" s="305">
        <v>0</v>
      </c>
      <c r="AR123" s="305">
        <v>0</v>
      </c>
      <c r="AS123" s="305">
        <v>0</v>
      </c>
      <c r="AT123" s="305">
        <v>0</v>
      </c>
      <c r="AU123" s="305">
        <v>0</v>
      </c>
      <c r="AV123" s="305">
        <v>0</v>
      </c>
      <c r="AW123" s="305">
        <v>0</v>
      </c>
      <c r="AX123" s="305">
        <v>0</v>
      </c>
      <c r="AY123" s="305">
        <v>0</v>
      </c>
      <c r="AZ123" s="305">
        <v>0</v>
      </c>
      <c r="BA123" s="305">
        <v>0</v>
      </c>
      <c r="BB123" s="305">
        <v>0</v>
      </c>
      <c r="BC123" s="305">
        <v>0</v>
      </c>
      <c r="BD123" s="305">
        <v>0</v>
      </c>
      <c r="BE123" s="305">
        <v>0</v>
      </c>
      <c r="BF123" s="305">
        <v>0</v>
      </c>
      <c r="BG123" s="305">
        <v>0</v>
      </c>
      <c r="BH123" s="305">
        <v>0</v>
      </c>
      <c r="BI123" s="305">
        <v>0</v>
      </c>
      <c r="BJ123" s="305">
        <v>0</v>
      </c>
      <c r="BK123" s="305">
        <v>0</v>
      </c>
      <c r="BL123" s="305">
        <v>0</v>
      </c>
      <c r="BM123" s="305">
        <v>0</v>
      </c>
      <c r="BN123" s="305">
        <v>0</v>
      </c>
      <c r="BO123" s="305">
        <v>0</v>
      </c>
      <c r="BP123" s="305">
        <v>0</v>
      </c>
      <c r="BQ123" s="305">
        <v>0</v>
      </c>
      <c r="BR123" s="305">
        <v>0</v>
      </c>
      <c r="BU123" s="304" t="s">
        <v>723</v>
      </c>
      <c r="BV123" s="302">
        <v>0</v>
      </c>
      <c r="BW123" s="302">
        <v>0</v>
      </c>
      <c r="BX123" s="302">
        <v>0</v>
      </c>
      <c r="BY123" s="302">
        <v>0</v>
      </c>
      <c r="BZ123" s="302">
        <v>0</v>
      </c>
      <c r="CA123" s="302">
        <v>0</v>
      </c>
      <c r="CB123" s="302">
        <v>0</v>
      </c>
      <c r="CC123" s="302">
        <v>0</v>
      </c>
      <c r="CD123" s="302">
        <v>0</v>
      </c>
      <c r="CE123" s="302">
        <v>0</v>
      </c>
      <c r="CF123" s="302">
        <v>0</v>
      </c>
      <c r="CG123" s="302">
        <v>0</v>
      </c>
      <c r="CH123" s="302">
        <v>0</v>
      </c>
      <c r="CI123" s="302">
        <v>0</v>
      </c>
      <c r="CJ123" s="302">
        <v>0</v>
      </c>
      <c r="CK123" s="302">
        <v>0</v>
      </c>
      <c r="CL123" s="302">
        <v>0</v>
      </c>
      <c r="CM123" s="302">
        <v>0</v>
      </c>
      <c r="CN123" s="302">
        <v>0</v>
      </c>
      <c r="CO123" s="302">
        <v>0</v>
      </c>
      <c r="CP123" s="302">
        <v>0</v>
      </c>
      <c r="CQ123" s="302">
        <v>0</v>
      </c>
      <c r="CR123" s="302">
        <v>0</v>
      </c>
      <c r="CS123" s="302">
        <v>0</v>
      </c>
      <c r="CT123" s="302">
        <v>0</v>
      </c>
      <c r="CU123" s="302">
        <v>0</v>
      </c>
      <c r="CV123" s="302">
        <v>0</v>
      </c>
      <c r="CW123" s="302">
        <v>0</v>
      </c>
      <c r="CX123" s="302">
        <v>0</v>
      </c>
      <c r="CY123" s="302">
        <v>0</v>
      </c>
      <c r="CZ123" s="302">
        <v>0</v>
      </c>
      <c r="DA123" s="302">
        <v>0</v>
      </c>
      <c r="DB123" s="302">
        <v>0</v>
      </c>
      <c r="DC123" s="302">
        <v>0</v>
      </c>
      <c r="DD123" s="302">
        <v>0</v>
      </c>
      <c r="DE123" s="302">
        <v>0</v>
      </c>
      <c r="DF123" s="302">
        <v>0</v>
      </c>
      <c r="DG123" s="302">
        <v>0</v>
      </c>
      <c r="DH123" s="302">
        <v>0</v>
      </c>
      <c r="DI123" s="302">
        <v>0</v>
      </c>
    </row>
    <row r="124" spans="30:113">
      <c r="AD124" s="304" t="s">
        <v>724</v>
      </c>
      <c r="AE124" s="305">
        <v>0</v>
      </c>
      <c r="AF124" s="305">
        <v>0</v>
      </c>
      <c r="AG124" s="305">
        <v>0</v>
      </c>
      <c r="AH124" s="305">
        <v>0</v>
      </c>
      <c r="AI124" s="305">
        <v>0</v>
      </c>
      <c r="AJ124" s="305">
        <v>0</v>
      </c>
      <c r="AK124" s="305">
        <v>0</v>
      </c>
      <c r="AL124" s="305">
        <v>0</v>
      </c>
      <c r="AM124" s="305">
        <v>0</v>
      </c>
      <c r="AN124" s="305">
        <v>0</v>
      </c>
      <c r="AO124" s="305">
        <v>0</v>
      </c>
      <c r="AP124" s="305">
        <v>0</v>
      </c>
      <c r="AQ124" s="305">
        <v>4306.0802326205903</v>
      </c>
      <c r="AR124" s="305">
        <v>0</v>
      </c>
      <c r="AS124" s="305">
        <v>0</v>
      </c>
      <c r="AT124" s="305">
        <v>0</v>
      </c>
      <c r="AU124" s="305">
        <v>0</v>
      </c>
      <c r="AV124" s="305">
        <v>0</v>
      </c>
      <c r="AW124" s="305">
        <v>0</v>
      </c>
      <c r="AX124" s="305">
        <v>0</v>
      </c>
      <c r="AY124" s="305">
        <v>0</v>
      </c>
      <c r="AZ124" s="305">
        <v>0</v>
      </c>
      <c r="BA124" s="305">
        <v>0</v>
      </c>
      <c r="BB124" s="305">
        <v>0</v>
      </c>
      <c r="BC124" s="305">
        <v>0</v>
      </c>
      <c r="BD124" s="305">
        <v>0</v>
      </c>
      <c r="BE124" s="305">
        <v>0</v>
      </c>
      <c r="BF124" s="305">
        <v>0</v>
      </c>
      <c r="BG124" s="305">
        <v>0</v>
      </c>
      <c r="BH124" s="305">
        <v>0</v>
      </c>
      <c r="BI124" s="305">
        <v>0</v>
      </c>
      <c r="BJ124" s="305">
        <v>0</v>
      </c>
      <c r="BK124" s="305">
        <v>0</v>
      </c>
      <c r="BL124" s="305">
        <v>0</v>
      </c>
      <c r="BM124" s="305">
        <v>0</v>
      </c>
      <c r="BN124" s="305">
        <v>0</v>
      </c>
      <c r="BO124" s="305">
        <v>0</v>
      </c>
      <c r="BP124" s="305">
        <v>0</v>
      </c>
      <c r="BQ124" s="305">
        <v>0</v>
      </c>
      <c r="BR124" s="305">
        <v>0</v>
      </c>
      <c r="BU124" s="304" t="s">
        <v>724</v>
      </c>
      <c r="BV124" s="302">
        <v>0</v>
      </c>
      <c r="BW124" s="302">
        <v>0</v>
      </c>
      <c r="BX124" s="302">
        <v>0</v>
      </c>
      <c r="BY124" s="302">
        <v>0</v>
      </c>
      <c r="BZ124" s="302">
        <v>0</v>
      </c>
      <c r="CA124" s="302">
        <v>0</v>
      </c>
      <c r="CB124" s="302">
        <v>0</v>
      </c>
      <c r="CC124" s="302">
        <v>0</v>
      </c>
      <c r="CD124" s="302">
        <v>0</v>
      </c>
      <c r="CE124" s="302">
        <v>0</v>
      </c>
      <c r="CF124" s="302">
        <v>0</v>
      </c>
      <c r="CG124" s="302">
        <v>0</v>
      </c>
      <c r="CH124" s="302">
        <v>0</v>
      </c>
      <c r="CI124" s="302">
        <v>0</v>
      </c>
      <c r="CJ124" s="302">
        <v>0</v>
      </c>
      <c r="CK124" s="302">
        <v>0</v>
      </c>
      <c r="CL124" s="302">
        <v>0</v>
      </c>
      <c r="CM124" s="302">
        <v>0</v>
      </c>
      <c r="CN124" s="302">
        <v>0</v>
      </c>
      <c r="CO124" s="302">
        <v>0</v>
      </c>
      <c r="CP124" s="302">
        <v>0</v>
      </c>
      <c r="CQ124" s="302">
        <v>0</v>
      </c>
      <c r="CR124" s="302">
        <v>0</v>
      </c>
      <c r="CS124" s="302">
        <v>0</v>
      </c>
      <c r="CT124" s="302">
        <v>0</v>
      </c>
      <c r="CU124" s="302">
        <v>0</v>
      </c>
      <c r="CV124" s="302">
        <v>0</v>
      </c>
      <c r="CW124" s="302">
        <v>0</v>
      </c>
      <c r="CX124" s="302">
        <v>0</v>
      </c>
      <c r="CY124" s="302">
        <v>0</v>
      </c>
      <c r="CZ124" s="302">
        <v>0</v>
      </c>
      <c r="DA124" s="302">
        <v>0</v>
      </c>
      <c r="DB124" s="302">
        <v>0</v>
      </c>
      <c r="DC124" s="302">
        <v>0</v>
      </c>
      <c r="DD124" s="302">
        <v>0</v>
      </c>
      <c r="DE124" s="302">
        <v>0</v>
      </c>
      <c r="DF124" s="302">
        <v>0</v>
      </c>
      <c r="DG124" s="302">
        <v>0</v>
      </c>
      <c r="DH124" s="302">
        <v>0</v>
      </c>
      <c r="DI124" s="302">
        <v>0</v>
      </c>
    </row>
    <row r="125" spans="30:113">
      <c r="AD125" s="304" t="s">
        <v>725</v>
      </c>
      <c r="AE125" s="305">
        <v>0</v>
      </c>
      <c r="AF125" s="305">
        <v>0</v>
      </c>
      <c r="AG125" s="305">
        <v>0</v>
      </c>
      <c r="AH125" s="305">
        <v>82.091627997489695</v>
      </c>
      <c r="AI125" s="305">
        <v>0</v>
      </c>
      <c r="AJ125" s="305">
        <v>0</v>
      </c>
      <c r="AK125" s="305">
        <v>0</v>
      </c>
      <c r="AL125" s="305">
        <v>0</v>
      </c>
      <c r="AM125" s="305">
        <v>0</v>
      </c>
      <c r="AN125" s="305">
        <v>0</v>
      </c>
      <c r="AO125" s="305">
        <v>0</v>
      </c>
      <c r="AP125" s="305">
        <v>0</v>
      </c>
      <c r="AQ125" s="305">
        <v>0</v>
      </c>
      <c r="AR125" s="305">
        <v>0</v>
      </c>
      <c r="AS125" s="305">
        <v>0</v>
      </c>
      <c r="AT125" s="305">
        <v>0</v>
      </c>
      <c r="AU125" s="305">
        <v>0</v>
      </c>
      <c r="AV125" s="305">
        <v>0</v>
      </c>
      <c r="AW125" s="305">
        <v>0</v>
      </c>
      <c r="AX125" s="305">
        <v>0</v>
      </c>
      <c r="AY125" s="305">
        <v>0</v>
      </c>
      <c r="AZ125" s="305">
        <v>0</v>
      </c>
      <c r="BA125" s="305">
        <v>0</v>
      </c>
      <c r="BB125" s="305">
        <v>0</v>
      </c>
      <c r="BC125" s="305">
        <v>0</v>
      </c>
      <c r="BD125" s="305">
        <v>0</v>
      </c>
      <c r="BE125" s="305">
        <v>0</v>
      </c>
      <c r="BF125" s="305">
        <v>0</v>
      </c>
      <c r="BG125" s="305">
        <v>0</v>
      </c>
      <c r="BH125" s="305">
        <v>0</v>
      </c>
      <c r="BI125" s="305">
        <v>0</v>
      </c>
      <c r="BJ125" s="305">
        <v>0</v>
      </c>
      <c r="BK125" s="305">
        <v>0</v>
      </c>
      <c r="BL125" s="305">
        <v>0</v>
      </c>
      <c r="BM125" s="305">
        <v>0</v>
      </c>
      <c r="BN125" s="305">
        <v>0</v>
      </c>
      <c r="BO125" s="305">
        <v>0</v>
      </c>
      <c r="BP125" s="305">
        <v>0</v>
      </c>
      <c r="BQ125" s="305">
        <v>0</v>
      </c>
      <c r="BR125" s="305">
        <v>0</v>
      </c>
      <c r="BU125" s="304" t="s">
        <v>725</v>
      </c>
      <c r="BV125" s="302">
        <v>0</v>
      </c>
      <c r="BW125" s="302">
        <v>0</v>
      </c>
      <c r="BX125" s="302">
        <v>0</v>
      </c>
      <c r="BY125" s="302">
        <v>0</v>
      </c>
      <c r="BZ125" s="302">
        <v>0</v>
      </c>
      <c r="CA125" s="302">
        <v>0</v>
      </c>
      <c r="CB125" s="302">
        <v>0</v>
      </c>
      <c r="CC125" s="302">
        <v>0</v>
      </c>
      <c r="CD125" s="302">
        <v>0</v>
      </c>
      <c r="CE125" s="302">
        <v>0</v>
      </c>
      <c r="CF125" s="302">
        <v>0</v>
      </c>
      <c r="CG125" s="302">
        <v>0</v>
      </c>
      <c r="CH125" s="302">
        <v>0</v>
      </c>
      <c r="CI125" s="302">
        <v>0</v>
      </c>
      <c r="CJ125" s="302">
        <v>0</v>
      </c>
      <c r="CK125" s="302">
        <v>0</v>
      </c>
      <c r="CL125" s="302">
        <v>0</v>
      </c>
      <c r="CM125" s="302">
        <v>0</v>
      </c>
      <c r="CN125" s="302">
        <v>0</v>
      </c>
      <c r="CO125" s="302">
        <v>0</v>
      </c>
      <c r="CP125" s="302">
        <v>0</v>
      </c>
      <c r="CQ125" s="302">
        <v>0</v>
      </c>
      <c r="CR125" s="302">
        <v>0</v>
      </c>
      <c r="CS125" s="302">
        <v>0</v>
      </c>
      <c r="CT125" s="302">
        <v>0</v>
      </c>
      <c r="CU125" s="302">
        <v>0</v>
      </c>
      <c r="CV125" s="302">
        <v>0</v>
      </c>
      <c r="CW125" s="302">
        <v>0</v>
      </c>
      <c r="CX125" s="302">
        <v>0</v>
      </c>
      <c r="CY125" s="302">
        <v>0</v>
      </c>
      <c r="CZ125" s="302">
        <v>0</v>
      </c>
      <c r="DA125" s="302">
        <v>0</v>
      </c>
      <c r="DB125" s="302">
        <v>0</v>
      </c>
      <c r="DC125" s="302">
        <v>0</v>
      </c>
      <c r="DD125" s="302">
        <v>0</v>
      </c>
      <c r="DE125" s="302">
        <v>0</v>
      </c>
      <c r="DF125" s="302">
        <v>0</v>
      </c>
      <c r="DG125" s="302">
        <v>0</v>
      </c>
      <c r="DH125" s="302">
        <v>0</v>
      </c>
      <c r="DI125" s="302">
        <v>0</v>
      </c>
    </row>
    <row r="126" spans="30:113">
      <c r="AD126" s="304" t="s">
        <v>726</v>
      </c>
      <c r="AE126" s="305">
        <v>0</v>
      </c>
      <c r="AF126" s="305">
        <v>0</v>
      </c>
      <c r="AG126" s="305">
        <v>0</v>
      </c>
      <c r="AH126" s="305">
        <v>0</v>
      </c>
      <c r="AI126" s="305">
        <v>0</v>
      </c>
      <c r="AJ126" s="305">
        <v>0</v>
      </c>
      <c r="AK126" s="305">
        <v>0</v>
      </c>
      <c r="AL126" s="305">
        <v>82.091627997489695</v>
      </c>
      <c r="AM126" s="305">
        <v>0</v>
      </c>
      <c r="AN126" s="305">
        <v>0</v>
      </c>
      <c r="AO126" s="305">
        <v>0</v>
      </c>
      <c r="AP126" s="305">
        <v>0</v>
      </c>
      <c r="AQ126" s="305">
        <v>0</v>
      </c>
      <c r="AR126" s="305">
        <v>0</v>
      </c>
      <c r="AS126" s="305">
        <v>0</v>
      </c>
      <c r="AT126" s="305">
        <v>0</v>
      </c>
      <c r="AU126" s="305">
        <v>0</v>
      </c>
      <c r="AV126" s="305">
        <v>0</v>
      </c>
      <c r="AW126" s="305">
        <v>0</v>
      </c>
      <c r="AX126" s="305">
        <v>0</v>
      </c>
      <c r="AY126" s="305">
        <v>0</v>
      </c>
      <c r="AZ126" s="305">
        <v>0</v>
      </c>
      <c r="BA126" s="305">
        <v>0</v>
      </c>
      <c r="BB126" s="305">
        <v>0</v>
      </c>
      <c r="BC126" s="305">
        <v>0</v>
      </c>
      <c r="BD126" s="305">
        <v>0</v>
      </c>
      <c r="BE126" s="305">
        <v>0</v>
      </c>
      <c r="BF126" s="305">
        <v>0</v>
      </c>
      <c r="BG126" s="305">
        <v>0</v>
      </c>
      <c r="BH126" s="305">
        <v>0</v>
      </c>
      <c r="BI126" s="305">
        <v>0</v>
      </c>
      <c r="BJ126" s="305">
        <v>0</v>
      </c>
      <c r="BK126" s="305">
        <v>0</v>
      </c>
      <c r="BL126" s="305">
        <v>0</v>
      </c>
      <c r="BM126" s="305">
        <v>0</v>
      </c>
      <c r="BN126" s="305">
        <v>0</v>
      </c>
      <c r="BO126" s="305">
        <v>0</v>
      </c>
      <c r="BP126" s="305">
        <v>0</v>
      </c>
      <c r="BQ126" s="305">
        <v>0</v>
      </c>
      <c r="BR126" s="305">
        <v>0</v>
      </c>
      <c r="BU126" s="304" t="s">
        <v>726</v>
      </c>
      <c r="BV126" s="302">
        <v>0</v>
      </c>
      <c r="BW126" s="302">
        <v>0</v>
      </c>
      <c r="BX126" s="302">
        <v>0</v>
      </c>
      <c r="BY126" s="302">
        <v>0</v>
      </c>
      <c r="BZ126" s="302">
        <v>0</v>
      </c>
      <c r="CA126" s="302">
        <v>0</v>
      </c>
      <c r="CB126" s="302">
        <v>0</v>
      </c>
      <c r="CC126" s="302">
        <v>0</v>
      </c>
      <c r="CD126" s="302">
        <v>0</v>
      </c>
      <c r="CE126" s="302">
        <v>0</v>
      </c>
      <c r="CF126" s="302">
        <v>0</v>
      </c>
      <c r="CG126" s="302">
        <v>0</v>
      </c>
      <c r="CH126" s="302">
        <v>0</v>
      </c>
      <c r="CI126" s="302">
        <v>0</v>
      </c>
      <c r="CJ126" s="302">
        <v>0</v>
      </c>
      <c r="CK126" s="302">
        <v>0</v>
      </c>
      <c r="CL126" s="302">
        <v>0</v>
      </c>
      <c r="CM126" s="302">
        <v>0</v>
      </c>
      <c r="CN126" s="302">
        <v>0</v>
      </c>
      <c r="CO126" s="302">
        <v>0</v>
      </c>
      <c r="CP126" s="302">
        <v>0</v>
      </c>
      <c r="CQ126" s="302">
        <v>0</v>
      </c>
      <c r="CR126" s="302">
        <v>0</v>
      </c>
      <c r="CS126" s="302">
        <v>0</v>
      </c>
      <c r="CT126" s="302">
        <v>0</v>
      </c>
      <c r="CU126" s="302">
        <v>0</v>
      </c>
      <c r="CV126" s="302">
        <v>0</v>
      </c>
      <c r="CW126" s="302">
        <v>0</v>
      </c>
      <c r="CX126" s="302">
        <v>0</v>
      </c>
      <c r="CY126" s="302">
        <v>0</v>
      </c>
      <c r="CZ126" s="302">
        <v>0</v>
      </c>
      <c r="DA126" s="302">
        <v>0</v>
      </c>
      <c r="DB126" s="302">
        <v>0</v>
      </c>
      <c r="DC126" s="302">
        <v>0</v>
      </c>
      <c r="DD126" s="302">
        <v>0</v>
      </c>
      <c r="DE126" s="302">
        <v>0</v>
      </c>
      <c r="DF126" s="302">
        <v>0</v>
      </c>
      <c r="DG126" s="302">
        <v>0</v>
      </c>
      <c r="DH126" s="302">
        <v>0</v>
      </c>
      <c r="DI126" s="302">
        <v>0</v>
      </c>
    </row>
    <row r="127" spans="30:113">
      <c r="AD127" s="304" t="s">
        <v>762</v>
      </c>
      <c r="AE127" s="305">
        <v>0</v>
      </c>
      <c r="AF127" s="305">
        <v>0</v>
      </c>
      <c r="AG127" s="305">
        <v>0</v>
      </c>
      <c r="AH127" s="305">
        <v>0</v>
      </c>
      <c r="AI127" s="305">
        <v>0</v>
      </c>
      <c r="AJ127" s="305">
        <v>0</v>
      </c>
      <c r="AK127" s="305">
        <v>0</v>
      </c>
      <c r="AL127" s="305">
        <v>0</v>
      </c>
      <c r="AM127" s="305">
        <v>0</v>
      </c>
      <c r="AN127" s="305">
        <v>0</v>
      </c>
      <c r="AO127" s="305">
        <v>0</v>
      </c>
      <c r="AP127" s="305">
        <v>0</v>
      </c>
      <c r="AQ127" s="305">
        <v>0</v>
      </c>
      <c r="AR127" s="305">
        <v>0</v>
      </c>
      <c r="AS127" s="305">
        <v>0</v>
      </c>
      <c r="AT127" s="305">
        <v>0</v>
      </c>
      <c r="AU127" s="305">
        <v>0</v>
      </c>
      <c r="AV127" s="305">
        <v>0</v>
      </c>
      <c r="AW127" s="305">
        <v>0</v>
      </c>
      <c r="AX127" s="305">
        <v>0</v>
      </c>
      <c r="AY127" s="305">
        <v>0</v>
      </c>
      <c r="AZ127" s="305">
        <v>0</v>
      </c>
      <c r="BA127" s="305">
        <v>0</v>
      </c>
      <c r="BB127" s="305">
        <v>0</v>
      </c>
      <c r="BC127" s="305">
        <v>0</v>
      </c>
      <c r="BD127" s="305">
        <v>0</v>
      </c>
      <c r="BE127" s="305">
        <v>0</v>
      </c>
      <c r="BF127" s="305">
        <v>0</v>
      </c>
      <c r="BG127" s="305">
        <v>0</v>
      </c>
      <c r="BH127" s="305">
        <v>0</v>
      </c>
      <c r="BI127" s="305">
        <v>0</v>
      </c>
      <c r="BJ127" s="305">
        <v>0</v>
      </c>
      <c r="BK127" s="305">
        <v>0</v>
      </c>
      <c r="BL127" s="305">
        <v>0</v>
      </c>
      <c r="BM127" s="305">
        <v>0</v>
      </c>
      <c r="BN127" s="305">
        <v>0</v>
      </c>
      <c r="BO127" s="305">
        <v>0</v>
      </c>
      <c r="BP127" s="305">
        <v>0</v>
      </c>
      <c r="BQ127" s="305">
        <v>0</v>
      </c>
      <c r="BR127" s="305">
        <v>0</v>
      </c>
      <c r="BU127" s="304" t="s">
        <v>762</v>
      </c>
      <c r="BV127" s="302">
        <v>0</v>
      </c>
      <c r="BW127" s="302">
        <v>0</v>
      </c>
      <c r="BX127" s="302">
        <v>0</v>
      </c>
      <c r="BY127" s="302">
        <v>0</v>
      </c>
      <c r="BZ127" s="302">
        <v>0</v>
      </c>
      <c r="CA127" s="302">
        <v>0</v>
      </c>
      <c r="CB127" s="302">
        <v>0</v>
      </c>
      <c r="CC127" s="302">
        <v>0</v>
      </c>
      <c r="CD127" s="302">
        <v>0</v>
      </c>
      <c r="CE127" s="302">
        <v>0</v>
      </c>
      <c r="CF127" s="302">
        <v>0</v>
      </c>
      <c r="CG127" s="302">
        <v>0</v>
      </c>
      <c r="CH127" s="302">
        <v>0</v>
      </c>
      <c r="CI127" s="302">
        <v>0</v>
      </c>
      <c r="CJ127" s="302">
        <v>0</v>
      </c>
      <c r="CK127" s="302">
        <v>0</v>
      </c>
      <c r="CL127" s="302">
        <v>0</v>
      </c>
      <c r="CM127" s="302">
        <v>0</v>
      </c>
      <c r="CN127" s="302">
        <v>0</v>
      </c>
      <c r="CO127" s="302">
        <v>0</v>
      </c>
      <c r="CP127" s="302">
        <v>0</v>
      </c>
      <c r="CQ127" s="302">
        <v>0</v>
      </c>
      <c r="CR127" s="302">
        <v>0</v>
      </c>
      <c r="CS127" s="302">
        <v>0</v>
      </c>
      <c r="CT127" s="302">
        <v>0</v>
      </c>
      <c r="CU127" s="302">
        <v>0</v>
      </c>
      <c r="CV127" s="302">
        <v>0</v>
      </c>
      <c r="CW127" s="302">
        <v>0</v>
      </c>
      <c r="CX127" s="302">
        <v>0</v>
      </c>
      <c r="CY127" s="302">
        <v>0</v>
      </c>
      <c r="CZ127" s="302">
        <v>0</v>
      </c>
      <c r="DA127" s="302">
        <v>0</v>
      </c>
      <c r="DB127" s="302">
        <v>0</v>
      </c>
      <c r="DC127" s="302">
        <v>0</v>
      </c>
      <c r="DD127" s="302">
        <v>0</v>
      </c>
      <c r="DE127" s="302">
        <v>0</v>
      </c>
      <c r="DF127" s="302">
        <v>0</v>
      </c>
      <c r="DG127" s="302">
        <v>0</v>
      </c>
      <c r="DH127" s="302">
        <v>0</v>
      </c>
      <c r="DI127" s="302">
        <v>0</v>
      </c>
    </row>
    <row r="128" spans="30:113">
      <c r="AD128" s="304" t="s">
        <v>727</v>
      </c>
      <c r="AE128" s="305">
        <v>0</v>
      </c>
      <c r="AF128" s="305">
        <v>0</v>
      </c>
      <c r="AG128" s="305">
        <v>0</v>
      </c>
      <c r="AH128" s="305">
        <v>43.206119998678503</v>
      </c>
      <c r="AI128" s="305">
        <v>0</v>
      </c>
      <c r="AJ128" s="305">
        <v>0</v>
      </c>
      <c r="AK128" s="305">
        <v>0</v>
      </c>
      <c r="AL128" s="305">
        <v>0</v>
      </c>
      <c r="AM128" s="305">
        <v>0</v>
      </c>
      <c r="AN128" s="305">
        <v>0</v>
      </c>
      <c r="AO128" s="305">
        <v>0</v>
      </c>
      <c r="AP128" s="305">
        <v>0</v>
      </c>
      <c r="AQ128" s="305">
        <v>0</v>
      </c>
      <c r="AR128" s="305">
        <v>0</v>
      </c>
      <c r="AS128" s="305">
        <v>0</v>
      </c>
      <c r="AT128" s="305">
        <v>0</v>
      </c>
      <c r="AU128" s="305">
        <v>0</v>
      </c>
      <c r="AV128" s="305">
        <v>0</v>
      </c>
      <c r="AW128" s="305">
        <v>0</v>
      </c>
      <c r="AX128" s="305">
        <v>0</v>
      </c>
      <c r="AY128" s="305">
        <v>0</v>
      </c>
      <c r="AZ128" s="305">
        <v>0</v>
      </c>
      <c r="BA128" s="305">
        <v>0</v>
      </c>
      <c r="BB128" s="305">
        <v>0</v>
      </c>
      <c r="BC128" s="305">
        <v>0</v>
      </c>
      <c r="BD128" s="305">
        <v>0</v>
      </c>
      <c r="BE128" s="305">
        <v>0</v>
      </c>
      <c r="BF128" s="305">
        <v>0</v>
      </c>
      <c r="BG128" s="305">
        <v>0</v>
      </c>
      <c r="BH128" s="305">
        <v>0</v>
      </c>
      <c r="BI128" s="305">
        <v>0</v>
      </c>
      <c r="BJ128" s="305">
        <v>0</v>
      </c>
      <c r="BK128" s="305">
        <v>0</v>
      </c>
      <c r="BL128" s="305">
        <v>0</v>
      </c>
      <c r="BM128" s="305">
        <v>0</v>
      </c>
      <c r="BN128" s="305">
        <v>0</v>
      </c>
      <c r="BO128" s="305">
        <v>0</v>
      </c>
      <c r="BP128" s="305">
        <v>0</v>
      </c>
      <c r="BQ128" s="305">
        <v>0</v>
      </c>
      <c r="BR128" s="305">
        <v>0</v>
      </c>
      <c r="BU128" s="304" t="s">
        <v>727</v>
      </c>
      <c r="BV128" s="302">
        <v>0</v>
      </c>
      <c r="BW128" s="302">
        <v>0</v>
      </c>
      <c r="BX128" s="302">
        <v>0</v>
      </c>
      <c r="BY128" s="302">
        <v>0</v>
      </c>
      <c r="BZ128" s="302">
        <v>0</v>
      </c>
      <c r="CA128" s="302">
        <v>0</v>
      </c>
      <c r="CB128" s="302">
        <v>0</v>
      </c>
      <c r="CC128" s="302">
        <v>0</v>
      </c>
      <c r="CD128" s="302">
        <v>0</v>
      </c>
      <c r="CE128" s="302">
        <v>0</v>
      </c>
      <c r="CF128" s="302">
        <v>0</v>
      </c>
      <c r="CG128" s="302">
        <v>0</v>
      </c>
      <c r="CH128" s="302">
        <v>0</v>
      </c>
      <c r="CI128" s="302">
        <v>0</v>
      </c>
      <c r="CJ128" s="302">
        <v>0</v>
      </c>
      <c r="CK128" s="302">
        <v>0</v>
      </c>
      <c r="CL128" s="302">
        <v>0</v>
      </c>
      <c r="CM128" s="302">
        <v>0</v>
      </c>
      <c r="CN128" s="302">
        <v>0</v>
      </c>
      <c r="CO128" s="302">
        <v>0</v>
      </c>
      <c r="CP128" s="302">
        <v>0</v>
      </c>
      <c r="CQ128" s="302">
        <v>0</v>
      </c>
      <c r="CR128" s="302">
        <v>0</v>
      </c>
      <c r="CS128" s="302">
        <v>0</v>
      </c>
      <c r="CT128" s="302">
        <v>0</v>
      </c>
      <c r="CU128" s="302">
        <v>0</v>
      </c>
      <c r="CV128" s="302">
        <v>0</v>
      </c>
      <c r="CW128" s="302">
        <v>0</v>
      </c>
      <c r="CX128" s="302">
        <v>0</v>
      </c>
      <c r="CY128" s="302">
        <v>0</v>
      </c>
      <c r="CZ128" s="302">
        <v>0</v>
      </c>
      <c r="DA128" s="302">
        <v>0</v>
      </c>
      <c r="DB128" s="302">
        <v>0</v>
      </c>
      <c r="DC128" s="302">
        <v>0</v>
      </c>
      <c r="DD128" s="302">
        <v>0</v>
      </c>
      <c r="DE128" s="302">
        <v>0</v>
      </c>
      <c r="DF128" s="302">
        <v>0</v>
      </c>
      <c r="DG128" s="302">
        <v>0</v>
      </c>
      <c r="DH128" s="302">
        <v>0</v>
      </c>
      <c r="DI128" s="302">
        <v>0</v>
      </c>
    </row>
    <row r="129" spans="1:113">
      <c r="AD129" s="304" t="s">
        <v>728</v>
      </c>
      <c r="AE129" s="305">
        <v>0</v>
      </c>
      <c r="AF129" s="305">
        <v>0</v>
      </c>
      <c r="AG129" s="305">
        <v>0</v>
      </c>
      <c r="AH129" s="305">
        <v>0</v>
      </c>
      <c r="AI129" s="305">
        <v>0</v>
      </c>
      <c r="AJ129" s="305">
        <v>0</v>
      </c>
      <c r="AK129" s="305">
        <v>0</v>
      </c>
      <c r="AL129" s="305">
        <v>0</v>
      </c>
      <c r="AM129" s="305">
        <v>43.206119998678503</v>
      </c>
      <c r="AN129" s="305">
        <v>0</v>
      </c>
      <c r="AO129" s="305">
        <v>0</v>
      </c>
      <c r="AP129" s="305">
        <v>0</v>
      </c>
      <c r="AQ129" s="305">
        <v>0</v>
      </c>
      <c r="AR129" s="305">
        <v>0</v>
      </c>
      <c r="AS129" s="305">
        <v>0</v>
      </c>
      <c r="AT129" s="305">
        <v>0</v>
      </c>
      <c r="AU129" s="305">
        <v>0</v>
      </c>
      <c r="AV129" s="305">
        <v>0</v>
      </c>
      <c r="AW129" s="305">
        <v>0</v>
      </c>
      <c r="AX129" s="305">
        <v>0</v>
      </c>
      <c r="AY129" s="305">
        <v>0</v>
      </c>
      <c r="AZ129" s="305">
        <v>0</v>
      </c>
      <c r="BA129" s="305">
        <v>0</v>
      </c>
      <c r="BB129" s="305">
        <v>0</v>
      </c>
      <c r="BC129" s="305">
        <v>0</v>
      </c>
      <c r="BD129" s="305">
        <v>0</v>
      </c>
      <c r="BE129" s="305">
        <v>0</v>
      </c>
      <c r="BF129" s="305">
        <v>0</v>
      </c>
      <c r="BG129" s="305">
        <v>0</v>
      </c>
      <c r="BH129" s="305">
        <v>0</v>
      </c>
      <c r="BI129" s="305">
        <v>0</v>
      </c>
      <c r="BJ129" s="305">
        <v>0</v>
      </c>
      <c r="BK129" s="305">
        <v>0</v>
      </c>
      <c r="BL129" s="305">
        <v>0</v>
      </c>
      <c r="BM129" s="305">
        <v>0</v>
      </c>
      <c r="BN129" s="305">
        <v>0</v>
      </c>
      <c r="BO129" s="305">
        <v>0</v>
      </c>
      <c r="BP129" s="305">
        <v>0</v>
      </c>
      <c r="BQ129" s="305">
        <v>0</v>
      </c>
      <c r="BR129" s="305">
        <v>0</v>
      </c>
      <c r="BU129" s="304" t="s">
        <v>728</v>
      </c>
      <c r="BV129" s="302">
        <v>0</v>
      </c>
      <c r="BW129" s="302">
        <v>0</v>
      </c>
      <c r="BX129" s="302">
        <v>0</v>
      </c>
      <c r="BY129" s="302">
        <v>0</v>
      </c>
      <c r="BZ129" s="302">
        <v>0</v>
      </c>
      <c r="CA129" s="302">
        <v>0</v>
      </c>
      <c r="CB129" s="302">
        <v>0</v>
      </c>
      <c r="CC129" s="302">
        <v>0</v>
      </c>
      <c r="CD129" s="302">
        <v>0</v>
      </c>
      <c r="CE129" s="302">
        <v>0</v>
      </c>
      <c r="CF129" s="302">
        <v>0</v>
      </c>
      <c r="CG129" s="302">
        <v>0</v>
      </c>
      <c r="CH129" s="302">
        <v>0</v>
      </c>
      <c r="CI129" s="302">
        <v>0</v>
      </c>
      <c r="CJ129" s="302">
        <v>0</v>
      </c>
      <c r="CK129" s="302">
        <v>0</v>
      </c>
      <c r="CL129" s="302">
        <v>0</v>
      </c>
      <c r="CM129" s="302">
        <v>0</v>
      </c>
      <c r="CN129" s="302">
        <v>0</v>
      </c>
      <c r="CO129" s="302">
        <v>0</v>
      </c>
      <c r="CP129" s="302">
        <v>0</v>
      </c>
      <c r="CQ129" s="302">
        <v>0</v>
      </c>
      <c r="CR129" s="302">
        <v>0</v>
      </c>
      <c r="CS129" s="302">
        <v>0</v>
      </c>
      <c r="CT129" s="302">
        <v>0</v>
      </c>
      <c r="CU129" s="302">
        <v>0</v>
      </c>
      <c r="CV129" s="302">
        <v>0</v>
      </c>
      <c r="CW129" s="302">
        <v>0</v>
      </c>
      <c r="CX129" s="302">
        <v>0</v>
      </c>
      <c r="CY129" s="302">
        <v>0</v>
      </c>
      <c r="CZ129" s="302">
        <v>0</v>
      </c>
      <c r="DA129" s="302">
        <v>0</v>
      </c>
      <c r="DB129" s="302">
        <v>0</v>
      </c>
      <c r="DC129" s="302">
        <v>0</v>
      </c>
      <c r="DD129" s="302">
        <v>0</v>
      </c>
      <c r="DE129" s="302">
        <v>0</v>
      </c>
      <c r="DF129" s="302">
        <v>0</v>
      </c>
      <c r="DG129" s="302">
        <v>0</v>
      </c>
      <c r="DH129" s="302">
        <v>0</v>
      </c>
      <c r="DI129" s="302">
        <v>0</v>
      </c>
    </row>
    <row r="130" spans="1:113">
      <c r="AD130" s="304"/>
      <c r="AE130" s="390" t="s">
        <v>698</v>
      </c>
      <c r="AF130" s="402"/>
      <c r="AG130" s="402"/>
      <c r="AH130" s="402"/>
      <c r="AI130" s="402"/>
      <c r="AJ130" s="402"/>
      <c r="AK130" s="402"/>
      <c r="AL130" s="402"/>
      <c r="AM130" s="402"/>
      <c r="AN130" s="402"/>
      <c r="AO130" s="402"/>
      <c r="AP130" s="402"/>
      <c r="AQ130" s="402"/>
      <c r="AR130" s="402"/>
      <c r="AS130" s="402"/>
      <c r="AT130" s="402"/>
      <c r="AU130" s="402"/>
      <c r="AV130" s="402"/>
      <c r="AW130" s="402"/>
      <c r="AX130" s="402"/>
      <c r="AY130" s="402"/>
      <c r="AZ130" s="402"/>
      <c r="BA130" s="402"/>
      <c r="BB130" s="402"/>
      <c r="BC130" s="402"/>
      <c r="BD130" s="402"/>
      <c r="BE130" s="402"/>
      <c r="BF130" s="402"/>
      <c r="BG130" s="402"/>
      <c r="BH130" s="402"/>
      <c r="BI130" s="402"/>
      <c r="BJ130" s="402"/>
      <c r="BK130" s="402"/>
      <c r="BL130" s="402"/>
      <c r="BM130" s="402"/>
      <c r="BN130" s="402"/>
      <c r="BO130" s="402"/>
      <c r="BP130" s="402"/>
      <c r="BQ130" s="402"/>
      <c r="BR130" s="402"/>
      <c r="BU130" s="304"/>
      <c r="BV130" s="390" t="s">
        <v>702</v>
      </c>
      <c r="BW130" s="402"/>
      <c r="BX130" s="402"/>
      <c r="BY130" s="402"/>
      <c r="BZ130" s="402"/>
      <c r="CA130" s="402"/>
      <c r="CB130" s="402"/>
      <c r="CC130" s="402"/>
      <c r="CD130" s="402"/>
      <c r="CE130" s="402"/>
      <c r="CF130" s="402"/>
      <c r="CG130" s="402"/>
      <c r="CH130" s="402"/>
      <c r="CI130" s="402"/>
      <c r="CJ130" s="402"/>
      <c r="CK130" s="402"/>
      <c r="CL130" s="402"/>
      <c r="CM130" s="402"/>
      <c r="CN130" s="402"/>
      <c r="CO130" s="402"/>
      <c r="CP130" s="402"/>
      <c r="CQ130" s="402"/>
      <c r="CR130" s="402"/>
      <c r="CS130" s="402"/>
      <c r="CT130" s="402"/>
      <c r="CU130" s="402"/>
      <c r="CV130" s="402"/>
      <c r="CW130" s="402"/>
      <c r="CX130" s="402"/>
      <c r="CY130" s="402"/>
      <c r="CZ130" s="402"/>
      <c r="DA130" s="402"/>
      <c r="DB130" s="402"/>
      <c r="DC130" s="402"/>
      <c r="DD130" s="402"/>
      <c r="DE130" s="402"/>
      <c r="DF130" s="402"/>
      <c r="DG130" s="402"/>
      <c r="DH130" s="402"/>
      <c r="DI130" s="402"/>
    </row>
    <row r="133" spans="1:113" ht="179.4">
      <c r="A133" s="303" t="s">
        <v>641</v>
      </c>
      <c r="B133" s="234" t="s">
        <v>708</v>
      </c>
      <c r="C133" s="234" t="s">
        <v>709</v>
      </c>
      <c r="D133" s="234" t="s">
        <v>710</v>
      </c>
      <c r="E133" s="234" t="s">
        <v>711</v>
      </c>
      <c r="F133" s="234" t="s">
        <v>656</v>
      </c>
      <c r="G133" s="234" t="s">
        <v>657</v>
      </c>
      <c r="H133" s="234" t="s">
        <v>658</v>
      </c>
      <c r="I133" s="234" t="s">
        <v>712</v>
      </c>
      <c r="J133" s="234" t="s">
        <v>713</v>
      </c>
      <c r="K133" s="234" t="s">
        <v>670</v>
      </c>
      <c r="L133" s="234" t="s">
        <v>671</v>
      </c>
      <c r="M133" s="234" t="s">
        <v>714</v>
      </c>
      <c r="N133" s="234" t="s">
        <v>715</v>
      </c>
      <c r="O133" s="234" t="s">
        <v>716</v>
      </c>
      <c r="P133" s="234" t="s">
        <v>717</v>
      </c>
      <c r="Q133" s="234" t="s">
        <v>718</v>
      </c>
      <c r="R133" s="234" t="s">
        <v>719</v>
      </c>
      <c r="S133" s="234" t="s">
        <v>720</v>
      </c>
      <c r="T133" s="234" t="s">
        <v>721</v>
      </c>
      <c r="U133" s="234" t="s">
        <v>722</v>
      </c>
      <c r="V133" s="234" t="s">
        <v>723</v>
      </c>
      <c r="W133" s="234" t="s">
        <v>724</v>
      </c>
      <c r="X133" s="234" t="s">
        <v>725</v>
      </c>
      <c r="Y133" s="234" t="s">
        <v>726</v>
      </c>
      <c r="Z133" s="234" t="s">
        <v>727</v>
      </c>
      <c r="AA133" s="234" t="s">
        <v>728</v>
      </c>
    </row>
    <row r="134" spans="1:113">
      <c r="A134" s="304" t="s">
        <v>749</v>
      </c>
      <c r="B134" s="305">
        <v>0</v>
      </c>
      <c r="C134" s="305">
        <v>0</v>
      </c>
      <c r="D134" s="305">
        <v>0</v>
      </c>
      <c r="E134" s="305">
        <v>0</v>
      </c>
      <c r="F134" s="305">
        <v>0</v>
      </c>
      <c r="G134" s="305">
        <v>0</v>
      </c>
      <c r="H134" s="305">
        <v>0</v>
      </c>
      <c r="I134" s="305">
        <v>0</v>
      </c>
      <c r="J134" s="305">
        <v>0</v>
      </c>
      <c r="K134" s="305">
        <v>0</v>
      </c>
      <c r="L134" s="305">
        <v>0</v>
      </c>
      <c r="M134" s="305">
        <v>0</v>
      </c>
      <c r="N134" s="305">
        <v>0</v>
      </c>
      <c r="O134" s="305">
        <v>0</v>
      </c>
      <c r="P134" s="305">
        <v>0</v>
      </c>
      <c r="Q134" s="305">
        <v>0</v>
      </c>
      <c r="R134" s="305">
        <v>0</v>
      </c>
      <c r="S134" s="305">
        <v>0</v>
      </c>
      <c r="T134" s="305">
        <v>16030.243919636299</v>
      </c>
      <c r="U134" s="305">
        <v>0</v>
      </c>
      <c r="V134" s="305">
        <v>0</v>
      </c>
      <c r="W134" s="305">
        <v>0</v>
      </c>
      <c r="X134" s="305">
        <v>0</v>
      </c>
      <c r="Y134" s="305">
        <v>0</v>
      </c>
      <c r="Z134" s="305">
        <v>0</v>
      </c>
      <c r="AA134" s="305">
        <v>0</v>
      </c>
    </row>
    <row r="135" spans="1:113">
      <c r="A135" s="304" t="s">
        <v>750</v>
      </c>
      <c r="B135" s="305">
        <v>0</v>
      </c>
      <c r="C135" s="305">
        <v>0</v>
      </c>
      <c r="D135" s="305">
        <v>0</v>
      </c>
      <c r="E135" s="305">
        <v>0</v>
      </c>
      <c r="F135" s="305">
        <v>0</v>
      </c>
      <c r="G135" s="305">
        <v>0</v>
      </c>
      <c r="H135" s="305">
        <v>0</v>
      </c>
      <c r="I135" s="305">
        <v>0</v>
      </c>
      <c r="J135" s="305">
        <v>0</v>
      </c>
      <c r="K135" s="305">
        <v>0</v>
      </c>
      <c r="L135" s="305">
        <v>0</v>
      </c>
      <c r="M135" s="305">
        <v>0</v>
      </c>
      <c r="N135" s="305">
        <v>0</v>
      </c>
      <c r="O135" s="305">
        <v>0</v>
      </c>
      <c r="P135" s="305">
        <v>0</v>
      </c>
      <c r="Q135" s="305">
        <v>0</v>
      </c>
      <c r="R135" s="305">
        <v>3202004.12978845</v>
      </c>
      <c r="S135" s="305">
        <v>0</v>
      </c>
      <c r="T135" s="305">
        <v>0</v>
      </c>
      <c r="U135" s="305">
        <v>0</v>
      </c>
      <c r="V135" s="305">
        <v>0</v>
      </c>
      <c r="W135" s="305">
        <v>0</v>
      </c>
      <c r="X135" s="305">
        <v>0</v>
      </c>
      <c r="Y135" s="305">
        <v>0</v>
      </c>
      <c r="Z135" s="305">
        <v>0</v>
      </c>
      <c r="AA135" s="305">
        <v>0</v>
      </c>
    </row>
    <row r="136" spans="1:113">
      <c r="A136" s="304" t="s">
        <v>751</v>
      </c>
      <c r="B136" s="305">
        <v>0</v>
      </c>
      <c r="C136" s="305">
        <v>0</v>
      </c>
      <c r="D136" s="305">
        <v>0</v>
      </c>
      <c r="E136" s="305">
        <v>0</v>
      </c>
      <c r="F136" s="305">
        <v>0</v>
      </c>
      <c r="G136" s="305">
        <v>0</v>
      </c>
      <c r="H136" s="305">
        <v>0</v>
      </c>
      <c r="I136" s="305">
        <v>0</v>
      </c>
      <c r="J136" s="305">
        <v>0</v>
      </c>
      <c r="K136" s="305">
        <v>0</v>
      </c>
      <c r="L136" s="305">
        <v>0</v>
      </c>
      <c r="M136" s="305">
        <v>0</v>
      </c>
      <c r="N136" s="305">
        <v>0</v>
      </c>
      <c r="O136" s="305">
        <v>0</v>
      </c>
      <c r="P136" s="305">
        <v>0</v>
      </c>
      <c r="Q136" s="305">
        <v>0</v>
      </c>
      <c r="R136" s="305">
        <v>0</v>
      </c>
      <c r="S136" s="305">
        <v>0</v>
      </c>
      <c r="T136" s="305">
        <v>5653.4469866310001</v>
      </c>
      <c r="U136" s="305">
        <v>0</v>
      </c>
      <c r="V136" s="305">
        <v>0</v>
      </c>
      <c r="W136" s="305">
        <v>0</v>
      </c>
      <c r="X136" s="305">
        <v>0</v>
      </c>
      <c r="Y136" s="305">
        <v>0</v>
      </c>
      <c r="Z136" s="305">
        <v>0</v>
      </c>
      <c r="AA136" s="305">
        <v>0</v>
      </c>
    </row>
    <row r="137" spans="1:113">
      <c r="A137" s="304" t="s">
        <v>752</v>
      </c>
      <c r="B137" s="305">
        <v>0</v>
      </c>
      <c r="C137" s="305">
        <v>0</v>
      </c>
      <c r="D137" s="305">
        <v>0</v>
      </c>
      <c r="E137" s="305">
        <v>0</v>
      </c>
      <c r="F137" s="305">
        <v>1032997.83916021</v>
      </c>
      <c r="G137" s="305">
        <v>0</v>
      </c>
      <c r="H137" s="305">
        <v>0</v>
      </c>
      <c r="I137" s="305">
        <v>0</v>
      </c>
      <c r="J137" s="305">
        <v>0</v>
      </c>
      <c r="K137" s="305">
        <v>0</v>
      </c>
      <c r="L137" s="305">
        <v>0</v>
      </c>
      <c r="M137" s="305">
        <v>0</v>
      </c>
      <c r="N137" s="305">
        <v>0</v>
      </c>
      <c r="O137" s="305">
        <v>0</v>
      </c>
      <c r="P137" s="305">
        <v>0</v>
      </c>
      <c r="Q137" s="305">
        <v>0</v>
      </c>
      <c r="R137" s="305">
        <v>0</v>
      </c>
      <c r="S137" s="305">
        <v>0</v>
      </c>
      <c r="T137" s="305">
        <v>0</v>
      </c>
      <c r="U137" s="305">
        <v>0</v>
      </c>
      <c r="V137" s="305">
        <v>0</v>
      </c>
      <c r="W137" s="305">
        <v>0</v>
      </c>
      <c r="X137" s="305">
        <v>0</v>
      </c>
      <c r="Y137" s="305">
        <v>0</v>
      </c>
      <c r="Z137" s="305">
        <v>0</v>
      </c>
      <c r="AA137" s="305">
        <v>0</v>
      </c>
    </row>
    <row r="138" spans="1:113">
      <c r="A138" s="304" t="s">
        <v>753</v>
      </c>
      <c r="B138" s="305">
        <v>0</v>
      </c>
      <c r="C138" s="305">
        <v>0</v>
      </c>
      <c r="D138" s="305">
        <v>0</v>
      </c>
      <c r="E138" s="305">
        <v>0</v>
      </c>
      <c r="F138" s="305">
        <v>0</v>
      </c>
      <c r="G138" s="305">
        <v>0</v>
      </c>
      <c r="H138" s="305">
        <v>0</v>
      </c>
      <c r="I138" s="305">
        <v>4830.4442158522497</v>
      </c>
      <c r="J138" s="305">
        <v>0</v>
      </c>
      <c r="K138" s="305">
        <v>0</v>
      </c>
      <c r="L138" s="305">
        <v>0</v>
      </c>
      <c r="M138" s="305">
        <v>0</v>
      </c>
      <c r="N138" s="305">
        <v>0</v>
      </c>
      <c r="O138" s="305">
        <v>0</v>
      </c>
      <c r="P138" s="305">
        <v>0</v>
      </c>
      <c r="Q138" s="305">
        <v>0</v>
      </c>
      <c r="R138" s="305">
        <v>0</v>
      </c>
      <c r="S138" s="305">
        <v>0</v>
      </c>
      <c r="T138" s="305">
        <v>0</v>
      </c>
      <c r="U138" s="305">
        <v>0</v>
      </c>
      <c r="V138" s="305">
        <v>0</v>
      </c>
      <c r="W138" s="305">
        <v>0</v>
      </c>
      <c r="X138" s="305">
        <v>0</v>
      </c>
      <c r="Y138" s="305">
        <v>0</v>
      </c>
      <c r="Z138" s="305">
        <v>0</v>
      </c>
      <c r="AA138" s="305">
        <v>0</v>
      </c>
    </row>
    <row r="139" spans="1:113">
      <c r="A139" s="304" t="s">
        <v>754</v>
      </c>
      <c r="B139" s="305">
        <v>0</v>
      </c>
      <c r="C139" s="305">
        <v>0</v>
      </c>
      <c r="D139" s="305">
        <v>0</v>
      </c>
      <c r="E139" s="305">
        <v>0</v>
      </c>
      <c r="F139" s="305">
        <v>0</v>
      </c>
      <c r="G139" s="305">
        <v>0</v>
      </c>
      <c r="H139" s="305">
        <v>0</v>
      </c>
      <c r="I139" s="305">
        <v>0</v>
      </c>
      <c r="J139" s="305">
        <v>0</v>
      </c>
      <c r="K139" s="305">
        <v>0</v>
      </c>
      <c r="L139" s="305">
        <v>0</v>
      </c>
      <c r="M139" s="305">
        <v>0</v>
      </c>
      <c r="N139" s="305">
        <v>0</v>
      </c>
      <c r="O139" s="305">
        <v>0</v>
      </c>
      <c r="P139" s="305">
        <v>184686.52821315001</v>
      </c>
      <c r="Q139" s="305">
        <v>0</v>
      </c>
      <c r="R139" s="305">
        <v>0</v>
      </c>
      <c r="S139" s="305">
        <v>0</v>
      </c>
      <c r="T139" s="305">
        <v>0</v>
      </c>
      <c r="U139" s="305">
        <v>0</v>
      </c>
      <c r="V139" s="305">
        <v>0</v>
      </c>
      <c r="W139" s="305">
        <v>0</v>
      </c>
      <c r="X139" s="305">
        <v>0</v>
      </c>
      <c r="Y139" s="305">
        <v>0</v>
      </c>
      <c r="Z139" s="305">
        <v>0</v>
      </c>
      <c r="AA139" s="305">
        <v>0</v>
      </c>
    </row>
    <row r="140" spans="1:113">
      <c r="A140" s="304" t="s">
        <v>755</v>
      </c>
      <c r="B140" s="305">
        <v>0</v>
      </c>
      <c r="C140" s="305">
        <v>0</v>
      </c>
      <c r="D140" s="305">
        <v>0</v>
      </c>
      <c r="E140" s="305">
        <v>0</v>
      </c>
      <c r="F140" s="305">
        <v>0</v>
      </c>
      <c r="G140" s="305">
        <v>0</v>
      </c>
      <c r="H140" s="305">
        <v>0</v>
      </c>
      <c r="I140" s="305">
        <v>0</v>
      </c>
      <c r="J140" s="305">
        <v>0</v>
      </c>
      <c r="K140" s="305">
        <v>0</v>
      </c>
      <c r="L140" s="305">
        <v>0</v>
      </c>
      <c r="M140" s="305">
        <v>0</v>
      </c>
      <c r="N140" s="305">
        <v>0</v>
      </c>
      <c r="O140" s="305">
        <v>0</v>
      </c>
      <c r="P140" s="305">
        <v>0</v>
      </c>
      <c r="Q140" s="305">
        <v>0</v>
      </c>
      <c r="R140" s="305">
        <v>0</v>
      </c>
      <c r="S140" s="305">
        <v>0</v>
      </c>
      <c r="T140" s="305">
        <v>0</v>
      </c>
      <c r="U140" s="305">
        <v>5023.7890204089899</v>
      </c>
      <c r="V140" s="305">
        <v>0</v>
      </c>
      <c r="W140" s="305">
        <v>0</v>
      </c>
      <c r="X140" s="305">
        <v>0</v>
      </c>
      <c r="Y140" s="305">
        <v>0</v>
      </c>
      <c r="Z140" s="305">
        <v>0</v>
      </c>
      <c r="AA140" s="305">
        <v>0</v>
      </c>
    </row>
    <row r="141" spans="1:113">
      <c r="A141" s="304" t="s">
        <v>756</v>
      </c>
      <c r="B141" s="305">
        <v>0</v>
      </c>
      <c r="C141" s="305">
        <v>0</v>
      </c>
      <c r="D141" s="305">
        <v>0</v>
      </c>
      <c r="E141" s="305">
        <v>0</v>
      </c>
      <c r="F141" s="305">
        <v>0</v>
      </c>
      <c r="G141" s="305">
        <v>0</v>
      </c>
      <c r="H141" s="305">
        <v>0</v>
      </c>
      <c r="I141" s="305">
        <v>0</v>
      </c>
      <c r="J141" s="305">
        <v>0</v>
      </c>
      <c r="K141" s="305">
        <v>0</v>
      </c>
      <c r="L141" s="305">
        <v>0</v>
      </c>
      <c r="M141" s="305">
        <v>0</v>
      </c>
      <c r="N141" s="305">
        <v>0</v>
      </c>
      <c r="O141" s="305">
        <v>0</v>
      </c>
      <c r="P141" s="305">
        <v>0</v>
      </c>
      <c r="Q141" s="305">
        <v>0</v>
      </c>
      <c r="R141" s="305">
        <v>0</v>
      </c>
      <c r="S141" s="305">
        <v>0</v>
      </c>
      <c r="T141" s="305">
        <v>0</v>
      </c>
      <c r="U141" s="305">
        <v>0</v>
      </c>
      <c r="V141" s="305">
        <v>0</v>
      </c>
      <c r="W141" s="305">
        <v>0</v>
      </c>
      <c r="X141" s="305">
        <v>82.091627997489695</v>
      </c>
      <c r="Y141" s="305">
        <v>0</v>
      </c>
      <c r="Z141" s="305">
        <v>0</v>
      </c>
      <c r="AA141" s="305">
        <v>0</v>
      </c>
    </row>
    <row r="142" spans="1:113">
      <c r="A142" s="304" t="s">
        <v>757</v>
      </c>
      <c r="B142" s="305">
        <v>0</v>
      </c>
      <c r="C142" s="305">
        <v>0</v>
      </c>
      <c r="D142" s="305">
        <v>0</v>
      </c>
      <c r="E142" s="305">
        <v>0</v>
      </c>
      <c r="F142" s="305">
        <v>0</v>
      </c>
      <c r="G142" s="305">
        <v>0</v>
      </c>
      <c r="H142" s="305">
        <v>0</v>
      </c>
      <c r="I142" s="305">
        <v>0</v>
      </c>
      <c r="J142" s="305">
        <v>0</v>
      </c>
      <c r="K142" s="305">
        <v>0</v>
      </c>
      <c r="L142" s="305">
        <v>0</v>
      </c>
      <c r="M142" s="305">
        <v>0</v>
      </c>
      <c r="N142" s="305">
        <v>0</v>
      </c>
      <c r="O142" s="305">
        <v>0</v>
      </c>
      <c r="P142" s="305">
        <v>0</v>
      </c>
      <c r="Q142" s="305">
        <v>0</v>
      </c>
      <c r="R142" s="305">
        <v>0</v>
      </c>
      <c r="S142" s="305">
        <v>0</v>
      </c>
      <c r="T142" s="305">
        <v>0</v>
      </c>
      <c r="U142" s="305">
        <v>0</v>
      </c>
      <c r="V142" s="305">
        <v>0</v>
      </c>
      <c r="W142" s="305">
        <v>0</v>
      </c>
      <c r="X142" s="305">
        <v>0</v>
      </c>
      <c r="Y142" s="305">
        <v>0</v>
      </c>
      <c r="Z142" s="305">
        <v>43.206119998678503</v>
      </c>
      <c r="AA142" s="305">
        <v>0</v>
      </c>
    </row>
    <row r="143" spans="1:113">
      <c r="A143" s="304" t="s">
        <v>758</v>
      </c>
      <c r="B143" s="305">
        <v>0</v>
      </c>
      <c r="C143" s="305">
        <v>0</v>
      </c>
      <c r="D143" s="305">
        <v>0</v>
      </c>
      <c r="E143" s="305">
        <v>0</v>
      </c>
      <c r="F143" s="305">
        <v>0</v>
      </c>
      <c r="G143" s="305">
        <v>0</v>
      </c>
      <c r="H143" s="305">
        <v>0</v>
      </c>
      <c r="I143" s="305">
        <v>0</v>
      </c>
      <c r="J143" s="305">
        <v>0</v>
      </c>
      <c r="K143" s="305">
        <v>0</v>
      </c>
      <c r="L143" s="305">
        <v>3749358.3680556798</v>
      </c>
      <c r="M143" s="305">
        <v>0</v>
      </c>
      <c r="N143" s="305">
        <v>0</v>
      </c>
      <c r="O143" s="305">
        <v>0</v>
      </c>
      <c r="P143" s="305">
        <v>0</v>
      </c>
      <c r="Q143" s="305">
        <v>0</v>
      </c>
      <c r="R143" s="305">
        <v>0</v>
      </c>
      <c r="S143" s="305">
        <v>0</v>
      </c>
      <c r="T143" s="305">
        <v>0</v>
      </c>
      <c r="U143" s="305">
        <v>0</v>
      </c>
      <c r="V143" s="305">
        <v>0</v>
      </c>
      <c r="W143" s="305">
        <v>0</v>
      </c>
      <c r="X143" s="305">
        <v>0</v>
      </c>
      <c r="Y143" s="305">
        <v>0</v>
      </c>
      <c r="Z143" s="305">
        <v>0</v>
      </c>
      <c r="AA143" s="305">
        <v>0</v>
      </c>
    </row>
    <row r="144" spans="1:113">
      <c r="A144" s="304" t="s">
        <v>759</v>
      </c>
      <c r="B144" s="305">
        <v>0</v>
      </c>
      <c r="C144" s="305">
        <v>0</v>
      </c>
      <c r="D144" s="305">
        <v>0</v>
      </c>
      <c r="E144" s="305">
        <v>0</v>
      </c>
      <c r="F144" s="305">
        <v>60946.554310340602</v>
      </c>
      <c r="G144" s="305">
        <v>0</v>
      </c>
      <c r="H144" s="305">
        <v>0</v>
      </c>
      <c r="I144" s="305">
        <v>0</v>
      </c>
      <c r="J144" s="305">
        <v>0</v>
      </c>
      <c r="K144" s="305">
        <v>0</v>
      </c>
      <c r="L144" s="305">
        <v>0</v>
      </c>
      <c r="M144" s="305">
        <v>0</v>
      </c>
      <c r="N144" s="305">
        <v>0</v>
      </c>
      <c r="O144" s="305">
        <v>0</v>
      </c>
      <c r="P144" s="305">
        <v>0</v>
      </c>
      <c r="Q144" s="305">
        <v>0</v>
      </c>
      <c r="R144" s="305">
        <v>0</v>
      </c>
      <c r="S144" s="305">
        <v>0</v>
      </c>
      <c r="T144" s="305">
        <v>0</v>
      </c>
      <c r="U144" s="305">
        <v>0</v>
      </c>
      <c r="V144" s="305">
        <v>0</v>
      </c>
      <c r="W144" s="305">
        <v>0</v>
      </c>
      <c r="X144" s="305">
        <v>0</v>
      </c>
      <c r="Y144" s="305">
        <v>0</v>
      </c>
      <c r="Z144" s="305">
        <v>0</v>
      </c>
      <c r="AA144" s="305">
        <v>0</v>
      </c>
    </row>
    <row r="145" spans="1:27">
      <c r="A145" s="304" t="s">
        <v>760</v>
      </c>
      <c r="B145" s="305">
        <v>0</v>
      </c>
      <c r="C145" s="305">
        <v>0</v>
      </c>
      <c r="D145" s="305">
        <v>290.15291867903898</v>
      </c>
      <c r="E145" s="305">
        <v>0</v>
      </c>
      <c r="F145" s="305">
        <v>0</v>
      </c>
      <c r="G145" s="305">
        <v>0</v>
      </c>
      <c r="H145" s="305">
        <v>0</v>
      </c>
      <c r="I145" s="305">
        <v>0</v>
      </c>
      <c r="J145" s="305">
        <v>0</v>
      </c>
      <c r="K145" s="305">
        <v>0</v>
      </c>
      <c r="L145" s="305">
        <v>0</v>
      </c>
      <c r="M145" s="305">
        <v>0</v>
      </c>
      <c r="N145" s="305">
        <v>668.84165319492104</v>
      </c>
      <c r="O145" s="305">
        <v>0</v>
      </c>
      <c r="P145" s="305">
        <v>0</v>
      </c>
      <c r="Q145" s="305">
        <v>0</v>
      </c>
      <c r="R145" s="305">
        <v>0</v>
      </c>
      <c r="S145" s="305">
        <v>0</v>
      </c>
      <c r="T145" s="305">
        <v>0</v>
      </c>
      <c r="U145" s="305">
        <v>0</v>
      </c>
      <c r="V145" s="305">
        <v>0</v>
      </c>
      <c r="W145" s="305">
        <v>0</v>
      </c>
      <c r="X145" s="305">
        <v>0</v>
      </c>
      <c r="Y145" s="305">
        <v>0</v>
      </c>
      <c r="Z145" s="305">
        <v>0</v>
      </c>
      <c r="AA145" s="305">
        <v>0</v>
      </c>
    </row>
    <row r="146" spans="1:27">
      <c r="A146" s="304" t="s">
        <v>761</v>
      </c>
      <c r="B146" s="305">
        <v>0</v>
      </c>
      <c r="C146" s="305">
        <v>0</v>
      </c>
      <c r="D146" s="305">
        <v>0</v>
      </c>
      <c r="E146" s="305">
        <v>0</v>
      </c>
      <c r="F146" s="305">
        <v>0</v>
      </c>
      <c r="G146" s="305">
        <v>27606.454518918301</v>
      </c>
      <c r="H146" s="305">
        <v>60240.419732123897</v>
      </c>
      <c r="I146" s="305">
        <v>0</v>
      </c>
      <c r="J146" s="305">
        <v>0</v>
      </c>
      <c r="K146" s="305">
        <v>13.9069217450983</v>
      </c>
      <c r="L146" s="305">
        <v>0</v>
      </c>
      <c r="M146" s="305">
        <v>0</v>
      </c>
      <c r="N146" s="305">
        <v>0</v>
      </c>
      <c r="O146" s="305">
        <v>0</v>
      </c>
      <c r="P146" s="305">
        <v>0</v>
      </c>
      <c r="Q146" s="305">
        <v>0</v>
      </c>
      <c r="R146" s="305">
        <v>0</v>
      </c>
      <c r="S146" s="305">
        <v>0</v>
      </c>
      <c r="T146" s="305">
        <v>0</v>
      </c>
      <c r="U146" s="305">
        <v>0</v>
      </c>
      <c r="V146" s="305">
        <v>0</v>
      </c>
      <c r="W146" s="305">
        <v>4306.0802326205903</v>
      </c>
      <c r="X146" s="305">
        <v>0</v>
      </c>
      <c r="Y146" s="305">
        <v>0</v>
      </c>
      <c r="Z146" s="305">
        <v>0</v>
      </c>
      <c r="AA146" s="305">
        <v>0</v>
      </c>
    </row>
    <row r="147" spans="1:27">
      <c r="A147" s="304" t="s">
        <v>762</v>
      </c>
      <c r="B147" s="305">
        <v>0</v>
      </c>
      <c r="C147" s="305">
        <v>0</v>
      </c>
      <c r="D147" s="305">
        <v>0</v>
      </c>
      <c r="E147" s="305">
        <v>0</v>
      </c>
      <c r="F147" s="305">
        <v>0</v>
      </c>
      <c r="G147" s="305">
        <v>0</v>
      </c>
      <c r="H147" s="305">
        <v>23202.895864865601</v>
      </c>
      <c r="I147" s="305">
        <v>0</v>
      </c>
      <c r="J147" s="305">
        <v>0</v>
      </c>
      <c r="K147" s="305">
        <v>5.54621255405754</v>
      </c>
      <c r="L147" s="305">
        <v>0</v>
      </c>
      <c r="M147" s="305">
        <v>0</v>
      </c>
      <c r="N147" s="305">
        <v>0</v>
      </c>
      <c r="O147" s="305">
        <v>0</v>
      </c>
      <c r="P147" s="305">
        <v>0</v>
      </c>
      <c r="Q147" s="305">
        <v>0</v>
      </c>
      <c r="R147" s="305">
        <v>0</v>
      </c>
      <c r="S147" s="305">
        <v>0</v>
      </c>
      <c r="T147" s="305">
        <v>0</v>
      </c>
      <c r="U147" s="305">
        <v>0</v>
      </c>
      <c r="V147" s="305">
        <v>0</v>
      </c>
      <c r="W147" s="305">
        <v>0</v>
      </c>
      <c r="X147" s="305">
        <v>0</v>
      </c>
      <c r="Y147" s="305">
        <v>0</v>
      </c>
      <c r="Z147" s="305">
        <v>0</v>
      </c>
      <c r="AA147" s="305">
        <v>0</v>
      </c>
    </row>
    <row r="148" spans="1:27">
      <c r="A148" s="304"/>
      <c r="B148" s="390" t="s">
        <v>699</v>
      </c>
      <c r="C148" s="402"/>
      <c r="D148" s="402"/>
      <c r="E148" s="402"/>
      <c r="F148" s="402"/>
      <c r="G148" s="402"/>
      <c r="H148" s="402"/>
      <c r="I148" s="402"/>
      <c r="J148" s="402"/>
      <c r="K148" s="402"/>
      <c r="L148" s="402"/>
      <c r="M148" s="402"/>
      <c r="N148" s="402"/>
      <c r="O148" s="402"/>
      <c r="P148" s="402"/>
      <c r="Q148" s="402"/>
      <c r="R148" s="402"/>
      <c r="S148" s="402"/>
      <c r="T148" s="402"/>
      <c r="U148" s="402"/>
      <c r="V148" s="402"/>
      <c r="W148" s="402"/>
      <c r="X148" s="402"/>
      <c r="Y148" s="402"/>
      <c r="Z148" s="402"/>
      <c r="AA148" s="402"/>
    </row>
    <row r="151" spans="1:27" ht="179.4">
      <c r="A151" s="303" t="s">
        <v>641</v>
      </c>
      <c r="B151" s="234" t="s">
        <v>708</v>
      </c>
      <c r="C151" s="234" t="s">
        <v>709</v>
      </c>
      <c r="D151" s="234" t="s">
        <v>710</v>
      </c>
      <c r="E151" s="234" t="s">
        <v>711</v>
      </c>
      <c r="F151" s="234" t="s">
        <v>656</v>
      </c>
      <c r="G151" s="234" t="s">
        <v>657</v>
      </c>
      <c r="H151" s="234" t="s">
        <v>658</v>
      </c>
      <c r="I151" s="234" t="s">
        <v>712</v>
      </c>
      <c r="J151" s="234" t="s">
        <v>713</v>
      </c>
      <c r="K151" s="234" t="s">
        <v>670</v>
      </c>
      <c r="L151" s="234" t="s">
        <v>671</v>
      </c>
      <c r="M151" s="234" t="s">
        <v>714</v>
      </c>
      <c r="N151" s="234" t="s">
        <v>715</v>
      </c>
      <c r="O151" s="234" t="s">
        <v>716</v>
      </c>
      <c r="P151" s="234" t="s">
        <v>717</v>
      </c>
      <c r="Q151" s="234" t="s">
        <v>718</v>
      </c>
      <c r="R151" s="234" t="s">
        <v>719</v>
      </c>
      <c r="S151" s="234" t="s">
        <v>720</v>
      </c>
      <c r="T151" s="234" t="s">
        <v>721</v>
      </c>
      <c r="U151" s="234" t="s">
        <v>722</v>
      </c>
      <c r="V151" s="234" t="s">
        <v>723</v>
      </c>
      <c r="W151" s="234" t="s">
        <v>724</v>
      </c>
      <c r="X151" s="234" t="s">
        <v>725</v>
      </c>
      <c r="Y151" s="234" t="s">
        <v>726</v>
      </c>
      <c r="Z151" s="234" t="s">
        <v>727</v>
      </c>
      <c r="AA151" s="234" t="s">
        <v>728</v>
      </c>
    </row>
    <row r="152" spans="1:27">
      <c r="A152" s="304" t="s">
        <v>729</v>
      </c>
      <c r="B152" s="302">
        <v>0</v>
      </c>
      <c r="C152" s="302">
        <v>0</v>
      </c>
      <c r="D152" s="302">
        <v>82025.350859294602</v>
      </c>
      <c r="E152" s="302">
        <v>0</v>
      </c>
      <c r="F152" s="302">
        <v>0</v>
      </c>
      <c r="G152" s="302">
        <v>0</v>
      </c>
      <c r="H152" s="302">
        <v>0</v>
      </c>
      <c r="I152" s="302">
        <v>0</v>
      </c>
      <c r="J152" s="302">
        <v>0</v>
      </c>
      <c r="K152" s="302">
        <v>0</v>
      </c>
      <c r="L152" s="302">
        <v>0</v>
      </c>
      <c r="M152" s="302">
        <v>0</v>
      </c>
      <c r="N152" s="302">
        <v>0</v>
      </c>
      <c r="O152" s="302">
        <v>0</v>
      </c>
      <c r="P152" s="302">
        <v>0</v>
      </c>
      <c r="Q152" s="302">
        <v>0</v>
      </c>
      <c r="R152" s="302">
        <v>0</v>
      </c>
      <c r="S152" s="302">
        <v>0</v>
      </c>
      <c r="T152" s="302">
        <v>0</v>
      </c>
      <c r="U152" s="302">
        <v>0</v>
      </c>
      <c r="V152" s="302">
        <v>0</v>
      </c>
      <c r="W152" s="302">
        <v>0</v>
      </c>
      <c r="X152" s="302">
        <v>0</v>
      </c>
      <c r="Y152" s="302">
        <v>0</v>
      </c>
      <c r="Z152" s="302">
        <v>0</v>
      </c>
      <c r="AA152" s="302">
        <v>0</v>
      </c>
    </row>
    <row r="153" spans="1:27">
      <c r="A153" s="304" t="s">
        <v>730</v>
      </c>
      <c r="B153" s="302">
        <v>0</v>
      </c>
      <c r="C153" s="302">
        <v>0</v>
      </c>
      <c r="D153" s="302">
        <v>0</v>
      </c>
      <c r="E153" s="302">
        <v>0</v>
      </c>
      <c r="F153" s="302">
        <v>40734.729934752402</v>
      </c>
      <c r="G153" s="302">
        <v>0</v>
      </c>
      <c r="H153" s="302">
        <v>0</v>
      </c>
      <c r="I153" s="302">
        <v>0</v>
      </c>
      <c r="J153" s="302">
        <v>0</v>
      </c>
      <c r="K153" s="302">
        <v>0</v>
      </c>
      <c r="L153" s="302">
        <v>0</v>
      </c>
      <c r="M153" s="302">
        <v>0</v>
      </c>
      <c r="N153" s="302">
        <v>0</v>
      </c>
      <c r="O153" s="302">
        <v>0</v>
      </c>
      <c r="P153" s="302">
        <v>0</v>
      </c>
      <c r="Q153" s="302">
        <v>0</v>
      </c>
      <c r="R153" s="302">
        <v>0</v>
      </c>
      <c r="S153" s="302">
        <v>0</v>
      </c>
      <c r="T153" s="302">
        <v>0</v>
      </c>
      <c r="U153" s="302">
        <v>0</v>
      </c>
      <c r="V153" s="302">
        <v>0</v>
      </c>
      <c r="W153" s="302">
        <v>0</v>
      </c>
      <c r="X153" s="302">
        <v>0</v>
      </c>
      <c r="Y153" s="302">
        <v>0</v>
      </c>
      <c r="Z153" s="302">
        <v>0</v>
      </c>
      <c r="AA153" s="302">
        <v>0</v>
      </c>
    </row>
    <row r="154" spans="1:27">
      <c r="A154" s="304" t="s">
        <v>731</v>
      </c>
      <c r="B154" s="302">
        <v>0</v>
      </c>
      <c r="C154" s="302">
        <v>0</v>
      </c>
      <c r="D154" s="302">
        <v>0</v>
      </c>
      <c r="E154" s="302">
        <v>0</v>
      </c>
      <c r="F154" s="302">
        <v>0</v>
      </c>
      <c r="G154" s="302">
        <v>872.21663759437695</v>
      </c>
      <c r="H154" s="302">
        <v>0</v>
      </c>
      <c r="I154" s="302">
        <v>0</v>
      </c>
      <c r="J154" s="302">
        <v>0</v>
      </c>
      <c r="K154" s="302">
        <v>0</v>
      </c>
      <c r="L154" s="302">
        <v>0</v>
      </c>
      <c r="M154" s="302">
        <v>0</v>
      </c>
      <c r="N154" s="302">
        <v>0</v>
      </c>
      <c r="O154" s="302">
        <v>0</v>
      </c>
      <c r="P154" s="302">
        <v>0</v>
      </c>
      <c r="Q154" s="302">
        <v>0</v>
      </c>
      <c r="R154" s="302">
        <v>0</v>
      </c>
      <c r="S154" s="302">
        <v>0</v>
      </c>
      <c r="T154" s="302">
        <v>0</v>
      </c>
      <c r="U154" s="302">
        <v>0</v>
      </c>
      <c r="V154" s="302">
        <v>0</v>
      </c>
      <c r="W154" s="302">
        <v>0</v>
      </c>
      <c r="X154" s="302">
        <v>0</v>
      </c>
      <c r="Y154" s="302">
        <v>0</v>
      </c>
      <c r="Z154" s="302">
        <v>0</v>
      </c>
      <c r="AA154" s="302">
        <v>0</v>
      </c>
    </row>
    <row r="155" spans="1:27">
      <c r="A155" s="304" t="s">
        <v>732</v>
      </c>
      <c r="B155" s="302">
        <v>0</v>
      </c>
      <c r="C155" s="302">
        <v>0</v>
      </c>
      <c r="D155" s="302">
        <v>0</v>
      </c>
      <c r="E155" s="302">
        <v>0</v>
      </c>
      <c r="F155" s="302">
        <v>0</v>
      </c>
      <c r="G155" s="302">
        <v>0</v>
      </c>
      <c r="H155" s="302">
        <v>36781.329005505002</v>
      </c>
      <c r="I155" s="302">
        <v>0</v>
      </c>
      <c r="J155" s="302">
        <v>0</v>
      </c>
      <c r="K155" s="302">
        <v>0</v>
      </c>
      <c r="L155" s="302">
        <v>0</v>
      </c>
      <c r="M155" s="302">
        <v>0</v>
      </c>
      <c r="N155" s="302">
        <v>0</v>
      </c>
      <c r="O155" s="302">
        <v>0</v>
      </c>
      <c r="P155" s="302">
        <v>0</v>
      </c>
      <c r="Q155" s="302">
        <v>0</v>
      </c>
      <c r="R155" s="302">
        <v>0</v>
      </c>
      <c r="S155" s="302">
        <v>0</v>
      </c>
      <c r="T155" s="302">
        <v>0</v>
      </c>
      <c r="U155" s="302">
        <v>0</v>
      </c>
      <c r="V155" s="302">
        <v>0</v>
      </c>
      <c r="W155" s="302">
        <v>0</v>
      </c>
      <c r="X155" s="302">
        <v>0</v>
      </c>
      <c r="Y155" s="302">
        <v>0</v>
      </c>
      <c r="Z155" s="302">
        <v>0</v>
      </c>
      <c r="AA155" s="302">
        <v>0</v>
      </c>
    </row>
    <row r="156" spans="1:27">
      <c r="A156" s="304" t="s">
        <v>733</v>
      </c>
      <c r="B156" s="302">
        <v>0</v>
      </c>
      <c r="C156" s="302">
        <v>0</v>
      </c>
      <c r="D156" s="302">
        <v>0</v>
      </c>
      <c r="E156" s="302">
        <v>0</v>
      </c>
      <c r="F156" s="302">
        <v>0</v>
      </c>
      <c r="G156" s="302">
        <v>0</v>
      </c>
      <c r="H156" s="302">
        <v>0</v>
      </c>
      <c r="I156" s="302">
        <v>0</v>
      </c>
      <c r="J156" s="302">
        <v>0</v>
      </c>
      <c r="K156" s="302">
        <v>2.7994452863509598</v>
      </c>
      <c r="L156" s="302">
        <v>0</v>
      </c>
      <c r="M156" s="302">
        <v>0</v>
      </c>
      <c r="N156" s="302">
        <v>0</v>
      </c>
      <c r="O156" s="302">
        <v>0</v>
      </c>
      <c r="P156" s="302">
        <v>0</v>
      </c>
      <c r="Q156" s="302">
        <v>0</v>
      </c>
      <c r="R156" s="302">
        <v>0</v>
      </c>
      <c r="S156" s="302">
        <v>0</v>
      </c>
      <c r="T156" s="302">
        <v>0</v>
      </c>
      <c r="U156" s="302">
        <v>0</v>
      </c>
      <c r="V156" s="302">
        <v>0</v>
      </c>
      <c r="W156" s="302">
        <v>0</v>
      </c>
      <c r="X156" s="302">
        <v>0</v>
      </c>
      <c r="Y156" s="302">
        <v>0</v>
      </c>
      <c r="Z156" s="302">
        <v>0</v>
      </c>
      <c r="AA156" s="302">
        <v>0</v>
      </c>
    </row>
    <row r="157" spans="1:27">
      <c r="A157" s="304" t="s">
        <v>734</v>
      </c>
      <c r="B157" s="302">
        <v>0</v>
      </c>
      <c r="C157" s="302">
        <v>0</v>
      </c>
      <c r="D157" s="302">
        <v>0</v>
      </c>
      <c r="E157" s="302">
        <v>0</v>
      </c>
      <c r="F157" s="302">
        <v>0</v>
      </c>
      <c r="G157" s="302">
        <v>0</v>
      </c>
      <c r="H157" s="302">
        <v>0</v>
      </c>
      <c r="I157" s="302">
        <v>0</v>
      </c>
      <c r="J157" s="302">
        <v>0</v>
      </c>
      <c r="K157" s="302">
        <v>0</v>
      </c>
      <c r="L157" s="302">
        <v>11125349.8339001</v>
      </c>
      <c r="M157" s="302">
        <v>0</v>
      </c>
      <c r="N157" s="302">
        <v>0</v>
      </c>
      <c r="O157" s="302">
        <v>0</v>
      </c>
      <c r="P157" s="302">
        <v>0</v>
      </c>
      <c r="Q157" s="302">
        <v>0</v>
      </c>
      <c r="R157" s="302">
        <v>0</v>
      </c>
      <c r="S157" s="302">
        <v>0</v>
      </c>
      <c r="T157" s="302">
        <v>0</v>
      </c>
      <c r="U157" s="302">
        <v>0</v>
      </c>
      <c r="V157" s="302">
        <v>0</v>
      </c>
      <c r="W157" s="302">
        <v>0</v>
      </c>
      <c r="X157" s="302">
        <v>0</v>
      </c>
      <c r="Y157" s="302">
        <v>0</v>
      </c>
      <c r="Z157" s="302">
        <v>0</v>
      </c>
      <c r="AA157" s="302">
        <v>0</v>
      </c>
    </row>
    <row r="158" spans="1:27">
      <c r="A158" s="304" t="s">
        <v>735</v>
      </c>
      <c r="B158" s="302">
        <v>0</v>
      </c>
      <c r="C158" s="302">
        <v>0</v>
      </c>
      <c r="D158" s="302">
        <v>0</v>
      </c>
      <c r="E158" s="302">
        <v>0</v>
      </c>
      <c r="F158" s="302">
        <v>0</v>
      </c>
      <c r="G158" s="302">
        <v>0</v>
      </c>
      <c r="H158" s="302">
        <v>0</v>
      </c>
      <c r="I158" s="302">
        <v>0</v>
      </c>
      <c r="J158" s="302">
        <v>0</v>
      </c>
      <c r="K158" s="302">
        <v>0</v>
      </c>
      <c r="L158" s="302">
        <v>0</v>
      </c>
      <c r="M158" s="302">
        <v>0</v>
      </c>
      <c r="N158" s="302">
        <v>0</v>
      </c>
      <c r="O158" s="302">
        <v>0</v>
      </c>
      <c r="P158" s="302">
        <v>0</v>
      </c>
      <c r="Q158" s="302">
        <v>0</v>
      </c>
      <c r="R158" s="302">
        <v>0</v>
      </c>
      <c r="S158" s="302">
        <v>0</v>
      </c>
      <c r="T158" s="302">
        <v>0</v>
      </c>
      <c r="U158" s="302">
        <v>24.966118436670801</v>
      </c>
      <c r="V158" s="302">
        <v>0</v>
      </c>
      <c r="W158" s="302">
        <v>0</v>
      </c>
      <c r="X158" s="302">
        <v>0</v>
      </c>
      <c r="Y158" s="302">
        <v>0</v>
      </c>
      <c r="Z158" s="302">
        <v>0</v>
      </c>
      <c r="AA158" s="302">
        <v>0</v>
      </c>
    </row>
    <row r="159" spans="1:27">
      <c r="A159" s="304" t="s">
        <v>736</v>
      </c>
      <c r="B159" s="302">
        <v>45017.590801780199</v>
      </c>
      <c r="C159" s="302">
        <v>0</v>
      </c>
      <c r="D159" s="302">
        <v>0</v>
      </c>
      <c r="E159" s="302">
        <v>0</v>
      </c>
      <c r="F159" s="302">
        <v>0</v>
      </c>
      <c r="G159" s="302">
        <v>0</v>
      </c>
      <c r="H159" s="302">
        <v>0</v>
      </c>
      <c r="I159" s="302">
        <v>0</v>
      </c>
      <c r="J159" s="302">
        <v>0</v>
      </c>
      <c r="K159" s="302">
        <v>0</v>
      </c>
      <c r="L159" s="302">
        <v>0</v>
      </c>
      <c r="M159" s="302">
        <v>0</v>
      </c>
      <c r="N159" s="302">
        <v>0</v>
      </c>
      <c r="O159" s="302">
        <v>0</v>
      </c>
      <c r="P159" s="302">
        <v>0</v>
      </c>
      <c r="Q159" s="302">
        <v>0</v>
      </c>
      <c r="R159" s="302">
        <v>0</v>
      </c>
      <c r="S159" s="302">
        <v>0</v>
      </c>
      <c r="T159" s="302">
        <v>0</v>
      </c>
      <c r="U159" s="302">
        <v>0</v>
      </c>
      <c r="V159" s="302">
        <v>0</v>
      </c>
      <c r="W159" s="302">
        <v>0</v>
      </c>
      <c r="X159" s="302">
        <v>0</v>
      </c>
      <c r="Y159" s="302">
        <v>0</v>
      </c>
      <c r="Z159" s="302">
        <v>0</v>
      </c>
      <c r="AA159" s="302">
        <v>0</v>
      </c>
    </row>
    <row r="160" spans="1:27">
      <c r="A160" s="304" t="s">
        <v>737</v>
      </c>
      <c r="B160" s="302">
        <v>0</v>
      </c>
      <c r="C160" s="302">
        <v>66251.174567632304</v>
      </c>
      <c r="D160" s="302">
        <v>0</v>
      </c>
      <c r="E160" s="302">
        <v>0</v>
      </c>
      <c r="F160" s="302">
        <v>0</v>
      </c>
      <c r="G160" s="302">
        <v>0</v>
      </c>
      <c r="H160" s="302">
        <v>0</v>
      </c>
      <c r="I160" s="302">
        <v>0</v>
      </c>
      <c r="J160" s="302">
        <v>0</v>
      </c>
      <c r="K160" s="302">
        <v>0</v>
      </c>
      <c r="L160" s="302">
        <v>0</v>
      </c>
      <c r="M160" s="302">
        <v>0</v>
      </c>
      <c r="N160" s="302">
        <v>0</v>
      </c>
      <c r="O160" s="302">
        <v>0</v>
      </c>
      <c r="P160" s="302">
        <v>0</v>
      </c>
      <c r="Q160" s="302">
        <v>0</v>
      </c>
      <c r="R160" s="302">
        <v>0</v>
      </c>
      <c r="S160" s="302">
        <v>0</v>
      </c>
      <c r="T160" s="302">
        <v>0</v>
      </c>
      <c r="U160" s="302">
        <v>0</v>
      </c>
      <c r="V160" s="302">
        <v>0</v>
      </c>
      <c r="W160" s="302">
        <v>0</v>
      </c>
      <c r="X160" s="302">
        <v>0</v>
      </c>
      <c r="Y160" s="302">
        <v>0</v>
      </c>
      <c r="Z160" s="302">
        <v>0</v>
      </c>
      <c r="AA160" s="302">
        <v>0</v>
      </c>
    </row>
    <row r="161" spans="1:27">
      <c r="A161" s="304" t="s">
        <v>738</v>
      </c>
      <c r="B161" s="302">
        <v>0</v>
      </c>
      <c r="C161" s="302">
        <v>0</v>
      </c>
      <c r="D161" s="302">
        <v>0</v>
      </c>
      <c r="E161" s="302">
        <v>290.15291867903898</v>
      </c>
      <c r="F161" s="302">
        <v>0</v>
      </c>
      <c r="G161" s="302">
        <v>0</v>
      </c>
      <c r="H161" s="302">
        <v>0</v>
      </c>
      <c r="I161" s="302">
        <v>0</v>
      </c>
      <c r="J161" s="302">
        <v>0</v>
      </c>
      <c r="K161" s="302">
        <v>0</v>
      </c>
      <c r="L161" s="302">
        <v>0</v>
      </c>
      <c r="M161" s="302">
        <v>0</v>
      </c>
      <c r="N161" s="302">
        <v>0</v>
      </c>
      <c r="O161" s="302">
        <v>0</v>
      </c>
      <c r="P161" s="302">
        <v>0</v>
      </c>
      <c r="Q161" s="302">
        <v>0</v>
      </c>
      <c r="R161" s="302">
        <v>0</v>
      </c>
      <c r="S161" s="302">
        <v>0</v>
      </c>
      <c r="T161" s="302">
        <v>0</v>
      </c>
      <c r="U161" s="302">
        <v>0</v>
      </c>
      <c r="V161" s="302">
        <v>0</v>
      </c>
      <c r="W161" s="302">
        <v>0</v>
      </c>
      <c r="X161" s="302">
        <v>0</v>
      </c>
      <c r="Y161" s="302">
        <v>0</v>
      </c>
      <c r="Z161" s="302">
        <v>0</v>
      </c>
      <c r="AA161" s="302">
        <v>0</v>
      </c>
    </row>
    <row r="162" spans="1:27">
      <c r="A162" s="304" t="s">
        <v>739</v>
      </c>
      <c r="B162" s="302">
        <v>0</v>
      </c>
      <c r="C162" s="302">
        <v>0</v>
      </c>
      <c r="D162" s="302">
        <v>0</v>
      </c>
      <c r="E162" s="302">
        <v>0</v>
      </c>
      <c r="F162" s="302">
        <v>0</v>
      </c>
      <c r="G162" s="302">
        <v>0</v>
      </c>
      <c r="H162" s="302">
        <v>0</v>
      </c>
      <c r="I162" s="302">
        <v>0</v>
      </c>
      <c r="J162" s="302">
        <v>4830.4442158522497</v>
      </c>
      <c r="K162" s="302">
        <v>0</v>
      </c>
      <c r="L162" s="302">
        <v>0</v>
      </c>
      <c r="M162" s="302">
        <v>0</v>
      </c>
      <c r="N162" s="302">
        <v>0</v>
      </c>
      <c r="O162" s="302">
        <v>0</v>
      </c>
      <c r="P162" s="302">
        <v>0</v>
      </c>
      <c r="Q162" s="302">
        <v>0</v>
      </c>
      <c r="R162" s="302">
        <v>0</v>
      </c>
      <c r="S162" s="302">
        <v>0</v>
      </c>
      <c r="T162" s="302">
        <v>0</v>
      </c>
      <c r="U162" s="302">
        <v>0</v>
      </c>
      <c r="V162" s="302">
        <v>0</v>
      </c>
      <c r="W162" s="302">
        <v>0</v>
      </c>
      <c r="X162" s="302">
        <v>0</v>
      </c>
      <c r="Y162" s="302">
        <v>0</v>
      </c>
      <c r="Z162" s="302">
        <v>0</v>
      </c>
      <c r="AA162" s="302">
        <v>0</v>
      </c>
    </row>
    <row r="163" spans="1:27">
      <c r="A163" s="304" t="s">
        <v>740</v>
      </c>
      <c r="B163" s="302">
        <v>0</v>
      </c>
      <c r="C163" s="302">
        <v>0</v>
      </c>
      <c r="D163" s="302">
        <v>0</v>
      </c>
      <c r="E163" s="302">
        <v>0</v>
      </c>
      <c r="F163" s="302">
        <v>0</v>
      </c>
      <c r="G163" s="302">
        <v>0</v>
      </c>
      <c r="H163" s="302">
        <v>0</v>
      </c>
      <c r="I163" s="302">
        <v>0</v>
      </c>
      <c r="J163" s="302">
        <v>0</v>
      </c>
      <c r="K163" s="302">
        <v>0</v>
      </c>
      <c r="L163" s="302">
        <v>0</v>
      </c>
      <c r="M163" s="302">
        <v>0</v>
      </c>
      <c r="N163" s="302">
        <v>0</v>
      </c>
      <c r="O163" s="302">
        <v>668.84165319492104</v>
      </c>
      <c r="P163" s="302">
        <v>0</v>
      </c>
      <c r="Q163" s="302">
        <v>0</v>
      </c>
      <c r="R163" s="302">
        <v>0</v>
      </c>
      <c r="S163" s="302">
        <v>0</v>
      </c>
      <c r="T163" s="302">
        <v>0</v>
      </c>
      <c r="U163" s="302">
        <v>0</v>
      </c>
      <c r="V163" s="302">
        <v>0</v>
      </c>
      <c r="W163" s="302">
        <v>0</v>
      </c>
      <c r="X163" s="302">
        <v>0</v>
      </c>
      <c r="Y163" s="302">
        <v>0</v>
      </c>
      <c r="Z163" s="302">
        <v>0</v>
      </c>
      <c r="AA163" s="302">
        <v>0</v>
      </c>
    </row>
    <row r="164" spans="1:27">
      <c r="A164" s="304" t="s">
        <v>741</v>
      </c>
      <c r="B164" s="302">
        <v>0</v>
      </c>
      <c r="C164" s="302">
        <v>0</v>
      </c>
      <c r="D164" s="302">
        <v>0</v>
      </c>
      <c r="E164" s="302">
        <v>0</v>
      </c>
      <c r="F164" s="302">
        <v>0</v>
      </c>
      <c r="G164" s="302">
        <v>0</v>
      </c>
      <c r="H164" s="302">
        <v>0</v>
      </c>
      <c r="I164" s="302">
        <v>0</v>
      </c>
      <c r="J164" s="302">
        <v>0</v>
      </c>
      <c r="K164" s="302">
        <v>0</v>
      </c>
      <c r="L164" s="302">
        <v>0</v>
      </c>
      <c r="M164" s="302">
        <v>3749358.3680556798</v>
      </c>
      <c r="N164" s="302">
        <v>0</v>
      </c>
      <c r="O164" s="302">
        <v>0</v>
      </c>
      <c r="P164" s="302">
        <v>0</v>
      </c>
      <c r="Q164" s="302">
        <v>0</v>
      </c>
      <c r="R164" s="302">
        <v>0</v>
      </c>
      <c r="S164" s="302">
        <v>0</v>
      </c>
      <c r="T164" s="302">
        <v>0</v>
      </c>
      <c r="U164" s="302">
        <v>0</v>
      </c>
      <c r="V164" s="302">
        <v>0</v>
      </c>
      <c r="W164" s="302">
        <v>0</v>
      </c>
      <c r="X164" s="302">
        <v>0</v>
      </c>
      <c r="Y164" s="302">
        <v>0</v>
      </c>
      <c r="Z164" s="302">
        <v>0</v>
      </c>
      <c r="AA164" s="302">
        <v>0</v>
      </c>
    </row>
    <row r="165" spans="1:27">
      <c r="A165" s="304" t="s">
        <v>742</v>
      </c>
      <c r="B165" s="302">
        <v>0</v>
      </c>
      <c r="C165" s="302">
        <v>0</v>
      </c>
      <c r="D165" s="302">
        <v>0</v>
      </c>
      <c r="E165" s="302">
        <v>0</v>
      </c>
      <c r="F165" s="302">
        <v>0</v>
      </c>
      <c r="G165" s="302">
        <v>0</v>
      </c>
      <c r="H165" s="302">
        <v>0</v>
      </c>
      <c r="I165" s="302">
        <v>0</v>
      </c>
      <c r="J165" s="302">
        <v>0</v>
      </c>
      <c r="K165" s="302">
        <v>0</v>
      </c>
      <c r="L165" s="302">
        <v>0</v>
      </c>
      <c r="M165" s="302">
        <v>0</v>
      </c>
      <c r="N165" s="302">
        <v>0</v>
      </c>
      <c r="O165" s="302">
        <v>0</v>
      </c>
      <c r="P165" s="302">
        <v>0</v>
      </c>
      <c r="Q165" s="302">
        <v>184686.52821315001</v>
      </c>
      <c r="R165" s="302">
        <v>0</v>
      </c>
      <c r="S165" s="302">
        <v>0</v>
      </c>
      <c r="T165" s="302">
        <v>0</v>
      </c>
      <c r="U165" s="302">
        <v>0</v>
      </c>
      <c r="V165" s="302">
        <v>0</v>
      </c>
      <c r="W165" s="302">
        <v>0</v>
      </c>
      <c r="X165" s="302">
        <v>0</v>
      </c>
      <c r="Y165" s="302">
        <v>0</v>
      </c>
      <c r="Z165" s="302">
        <v>0</v>
      </c>
      <c r="AA165" s="302">
        <v>0</v>
      </c>
    </row>
    <row r="166" spans="1:27">
      <c r="A166" s="304" t="s">
        <v>743</v>
      </c>
      <c r="B166" s="302">
        <v>0</v>
      </c>
      <c r="C166" s="302">
        <v>0</v>
      </c>
      <c r="D166" s="302">
        <v>0</v>
      </c>
      <c r="E166" s="302">
        <v>0</v>
      </c>
      <c r="F166" s="302">
        <v>0</v>
      </c>
      <c r="G166" s="302">
        <v>0</v>
      </c>
      <c r="H166" s="302">
        <v>0</v>
      </c>
      <c r="I166" s="302">
        <v>0</v>
      </c>
      <c r="J166" s="302">
        <v>0</v>
      </c>
      <c r="K166" s="302">
        <v>0</v>
      </c>
      <c r="L166" s="302">
        <v>0</v>
      </c>
      <c r="M166" s="302">
        <v>0</v>
      </c>
      <c r="N166" s="302">
        <v>0</v>
      </c>
      <c r="O166" s="302">
        <v>0</v>
      </c>
      <c r="P166" s="302">
        <v>0</v>
      </c>
      <c r="Q166" s="302">
        <v>0</v>
      </c>
      <c r="R166" s="302">
        <v>0</v>
      </c>
      <c r="S166" s="302">
        <v>3090735.3644190198</v>
      </c>
      <c r="T166" s="302">
        <v>0</v>
      </c>
      <c r="U166" s="302">
        <v>0</v>
      </c>
      <c r="V166" s="302">
        <v>0</v>
      </c>
      <c r="W166" s="302">
        <v>0</v>
      </c>
      <c r="X166" s="302">
        <v>0</v>
      </c>
      <c r="Y166" s="302">
        <v>0</v>
      </c>
      <c r="Z166" s="302">
        <v>0</v>
      </c>
      <c r="AA166" s="302">
        <v>0</v>
      </c>
    </row>
    <row r="167" spans="1:27">
      <c r="A167" s="304" t="s">
        <v>744</v>
      </c>
      <c r="B167" s="302">
        <v>0</v>
      </c>
      <c r="C167" s="302">
        <v>0</v>
      </c>
      <c r="D167" s="302">
        <v>0</v>
      </c>
      <c r="E167" s="302">
        <v>0</v>
      </c>
      <c r="F167" s="302">
        <v>0</v>
      </c>
      <c r="G167" s="302">
        <v>0</v>
      </c>
      <c r="H167" s="302">
        <v>0</v>
      </c>
      <c r="I167" s="302">
        <v>0</v>
      </c>
      <c r="J167" s="302">
        <v>0</v>
      </c>
      <c r="K167" s="302">
        <v>0</v>
      </c>
      <c r="L167" s="302">
        <v>0</v>
      </c>
      <c r="M167" s="302">
        <v>0</v>
      </c>
      <c r="N167" s="302">
        <v>0</v>
      </c>
      <c r="O167" s="302">
        <v>0</v>
      </c>
      <c r="P167" s="302">
        <v>0</v>
      </c>
      <c r="Q167" s="302">
        <v>0</v>
      </c>
      <c r="R167" s="302">
        <v>0</v>
      </c>
      <c r="S167" s="302">
        <v>0</v>
      </c>
      <c r="T167" s="302">
        <v>0</v>
      </c>
      <c r="U167" s="302">
        <v>0</v>
      </c>
      <c r="V167" s="302">
        <v>5023.7890204089899</v>
      </c>
      <c r="W167" s="302">
        <v>0</v>
      </c>
      <c r="X167" s="302">
        <v>0</v>
      </c>
      <c r="Y167" s="302">
        <v>0</v>
      </c>
      <c r="Z167" s="302">
        <v>0</v>
      </c>
      <c r="AA167" s="302">
        <v>0</v>
      </c>
    </row>
    <row r="168" spans="1:27">
      <c r="A168" s="304" t="s">
        <v>745</v>
      </c>
      <c r="B168" s="302">
        <v>0</v>
      </c>
      <c r="C168" s="302">
        <v>0</v>
      </c>
      <c r="D168" s="302">
        <v>0</v>
      </c>
      <c r="E168" s="302">
        <v>0</v>
      </c>
      <c r="F168" s="302">
        <v>0</v>
      </c>
      <c r="G168" s="302">
        <v>0</v>
      </c>
      <c r="H168" s="302">
        <v>0</v>
      </c>
      <c r="I168" s="302">
        <v>0</v>
      </c>
      <c r="J168" s="302">
        <v>0</v>
      </c>
      <c r="K168" s="302">
        <v>0</v>
      </c>
      <c r="L168" s="302">
        <v>0</v>
      </c>
      <c r="M168" s="302">
        <v>0</v>
      </c>
      <c r="N168" s="302">
        <v>0</v>
      </c>
      <c r="O168" s="302">
        <v>0</v>
      </c>
      <c r="P168" s="302">
        <v>0</v>
      </c>
      <c r="Q168" s="302">
        <v>0</v>
      </c>
      <c r="R168" s="302">
        <v>0</v>
      </c>
      <c r="S168" s="302">
        <v>0</v>
      </c>
      <c r="T168" s="302">
        <v>0</v>
      </c>
      <c r="U168" s="302">
        <v>0</v>
      </c>
      <c r="V168" s="302">
        <v>0</v>
      </c>
      <c r="W168" s="302">
        <v>0</v>
      </c>
      <c r="X168" s="302">
        <v>0</v>
      </c>
      <c r="Y168" s="302">
        <v>82.091627997489695</v>
      </c>
      <c r="Z168" s="302">
        <v>0</v>
      </c>
      <c r="AA168" s="302">
        <v>0</v>
      </c>
    </row>
    <row r="169" spans="1:27">
      <c r="A169" s="304" t="s">
        <v>746</v>
      </c>
      <c r="B169" s="302">
        <v>0</v>
      </c>
      <c r="C169" s="302">
        <v>0</v>
      </c>
      <c r="D169" s="302">
        <v>0</v>
      </c>
      <c r="E169" s="302">
        <v>0</v>
      </c>
      <c r="F169" s="302">
        <v>0</v>
      </c>
      <c r="G169" s="302">
        <v>0</v>
      </c>
      <c r="H169" s="302">
        <v>0</v>
      </c>
      <c r="I169" s="302">
        <v>0</v>
      </c>
      <c r="J169" s="302">
        <v>0</v>
      </c>
      <c r="K169" s="302">
        <v>0</v>
      </c>
      <c r="L169" s="302">
        <v>0</v>
      </c>
      <c r="M169" s="302">
        <v>0</v>
      </c>
      <c r="N169" s="302">
        <v>0</v>
      </c>
      <c r="O169" s="302">
        <v>0</v>
      </c>
      <c r="P169" s="302">
        <v>0</v>
      </c>
      <c r="Q169" s="302">
        <v>0</v>
      </c>
      <c r="R169" s="302">
        <v>0</v>
      </c>
      <c r="S169" s="302">
        <v>0</v>
      </c>
      <c r="T169" s="302">
        <v>0</v>
      </c>
      <c r="U169" s="302">
        <v>0</v>
      </c>
      <c r="V169" s="302">
        <v>0</v>
      </c>
      <c r="W169" s="302">
        <v>0</v>
      </c>
      <c r="X169" s="302">
        <v>0</v>
      </c>
      <c r="Y169" s="302">
        <v>0</v>
      </c>
      <c r="Z169" s="302">
        <v>0</v>
      </c>
      <c r="AA169" s="302">
        <v>43.206119998678503</v>
      </c>
    </row>
    <row r="170" spans="1:27">
      <c r="A170" s="304" t="s">
        <v>747</v>
      </c>
      <c r="B170" s="302">
        <v>0</v>
      </c>
      <c r="C170" s="302">
        <v>0</v>
      </c>
      <c r="D170" s="302">
        <v>8889.2303268031592</v>
      </c>
      <c r="E170" s="302">
        <v>0</v>
      </c>
      <c r="F170" s="302">
        <v>0</v>
      </c>
      <c r="G170" s="302">
        <v>633.59233329487495</v>
      </c>
      <c r="H170" s="302">
        <v>0</v>
      </c>
      <c r="I170" s="302">
        <v>0</v>
      </c>
      <c r="J170" s="302">
        <v>0</v>
      </c>
      <c r="K170" s="302">
        <v>1.82365383204162</v>
      </c>
      <c r="L170" s="302">
        <v>0</v>
      </c>
      <c r="M170" s="302">
        <v>0</v>
      </c>
      <c r="N170" s="302">
        <v>0</v>
      </c>
      <c r="O170" s="302">
        <v>0</v>
      </c>
      <c r="P170" s="302">
        <v>0</v>
      </c>
      <c r="Q170" s="302">
        <v>0</v>
      </c>
      <c r="R170" s="302">
        <v>82605.805246579795</v>
      </c>
      <c r="S170" s="302">
        <v>0</v>
      </c>
      <c r="T170" s="302">
        <v>0</v>
      </c>
      <c r="U170" s="302">
        <v>0</v>
      </c>
      <c r="V170" s="302">
        <v>0</v>
      </c>
      <c r="W170" s="302">
        <v>0</v>
      </c>
      <c r="X170" s="302">
        <v>0</v>
      </c>
      <c r="Y170" s="302">
        <v>0</v>
      </c>
      <c r="Z170" s="302">
        <v>0</v>
      </c>
      <c r="AA170" s="302">
        <v>0</v>
      </c>
    </row>
    <row r="171" spans="1:27">
      <c r="A171" s="304" t="s">
        <v>748</v>
      </c>
      <c r="B171" s="302">
        <v>0</v>
      </c>
      <c r="C171" s="302">
        <v>0</v>
      </c>
      <c r="D171" s="302">
        <v>633.060913481537</v>
      </c>
      <c r="E171" s="302">
        <v>0</v>
      </c>
      <c r="F171" s="302">
        <v>0</v>
      </c>
      <c r="G171" s="302">
        <v>0</v>
      </c>
      <c r="H171" s="302">
        <v>0</v>
      </c>
      <c r="I171" s="302">
        <v>0</v>
      </c>
      <c r="J171" s="302">
        <v>0</v>
      </c>
      <c r="K171" s="302">
        <v>0</v>
      </c>
      <c r="L171" s="302">
        <v>0</v>
      </c>
      <c r="M171" s="302">
        <v>0</v>
      </c>
      <c r="N171" s="302">
        <v>0</v>
      </c>
      <c r="O171" s="302">
        <v>0</v>
      </c>
      <c r="P171" s="302">
        <v>0</v>
      </c>
      <c r="Q171" s="302">
        <v>0</v>
      </c>
      <c r="R171" s="302">
        <v>0</v>
      </c>
      <c r="S171" s="302">
        <v>0</v>
      </c>
      <c r="T171" s="302">
        <v>0</v>
      </c>
      <c r="U171" s="302">
        <v>0</v>
      </c>
      <c r="V171" s="302">
        <v>0</v>
      </c>
      <c r="W171" s="302">
        <v>0</v>
      </c>
      <c r="X171" s="302">
        <v>0</v>
      </c>
      <c r="Y171" s="302">
        <v>0</v>
      </c>
      <c r="Z171" s="302">
        <v>0</v>
      </c>
      <c r="AA171" s="302">
        <v>0</v>
      </c>
    </row>
    <row r="172" spans="1:27">
      <c r="A172" s="304"/>
      <c r="B172" s="390" t="s">
        <v>682</v>
      </c>
      <c r="C172" s="402"/>
      <c r="D172" s="402"/>
      <c r="E172" s="402"/>
      <c r="F172" s="402"/>
      <c r="G172" s="402"/>
      <c r="H172" s="402"/>
      <c r="I172" s="402"/>
      <c r="J172" s="402"/>
      <c r="K172" s="402"/>
      <c r="L172" s="402"/>
      <c r="M172" s="402"/>
      <c r="N172" s="402"/>
      <c r="O172" s="402"/>
      <c r="P172" s="402"/>
      <c r="Q172" s="402"/>
      <c r="R172" s="402"/>
      <c r="S172" s="402"/>
      <c r="T172" s="402"/>
      <c r="U172" s="402"/>
      <c r="V172" s="402"/>
      <c r="W172" s="402"/>
      <c r="X172" s="402"/>
      <c r="Y172" s="402"/>
      <c r="Z172" s="402"/>
      <c r="AA172" s="402"/>
    </row>
  </sheetData>
  <mergeCells count="8">
    <mergeCell ref="B172:AA172"/>
    <mergeCell ref="AE130:BR130"/>
    <mergeCell ref="B148:AA148"/>
    <mergeCell ref="BV130:DI130"/>
    <mergeCell ref="BV42:DI42"/>
    <mergeCell ref="AE42:BR42"/>
    <mergeCell ref="AE86:BR86"/>
    <mergeCell ref="B60"/>
  </mergeCells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R242"/>
  <sheetViews>
    <sheetView topLeftCell="A218" zoomScale="49" workbookViewId="0"/>
  </sheetViews>
  <sheetFormatPr defaultColWidth="11.5546875" defaultRowHeight="14.4"/>
  <cols>
    <col min="2" max="58" width="7.6640625" customWidth="1"/>
    <col min="62" max="90" width="7.6640625" customWidth="1"/>
    <col min="94" max="122" width="7.6640625" customWidth="1"/>
  </cols>
  <sheetData>
    <row r="1" spans="1:122" ht="174.6">
      <c r="A1" s="303" t="s">
        <v>641</v>
      </c>
      <c r="B1" s="234" t="s">
        <v>706</v>
      </c>
      <c r="BI1" s="303" t="s">
        <v>641</v>
      </c>
      <c r="BJ1" s="234" t="s">
        <v>683</v>
      </c>
      <c r="BK1" s="234" t="s">
        <v>684</v>
      </c>
      <c r="BL1" s="234" t="s">
        <v>685</v>
      </c>
      <c r="BM1" s="234" t="s">
        <v>686</v>
      </c>
      <c r="BN1" s="234" t="s">
        <v>749</v>
      </c>
      <c r="BO1" s="234" t="s">
        <v>750</v>
      </c>
      <c r="BP1" s="234" t="s">
        <v>687</v>
      </c>
      <c r="BQ1" s="234" t="s">
        <v>688</v>
      </c>
      <c r="BR1" s="234" t="s">
        <v>689</v>
      </c>
      <c r="BS1" s="234" t="s">
        <v>751</v>
      </c>
      <c r="BT1" s="234" t="s">
        <v>690</v>
      </c>
      <c r="BU1" s="234" t="s">
        <v>691</v>
      </c>
      <c r="BV1" s="234" t="s">
        <v>692</v>
      </c>
      <c r="BW1" s="234" t="s">
        <v>693</v>
      </c>
      <c r="BX1" s="234" t="s">
        <v>694</v>
      </c>
      <c r="BY1" s="234" t="s">
        <v>695</v>
      </c>
      <c r="BZ1" s="234" t="s">
        <v>752</v>
      </c>
      <c r="CA1" s="234" t="s">
        <v>753</v>
      </c>
      <c r="CB1" s="234" t="s">
        <v>754</v>
      </c>
      <c r="CC1" s="234" t="s">
        <v>755</v>
      </c>
      <c r="CD1" s="234" t="s">
        <v>756</v>
      </c>
      <c r="CE1" s="234" t="s">
        <v>757</v>
      </c>
      <c r="CF1" s="234" t="s">
        <v>696</v>
      </c>
      <c r="CG1" s="234" t="s">
        <v>758</v>
      </c>
      <c r="CH1" s="234" t="s">
        <v>759</v>
      </c>
      <c r="CI1" s="234" t="s">
        <v>760</v>
      </c>
      <c r="CJ1" s="234" t="s">
        <v>761</v>
      </c>
      <c r="CK1" s="234" t="s">
        <v>697</v>
      </c>
      <c r="CL1" s="234" t="s">
        <v>762</v>
      </c>
      <c r="CO1" s="303" t="s">
        <v>641</v>
      </c>
      <c r="CP1" s="234" t="s">
        <v>683</v>
      </c>
      <c r="CQ1" s="234" t="s">
        <v>684</v>
      </c>
      <c r="CR1" s="234" t="s">
        <v>685</v>
      </c>
      <c r="CS1" s="234" t="s">
        <v>686</v>
      </c>
      <c r="CT1" s="234" t="s">
        <v>749</v>
      </c>
      <c r="CU1" s="234" t="s">
        <v>750</v>
      </c>
      <c r="CV1" s="234" t="s">
        <v>687</v>
      </c>
      <c r="CW1" s="234" t="s">
        <v>688</v>
      </c>
      <c r="CX1" s="234" t="s">
        <v>689</v>
      </c>
      <c r="CY1" s="234" t="s">
        <v>751</v>
      </c>
      <c r="CZ1" s="234" t="s">
        <v>690</v>
      </c>
      <c r="DA1" s="234" t="s">
        <v>691</v>
      </c>
      <c r="DB1" s="234" t="s">
        <v>692</v>
      </c>
      <c r="DC1" s="234" t="s">
        <v>693</v>
      </c>
      <c r="DD1" s="234" t="s">
        <v>694</v>
      </c>
      <c r="DE1" s="234" t="s">
        <v>695</v>
      </c>
      <c r="DF1" s="234" t="s">
        <v>752</v>
      </c>
      <c r="DG1" s="234" t="s">
        <v>753</v>
      </c>
      <c r="DH1" s="234" t="s">
        <v>754</v>
      </c>
      <c r="DI1" s="234" t="s">
        <v>755</v>
      </c>
      <c r="DJ1" s="234" t="s">
        <v>756</v>
      </c>
      <c r="DK1" s="234" t="s">
        <v>757</v>
      </c>
      <c r="DL1" s="234" t="s">
        <v>696</v>
      </c>
      <c r="DM1" s="234" t="s">
        <v>758</v>
      </c>
      <c r="DN1" s="234" t="s">
        <v>759</v>
      </c>
      <c r="DO1" s="234" t="s">
        <v>760</v>
      </c>
      <c r="DP1" s="234" t="s">
        <v>761</v>
      </c>
      <c r="DQ1" s="234" t="s">
        <v>697</v>
      </c>
      <c r="DR1" s="234" t="s">
        <v>762</v>
      </c>
    </row>
    <row r="2" spans="1:122">
      <c r="A2" s="304" t="s">
        <v>763</v>
      </c>
      <c r="B2" s="306">
        <v>1</v>
      </c>
      <c r="BI2" s="304" t="s">
        <v>642</v>
      </c>
      <c r="BJ2" s="306">
        <v>0</v>
      </c>
      <c r="BK2" s="306">
        <v>0</v>
      </c>
      <c r="BL2" s="306">
        <v>0</v>
      </c>
      <c r="BM2" s="306">
        <v>0</v>
      </c>
      <c r="BN2" s="306">
        <v>0</v>
      </c>
      <c r="BO2" s="306">
        <v>0</v>
      </c>
      <c r="BP2" s="306">
        <v>0</v>
      </c>
      <c r="BQ2" s="306">
        <v>0</v>
      </c>
      <c r="BR2" s="306">
        <v>0</v>
      </c>
      <c r="BS2" s="306">
        <v>0</v>
      </c>
      <c r="BT2" s="306">
        <v>0</v>
      </c>
      <c r="BU2" s="306">
        <v>0</v>
      </c>
      <c r="BV2" s="306">
        <v>0</v>
      </c>
      <c r="BW2" s="306">
        <v>0</v>
      </c>
      <c r="BX2" s="306">
        <v>0</v>
      </c>
      <c r="BY2" s="306">
        <v>0</v>
      </c>
      <c r="BZ2" s="306">
        <v>0</v>
      </c>
      <c r="CA2" s="306">
        <v>0</v>
      </c>
      <c r="CB2" s="306">
        <v>0</v>
      </c>
      <c r="CC2" s="306">
        <v>0</v>
      </c>
      <c r="CD2" s="306">
        <v>0</v>
      </c>
      <c r="CE2" s="306">
        <v>0</v>
      </c>
      <c r="CF2" s="306">
        <v>0</v>
      </c>
      <c r="CG2" s="306">
        <v>0</v>
      </c>
      <c r="CH2" s="306">
        <v>0</v>
      </c>
      <c r="CI2" s="306">
        <v>0</v>
      </c>
      <c r="CJ2" s="306">
        <v>0</v>
      </c>
      <c r="CK2" s="306">
        <v>0</v>
      </c>
      <c r="CL2" s="306">
        <v>0</v>
      </c>
      <c r="CO2" s="304" t="s">
        <v>642</v>
      </c>
      <c r="CP2" s="306">
        <v>0</v>
      </c>
      <c r="CQ2" s="306">
        <v>0</v>
      </c>
      <c r="CR2" s="306">
        <v>0</v>
      </c>
      <c r="CS2" s="306">
        <v>0</v>
      </c>
      <c r="CT2" s="306">
        <v>0</v>
      </c>
      <c r="CU2" s="306">
        <v>0</v>
      </c>
      <c r="CV2" s="306">
        <v>0</v>
      </c>
      <c r="CW2" s="306">
        <v>0</v>
      </c>
      <c r="CX2" s="306">
        <v>0</v>
      </c>
      <c r="CY2" s="306">
        <v>0</v>
      </c>
      <c r="CZ2" s="306">
        <v>0</v>
      </c>
      <c r="DA2" s="306">
        <v>0</v>
      </c>
      <c r="DB2" s="306">
        <v>0</v>
      </c>
      <c r="DC2" s="306">
        <v>0</v>
      </c>
      <c r="DD2" s="306">
        <v>0</v>
      </c>
      <c r="DE2" s="306">
        <v>0</v>
      </c>
      <c r="DF2" s="306">
        <v>0</v>
      </c>
      <c r="DG2" s="306">
        <v>0</v>
      </c>
      <c r="DH2" s="306">
        <v>0</v>
      </c>
      <c r="DI2" s="306">
        <v>0</v>
      </c>
      <c r="DJ2" s="306">
        <v>0</v>
      </c>
      <c r="DK2" s="306">
        <v>0</v>
      </c>
      <c r="DL2" s="306">
        <v>0</v>
      </c>
      <c r="DM2" s="306">
        <v>0</v>
      </c>
      <c r="DN2" s="306">
        <v>0</v>
      </c>
      <c r="DO2" s="306">
        <v>0</v>
      </c>
      <c r="DP2" s="306">
        <v>0</v>
      </c>
      <c r="DQ2" s="306">
        <v>0</v>
      </c>
      <c r="DR2" s="306">
        <v>0</v>
      </c>
    </row>
    <row r="3" spans="1:122">
      <c r="A3" s="304" t="s">
        <v>642</v>
      </c>
      <c r="B3" s="306">
        <v>1</v>
      </c>
      <c r="BI3" s="304" t="s">
        <v>708</v>
      </c>
      <c r="BJ3" s="306">
        <v>0</v>
      </c>
      <c r="BK3" s="306">
        <v>0</v>
      </c>
      <c r="BL3" s="306">
        <v>0</v>
      </c>
      <c r="BM3" s="306">
        <v>0</v>
      </c>
      <c r="BN3" s="306">
        <v>0</v>
      </c>
      <c r="BO3" s="306">
        <v>0</v>
      </c>
      <c r="BP3" s="306">
        <v>0</v>
      </c>
      <c r="BQ3" s="306">
        <v>0</v>
      </c>
      <c r="BR3" s="306">
        <v>0</v>
      </c>
      <c r="BS3" s="306">
        <v>0</v>
      </c>
      <c r="BT3" s="306">
        <v>0</v>
      </c>
      <c r="BU3" s="306">
        <v>0</v>
      </c>
      <c r="BV3" s="306">
        <v>0</v>
      </c>
      <c r="BW3" s="306">
        <v>0</v>
      </c>
      <c r="BX3" s="306">
        <v>0</v>
      </c>
      <c r="BY3" s="306">
        <v>0</v>
      </c>
      <c r="BZ3" s="306">
        <v>0</v>
      </c>
      <c r="CA3" s="306">
        <v>0</v>
      </c>
      <c r="CB3" s="306">
        <v>0</v>
      </c>
      <c r="CC3" s="306">
        <v>0</v>
      </c>
      <c r="CD3" s="306">
        <v>0</v>
      </c>
      <c r="CE3" s="306">
        <v>0</v>
      </c>
      <c r="CF3" s="306">
        <v>0</v>
      </c>
      <c r="CG3" s="306">
        <v>0</v>
      </c>
      <c r="CH3" s="306">
        <v>0</v>
      </c>
      <c r="CI3" s="306">
        <v>0</v>
      </c>
      <c r="CJ3" s="306">
        <v>0</v>
      </c>
      <c r="CK3" s="306">
        <v>0</v>
      </c>
      <c r="CL3" s="306">
        <v>0</v>
      </c>
      <c r="CO3" s="304" t="s">
        <v>708</v>
      </c>
      <c r="CP3" s="306">
        <v>0</v>
      </c>
      <c r="CQ3" s="306">
        <v>0</v>
      </c>
      <c r="CR3" s="306">
        <v>0</v>
      </c>
      <c r="CS3" s="306">
        <v>0</v>
      </c>
      <c r="CT3" s="306">
        <v>0</v>
      </c>
      <c r="CU3" s="306">
        <v>0</v>
      </c>
      <c r="CV3" s="306">
        <v>0</v>
      </c>
      <c r="CW3" s="306">
        <v>0</v>
      </c>
      <c r="CX3" s="306">
        <v>0</v>
      </c>
      <c r="CY3" s="306">
        <v>0</v>
      </c>
      <c r="CZ3" s="306">
        <v>0</v>
      </c>
      <c r="DA3" s="306">
        <v>0</v>
      </c>
      <c r="DB3" s="306">
        <v>0</v>
      </c>
      <c r="DC3" s="306">
        <v>0</v>
      </c>
      <c r="DD3" s="306">
        <v>0</v>
      </c>
      <c r="DE3" s="306">
        <v>0</v>
      </c>
      <c r="DF3" s="306">
        <v>0</v>
      </c>
      <c r="DG3" s="306">
        <v>0</v>
      </c>
      <c r="DH3" s="306">
        <v>0</v>
      </c>
      <c r="DI3" s="306">
        <v>0</v>
      </c>
      <c r="DJ3" s="306">
        <v>0</v>
      </c>
      <c r="DK3" s="306">
        <v>0</v>
      </c>
      <c r="DL3" s="306">
        <v>0</v>
      </c>
      <c r="DM3" s="306">
        <v>0</v>
      </c>
      <c r="DN3" s="306">
        <v>0</v>
      </c>
      <c r="DO3" s="306">
        <v>0</v>
      </c>
      <c r="DP3" s="306">
        <v>0</v>
      </c>
      <c r="DQ3" s="306">
        <v>0</v>
      </c>
      <c r="DR3" s="306">
        <v>0</v>
      </c>
    </row>
    <row r="4" spans="1:122">
      <c r="A4" s="304" t="s">
        <v>708</v>
      </c>
      <c r="B4" s="306">
        <v>1</v>
      </c>
      <c r="BI4" s="304" t="s">
        <v>643</v>
      </c>
      <c r="BJ4" s="306">
        <v>0</v>
      </c>
      <c r="BK4" s="306">
        <v>0</v>
      </c>
      <c r="BL4" s="306">
        <v>0</v>
      </c>
      <c r="BM4" s="306">
        <v>0</v>
      </c>
      <c r="BN4" s="306">
        <v>0</v>
      </c>
      <c r="BO4" s="306">
        <v>0</v>
      </c>
      <c r="BP4" s="306">
        <v>0</v>
      </c>
      <c r="BQ4" s="306">
        <v>0</v>
      </c>
      <c r="BR4" s="306">
        <v>0</v>
      </c>
      <c r="BS4" s="306">
        <v>0</v>
      </c>
      <c r="BT4" s="306">
        <v>0</v>
      </c>
      <c r="BU4" s="306">
        <v>0</v>
      </c>
      <c r="BV4" s="306">
        <v>0</v>
      </c>
      <c r="BW4" s="306">
        <v>0</v>
      </c>
      <c r="BX4" s="306">
        <v>0</v>
      </c>
      <c r="BY4" s="306">
        <v>0</v>
      </c>
      <c r="BZ4" s="306">
        <v>0</v>
      </c>
      <c r="CA4" s="306">
        <v>0</v>
      </c>
      <c r="CB4" s="306">
        <v>0</v>
      </c>
      <c r="CC4" s="306">
        <v>0</v>
      </c>
      <c r="CD4" s="306">
        <v>0</v>
      </c>
      <c r="CE4" s="306">
        <v>0</v>
      </c>
      <c r="CF4" s="306">
        <v>0</v>
      </c>
      <c r="CG4" s="306">
        <v>0</v>
      </c>
      <c r="CH4" s="306">
        <v>0</v>
      </c>
      <c r="CI4" s="306">
        <v>0</v>
      </c>
      <c r="CJ4" s="306">
        <v>0</v>
      </c>
      <c r="CK4" s="306">
        <v>0</v>
      </c>
      <c r="CL4" s="306">
        <v>0</v>
      </c>
      <c r="CO4" s="304" t="s">
        <v>643</v>
      </c>
      <c r="CP4" s="306">
        <v>0</v>
      </c>
      <c r="CQ4" s="306">
        <v>0</v>
      </c>
      <c r="CR4" s="306">
        <v>0</v>
      </c>
      <c r="CS4" s="306">
        <v>0</v>
      </c>
      <c r="CT4" s="306">
        <v>0</v>
      </c>
      <c r="CU4" s="306">
        <v>0</v>
      </c>
      <c r="CV4" s="306">
        <v>0</v>
      </c>
      <c r="CW4" s="306">
        <v>0</v>
      </c>
      <c r="CX4" s="306">
        <v>0</v>
      </c>
      <c r="CY4" s="306">
        <v>0</v>
      </c>
      <c r="CZ4" s="306">
        <v>0</v>
      </c>
      <c r="DA4" s="306">
        <v>0</v>
      </c>
      <c r="DB4" s="306">
        <v>0</v>
      </c>
      <c r="DC4" s="306">
        <v>0</v>
      </c>
      <c r="DD4" s="306">
        <v>0</v>
      </c>
      <c r="DE4" s="306">
        <v>0</v>
      </c>
      <c r="DF4" s="306">
        <v>0</v>
      </c>
      <c r="DG4" s="306">
        <v>0</v>
      </c>
      <c r="DH4" s="306">
        <v>0</v>
      </c>
      <c r="DI4" s="306">
        <v>0</v>
      </c>
      <c r="DJ4" s="306">
        <v>0</v>
      </c>
      <c r="DK4" s="306">
        <v>0</v>
      </c>
      <c r="DL4" s="306">
        <v>0</v>
      </c>
      <c r="DM4" s="306">
        <v>0</v>
      </c>
      <c r="DN4" s="306">
        <v>0</v>
      </c>
      <c r="DO4" s="306">
        <v>0</v>
      </c>
      <c r="DP4" s="306">
        <v>0</v>
      </c>
      <c r="DQ4" s="306">
        <v>0</v>
      </c>
      <c r="DR4" s="306">
        <v>0</v>
      </c>
    </row>
    <row r="5" spans="1:122">
      <c r="A5" s="304" t="s">
        <v>643</v>
      </c>
      <c r="B5" s="306">
        <v>1</v>
      </c>
      <c r="BI5" s="304" t="s">
        <v>644</v>
      </c>
      <c r="BJ5" s="306">
        <v>0</v>
      </c>
      <c r="BK5" s="306">
        <v>0</v>
      </c>
      <c r="BL5" s="306">
        <v>0</v>
      </c>
      <c r="BM5" s="306">
        <v>0</v>
      </c>
      <c r="BN5" s="306">
        <v>0</v>
      </c>
      <c r="BO5" s="306">
        <v>0</v>
      </c>
      <c r="BP5" s="306">
        <v>0</v>
      </c>
      <c r="BQ5" s="306">
        <v>0</v>
      </c>
      <c r="BR5" s="306">
        <v>0</v>
      </c>
      <c r="BS5" s="306">
        <v>0</v>
      </c>
      <c r="BT5" s="306">
        <v>0</v>
      </c>
      <c r="BU5" s="306">
        <v>0</v>
      </c>
      <c r="BV5" s="306">
        <v>0</v>
      </c>
      <c r="BW5" s="306">
        <v>0</v>
      </c>
      <c r="BX5" s="306">
        <v>0</v>
      </c>
      <c r="BY5" s="306">
        <v>0</v>
      </c>
      <c r="BZ5" s="306">
        <v>0</v>
      </c>
      <c r="CA5" s="306">
        <v>0</v>
      </c>
      <c r="CB5" s="306">
        <v>0</v>
      </c>
      <c r="CC5" s="306">
        <v>0</v>
      </c>
      <c r="CD5" s="306">
        <v>0</v>
      </c>
      <c r="CE5" s="306">
        <v>0</v>
      </c>
      <c r="CF5" s="306">
        <v>0</v>
      </c>
      <c r="CG5" s="306">
        <v>0</v>
      </c>
      <c r="CH5" s="306">
        <v>0</v>
      </c>
      <c r="CI5" s="306">
        <v>0</v>
      </c>
      <c r="CJ5" s="306">
        <v>0</v>
      </c>
      <c r="CK5" s="306">
        <v>0</v>
      </c>
      <c r="CL5" s="306">
        <v>0</v>
      </c>
      <c r="CO5" s="304" t="s">
        <v>644</v>
      </c>
      <c r="CP5" s="306">
        <v>0</v>
      </c>
      <c r="CQ5" s="306">
        <v>0</v>
      </c>
      <c r="CR5" s="306">
        <v>0</v>
      </c>
      <c r="CS5" s="306">
        <v>0</v>
      </c>
      <c r="CT5" s="306">
        <v>0</v>
      </c>
      <c r="CU5" s="306">
        <v>0</v>
      </c>
      <c r="CV5" s="306">
        <v>0</v>
      </c>
      <c r="CW5" s="306">
        <v>0</v>
      </c>
      <c r="CX5" s="306">
        <v>0</v>
      </c>
      <c r="CY5" s="306">
        <v>0</v>
      </c>
      <c r="CZ5" s="306">
        <v>0</v>
      </c>
      <c r="DA5" s="306">
        <v>0</v>
      </c>
      <c r="DB5" s="306">
        <v>0</v>
      </c>
      <c r="DC5" s="306">
        <v>0</v>
      </c>
      <c r="DD5" s="306">
        <v>0</v>
      </c>
      <c r="DE5" s="306">
        <v>0</v>
      </c>
      <c r="DF5" s="306">
        <v>0</v>
      </c>
      <c r="DG5" s="306">
        <v>0</v>
      </c>
      <c r="DH5" s="306">
        <v>0</v>
      </c>
      <c r="DI5" s="306">
        <v>0</v>
      </c>
      <c r="DJ5" s="306">
        <v>0</v>
      </c>
      <c r="DK5" s="306">
        <v>0</v>
      </c>
      <c r="DL5" s="306">
        <v>0</v>
      </c>
      <c r="DM5" s="306">
        <v>0</v>
      </c>
      <c r="DN5" s="306">
        <v>0</v>
      </c>
      <c r="DO5" s="306">
        <v>0</v>
      </c>
      <c r="DP5" s="306">
        <v>0</v>
      </c>
      <c r="DQ5" s="306">
        <v>0</v>
      </c>
      <c r="DR5" s="306">
        <v>0</v>
      </c>
    </row>
    <row r="6" spans="1:122">
      <c r="A6" s="304" t="s">
        <v>764</v>
      </c>
      <c r="B6" s="306">
        <v>1</v>
      </c>
      <c r="BI6" s="304" t="s">
        <v>645</v>
      </c>
      <c r="BJ6" s="306">
        <v>0</v>
      </c>
      <c r="BK6" s="306">
        <v>0</v>
      </c>
      <c r="BL6" s="306">
        <v>0</v>
      </c>
      <c r="BM6" s="306">
        <v>0</v>
      </c>
      <c r="BN6" s="306">
        <v>0</v>
      </c>
      <c r="BO6" s="306">
        <v>0</v>
      </c>
      <c r="BP6" s="306">
        <v>0</v>
      </c>
      <c r="BQ6" s="306">
        <v>0</v>
      </c>
      <c r="BR6" s="306">
        <v>0</v>
      </c>
      <c r="BS6" s="306">
        <v>0</v>
      </c>
      <c r="BT6" s="306">
        <v>0</v>
      </c>
      <c r="BU6" s="306">
        <v>0</v>
      </c>
      <c r="BV6" s="306">
        <v>0</v>
      </c>
      <c r="BW6" s="306">
        <v>0</v>
      </c>
      <c r="BX6" s="306">
        <v>0</v>
      </c>
      <c r="BY6" s="306">
        <v>0</v>
      </c>
      <c r="BZ6" s="306">
        <v>0</v>
      </c>
      <c r="CA6" s="306">
        <v>0</v>
      </c>
      <c r="CB6" s="306">
        <v>0</v>
      </c>
      <c r="CC6" s="306">
        <v>0</v>
      </c>
      <c r="CD6" s="306">
        <v>0</v>
      </c>
      <c r="CE6" s="306">
        <v>0</v>
      </c>
      <c r="CF6" s="306">
        <v>0</v>
      </c>
      <c r="CG6" s="306">
        <v>0</v>
      </c>
      <c r="CH6" s="306">
        <v>0</v>
      </c>
      <c r="CI6" s="306">
        <v>0</v>
      </c>
      <c r="CJ6" s="306">
        <v>0</v>
      </c>
      <c r="CK6" s="306">
        <v>0</v>
      </c>
      <c r="CL6" s="306">
        <v>0</v>
      </c>
      <c r="CO6" s="304" t="s">
        <v>645</v>
      </c>
      <c r="CP6" s="306">
        <v>0</v>
      </c>
      <c r="CQ6" s="306">
        <v>0</v>
      </c>
      <c r="CR6" s="306">
        <v>0</v>
      </c>
      <c r="CS6" s="306">
        <v>0</v>
      </c>
      <c r="CT6" s="306">
        <v>0</v>
      </c>
      <c r="CU6" s="306">
        <v>0</v>
      </c>
      <c r="CV6" s="306">
        <v>0</v>
      </c>
      <c r="CW6" s="306">
        <v>0</v>
      </c>
      <c r="CX6" s="306">
        <v>0</v>
      </c>
      <c r="CY6" s="306">
        <v>0</v>
      </c>
      <c r="CZ6" s="306">
        <v>0</v>
      </c>
      <c r="DA6" s="306">
        <v>0</v>
      </c>
      <c r="DB6" s="306">
        <v>0</v>
      </c>
      <c r="DC6" s="306">
        <v>0</v>
      </c>
      <c r="DD6" s="306">
        <v>0</v>
      </c>
      <c r="DE6" s="306">
        <v>0</v>
      </c>
      <c r="DF6" s="306">
        <v>0</v>
      </c>
      <c r="DG6" s="306">
        <v>0</v>
      </c>
      <c r="DH6" s="306">
        <v>0</v>
      </c>
      <c r="DI6" s="306">
        <v>0</v>
      </c>
      <c r="DJ6" s="306">
        <v>0</v>
      </c>
      <c r="DK6" s="306">
        <v>0</v>
      </c>
      <c r="DL6" s="306">
        <v>0</v>
      </c>
      <c r="DM6" s="306">
        <v>0</v>
      </c>
      <c r="DN6" s="306">
        <v>0</v>
      </c>
      <c r="DO6" s="306">
        <v>0</v>
      </c>
      <c r="DP6" s="306">
        <v>0</v>
      </c>
      <c r="DQ6" s="306">
        <v>0</v>
      </c>
      <c r="DR6" s="306">
        <v>0</v>
      </c>
    </row>
    <row r="7" spans="1:122">
      <c r="A7" s="304" t="s">
        <v>765</v>
      </c>
      <c r="B7" s="306">
        <v>1</v>
      </c>
      <c r="BI7" s="304" t="s">
        <v>646</v>
      </c>
      <c r="BJ7" s="306">
        <v>0</v>
      </c>
      <c r="BK7" s="306">
        <v>0</v>
      </c>
      <c r="BL7" s="306">
        <v>0</v>
      </c>
      <c r="BM7" s="306">
        <v>0</v>
      </c>
      <c r="BN7" s="306">
        <v>0</v>
      </c>
      <c r="BO7" s="306">
        <v>0</v>
      </c>
      <c r="BP7" s="306">
        <v>0</v>
      </c>
      <c r="BQ7" s="306">
        <v>0</v>
      </c>
      <c r="BR7" s="306">
        <v>0</v>
      </c>
      <c r="BS7" s="306">
        <v>0</v>
      </c>
      <c r="BT7" s="306">
        <v>0</v>
      </c>
      <c r="BU7" s="306">
        <v>0</v>
      </c>
      <c r="BV7" s="306">
        <v>0</v>
      </c>
      <c r="BW7" s="306">
        <v>0</v>
      </c>
      <c r="BX7" s="306">
        <v>0</v>
      </c>
      <c r="BY7" s="306">
        <v>0</v>
      </c>
      <c r="BZ7" s="306">
        <v>0</v>
      </c>
      <c r="CA7" s="306">
        <v>0</v>
      </c>
      <c r="CB7" s="306">
        <v>0</v>
      </c>
      <c r="CC7" s="306">
        <v>0</v>
      </c>
      <c r="CD7" s="306">
        <v>0</v>
      </c>
      <c r="CE7" s="306">
        <v>0</v>
      </c>
      <c r="CF7" s="306">
        <v>0</v>
      </c>
      <c r="CG7" s="306">
        <v>0</v>
      </c>
      <c r="CH7" s="306">
        <v>0</v>
      </c>
      <c r="CI7" s="306">
        <v>0</v>
      </c>
      <c r="CJ7" s="306">
        <v>0</v>
      </c>
      <c r="CK7" s="306">
        <v>0</v>
      </c>
      <c r="CL7" s="306">
        <v>0</v>
      </c>
      <c r="CO7" s="304" t="s">
        <v>646</v>
      </c>
      <c r="CP7" s="306">
        <v>0</v>
      </c>
      <c r="CQ7" s="306">
        <v>0</v>
      </c>
      <c r="CR7" s="306">
        <v>0</v>
      </c>
      <c r="CS7" s="306">
        <v>0</v>
      </c>
      <c r="CT7" s="306">
        <v>0</v>
      </c>
      <c r="CU7" s="306">
        <v>0</v>
      </c>
      <c r="CV7" s="306">
        <v>0</v>
      </c>
      <c r="CW7" s="306">
        <v>0</v>
      </c>
      <c r="CX7" s="306">
        <v>0</v>
      </c>
      <c r="CY7" s="306">
        <v>0</v>
      </c>
      <c r="CZ7" s="306">
        <v>0</v>
      </c>
      <c r="DA7" s="306">
        <v>0</v>
      </c>
      <c r="DB7" s="306">
        <v>0</v>
      </c>
      <c r="DC7" s="306">
        <v>0</v>
      </c>
      <c r="DD7" s="306">
        <v>0</v>
      </c>
      <c r="DE7" s="306">
        <v>0</v>
      </c>
      <c r="DF7" s="306">
        <v>0</v>
      </c>
      <c r="DG7" s="306">
        <v>0</v>
      </c>
      <c r="DH7" s="306">
        <v>0</v>
      </c>
      <c r="DI7" s="306">
        <v>0</v>
      </c>
      <c r="DJ7" s="306">
        <v>0</v>
      </c>
      <c r="DK7" s="306">
        <v>0</v>
      </c>
      <c r="DL7" s="306">
        <v>0</v>
      </c>
      <c r="DM7" s="306">
        <v>0</v>
      </c>
      <c r="DN7" s="306">
        <v>0</v>
      </c>
      <c r="DO7" s="306">
        <v>0</v>
      </c>
      <c r="DP7" s="306">
        <v>0</v>
      </c>
      <c r="DQ7" s="306">
        <v>0</v>
      </c>
      <c r="DR7" s="306">
        <v>0</v>
      </c>
    </row>
    <row r="8" spans="1:122">
      <c r="A8" s="304" t="s">
        <v>766</v>
      </c>
      <c r="B8" s="306">
        <v>1</v>
      </c>
      <c r="BI8" s="304" t="s">
        <v>647</v>
      </c>
      <c r="BJ8" s="306">
        <v>0</v>
      </c>
      <c r="BK8" s="306">
        <v>0</v>
      </c>
      <c r="BL8" s="306">
        <v>0</v>
      </c>
      <c r="BM8" s="306">
        <v>0</v>
      </c>
      <c r="BN8" s="306">
        <v>0</v>
      </c>
      <c r="BO8" s="306">
        <v>0</v>
      </c>
      <c r="BP8" s="306">
        <v>0</v>
      </c>
      <c r="BQ8" s="306">
        <v>0</v>
      </c>
      <c r="BR8" s="306">
        <v>0</v>
      </c>
      <c r="BS8" s="306">
        <v>0</v>
      </c>
      <c r="BT8" s="306">
        <v>0</v>
      </c>
      <c r="BU8" s="306">
        <v>0</v>
      </c>
      <c r="BV8" s="306">
        <v>0</v>
      </c>
      <c r="BW8" s="306">
        <v>0</v>
      </c>
      <c r="BX8" s="306">
        <v>0</v>
      </c>
      <c r="BY8" s="306">
        <v>0</v>
      </c>
      <c r="BZ8" s="306">
        <v>0</v>
      </c>
      <c r="CA8" s="306">
        <v>0</v>
      </c>
      <c r="CB8" s="306">
        <v>0</v>
      </c>
      <c r="CC8" s="306">
        <v>0</v>
      </c>
      <c r="CD8" s="306">
        <v>0</v>
      </c>
      <c r="CE8" s="306">
        <v>0</v>
      </c>
      <c r="CF8" s="306">
        <v>0</v>
      </c>
      <c r="CG8" s="306">
        <v>0</v>
      </c>
      <c r="CH8" s="306">
        <v>0</v>
      </c>
      <c r="CI8" s="306">
        <v>0</v>
      </c>
      <c r="CJ8" s="306">
        <v>0</v>
      </c>
      <c r="CK8" s="306">
        <v>0</v>
      </c>
      <c r="CL8" s="306">
        <v>0</v>
      </c>
      <c r="CO8" s="304" t="s">
        <v>647</v>
      </c>
      <c r="CP8" s="306">
        <v>0</v>
      </c>
      <c r="CQ8" s="306">
        <v>0</v>
      </c>
      <c r="CR8" s="306">
        <v>0</v>
      </c>
      <c r="CS8" s="306">
        <v>0</v>
      </c>
      <c r="CT8" s="306">
        <v>0</v>
      </c>
      <c r="CU8" s="306">
        <v>0</v>
      </c>
      <c r="CV8" s="306">
        <v>0</v>
      </c>
      <c r="CW8" s="306">
        <v>0</v>
      </c>
      <c r="CX8" s="306">
        <v>0</v>
      </c>
      <c r="CY8" s="306">
        <v>0</v>
      </c>
      <c r="CZ8" s="306">
        <v>0</v>
      </c>
      <c r="DA8" s="306">
        <v>0</v>
      </c>
      <c r="DB8" s="306">
        <v>0</v>
      </c>
      <c r="DC8" s="306">
        <v>0</v>
      </c>
      <c r="DD8" s="306">
        <v>0</v>
      </c>
      <c r="DE8" s="306">
        <v>0</v>
      </c>
      <c r="DF8" s="306">
        <v>0</v>
      </c>
      <c r="DG8" s="306">
        <v>0</v>
      </c>
      <c r="DH8" s="306">
        <v>0</v>
      </c>
      <c r="DI8" s="306">
        <v>0</v>
      </c>
      <c r="DJ8" s="306">
        <v>0</v>
      </c>
      <c r="DK8" s="306">
        <v>0</v>
      </c>
      <c r="DL8" s="306">
        <v>0</v>
      </c>
      <c r="DM8" s="306">
        <v>0</v>
      </c>
      <c r="DN8" s="306">
        <v>0</v>
      </c>
      <c r="DO8" s="306">
        <v>0</v>
      </c>
      <c r="DP8" s="306">
        <v>0</v>
      </c>
      <c r="DQ8" s="306">
        <v>0</v>
      </c>
      <c r="DR8" s="306">
        <v>0</v>
      </c>
    </row>
    <row r="9" spans="1:122">
      <c r="A9" s="304" t="s">
        <v>644</v>
      </c>
      <c r="B9" s="306">
        <v>1</v>
      </c>
      <c r="BI9" s="304" t="s">
        <v>648</v>
      </c>
      <c r="BJ9" s="306">
        <v>0</v>
      </c>
      <c r="BK9" s="306">
        <v>0</v>
      </c>
      <c r="BL9" s="306">
        <v>0</v>
      </c>
      <c r="BM9" s="306">
        <v>0</v>
      </c>
      <c r="BN9" s="306">
        <v>0</v>
      </c>
      <c r="BO9" s="306">
        <v>0</v>
      </c>
      <c r="BP9" s="306">
        <v>0</v>
      </c>
      <c r="BQ9" s="306">
        <v>0</v>
      </c>
      <c r="BR9" s="306">
        <v>0</v>
      </c>
      <c r="BS9" s="306">
        <v>0</v>
      </c>
      <c r="BT9" s="306">
        <v>0</v>
      </c>
      <c r="BU9" s="306">
        <v>0</v>
      </c>
      <c r="BV9" s="306">
        <v>0</v>
      </c>
      <c r="BW9" s="306">
        <v>0</v>
      </c>
      <c r="BX9" s="306">
        <v>0</v>
      </c>
      <c r="BY9" s="306">
        <v>0</v>
      </c>
      <c r="BZ9" s="306">
        <v>0</v>
      </c>
      <c r="CA9" s="306">
        <v>0</v>
      </c>
      <c r="CB9" s="306">
        <v>0</v>
      </c>
      <c r="CC9" s="306">
        <v>0</v>
      </c>
      <c r="CD9" s="306">
        <v>0</v>
      </c>
      <c r="CE9" s="306">
        <v>0</v>
      </c>
      <c r="CF9" s="306">
        <v>0</v>
      </c>
      <c r="CG9" s="306">
        <v>0</v>
      </c>
      <c r="CH9" s="306">
        <v>0</v>
      </c>
      <c r="CI9" s="306">
        <v>0</v>
      </c>
      <c r="CJ9" s="306">
        <v>0</v>
      </c>
      <c r="CK9" s="306">
        <v>0</v>
      </c>
      <c r="CL9" s="306">
        <v>0</v>
      </c>
      <c r="CO9" s="304" t="s">
        <v>648</v>
      </c>
      <c r="CP9" s="306">
        <v>0</v>
      </c>
      <c r="CQ9" s="306">
        <v>0</v>
      </c>
      <c r="CR9" s="306">
        <v>0</v>
      </c>
      <c r="CS9" s="306">
        <v>0</v>
      </c>
      <c r="CT9" s="306">
        <v>0</v>
      </c>
      <c r="CU9" s="306">
        <v>0</v>
      </c>
      <c r="CV9" s="306">
        <v>0</v>
      </c>
      <c r="CW9" s="306">
        <v>0</v>
      </c>
      <c r="CX9" s="306">
        <v>0</v>
      </c>
      <c r="CY9" s="306">
        <v>0</v>
      </c>
      <c r="CZ9" s="306">
        <v>0</v>
      </c>
      <c r="DA9" s="306">
        <v>0</v>
      </c>
      <c r="DB9" s="306">
        <v>0</v>
      </c>
      <c r="DC9" s="306">
        <v>0</v>
      </c>
      <c r="DD9" s="306">
        <v>0</v>
      </c>
      <c r="DE9" s="306">
        <v>0</v>
      </c>
      <c r="DF9" s="306">
        <v>0</v>
      </c>
      <c r="DG9" s="306">
        <v>0</v>
      </c>
      <c r="DH9" s="306">
        <v>0</v>
      </c>
      <c r="DI9" s="306">
        <v>0</v>
      </c>
      <c r="DJ9" s="306">
        <v>0</v>
      </c>
      <c r="DK9" s="306">
        <v>0</v>
      </c>
      <c r="DL9" s="306">
        <v>0</v>
      </c>
      <c r="DM9" s="306">
        <v>0</v>
      </c>
      <c r="DN9" s="306">
        <v>0</v>
      </c>
      <c r="DO9" s="306">
        <v>0</v>
      </c>
      <c r="DP9" s="306">
        <v>0</v>
      </c>
      <c r="DQ9" s="306">
        <v>0</v>
      </c>
      <c r="DR9" s="306">
        <v>0</v>
      </c>
    </row>
    <row r="10" spans="1:122">
      <c r="A10" s="304" t="s">
        <v>645</v>
      </c>
      <c r="B10" s="306">
        <v>1</v>
      </c>
      <c r="BI10" s="304" t="s">
        <v>649</v>
      </c>
      <c r="BJ10" s="306">
        <v>0</v>
      </c>
      <c r="BK10" s="306">
        <v>0</v>
      </c>
      <c r="BL10" s="306">
        <v>0</v>
      </c>
      <c r="BM10" s="306">
        <v>0</v>
      </c>
      <c r="BN10" s="306">
        <v>0</v>
      </c>
      <c r="BO10" s="306">
        <v>0</v>
      </c>
      <c r="BP10" s="306">
        <v>0</v>
      </c>
      <c r="BQ10" s="306">
        <v>0</v>
      </c>
      <c r="BR10" s="306">
        <v>0</v>
      </c>
      <c r="BS10" s="306">
        <v>0</v>
      </c>
      <c r="BT10" s="306">
        <v>0</v>
      </c>
      <c r="BU10" s="306">
        <v>0</v>
      </c>
      <c r="BV10" s="306">
        <v>0</v>
      </c>
      <c r="BW10" s="306">
        <v>0</v>
      </c>
      <c r="BX10" s="306">
        <v>0</v>
      </c>
      <c r="BY10" s="306">
        <v>0</v>
      </c>
      <c r="BZ10" s="306">
        <v>0</v>
      </c>
      <c r="CA10" s="306">
        <v>0</v>
      </c>
      <c r="CB10" s="306">
        <v>0</v>
      </c>
      <c r="CC10" s="306">
        <v>0</v>
      </c>
      <c r="CD10" s="306">
        <v>0</v>
      </c>
      <c r="CE10" s="306">
        <v>0</v>
      </c>
      <c r="CF10" s="306">
        <v>0</v>
      </c>
      <c r="CG10" s="306">
        <v>0</v>
      </c>
      <c r="CH10" s="306">
        <v>0</v>
      </c>
      <c r="CI10" s="306">
        <v>0</v>
      </c>
      <c r="CJ10" s="306">
        <v>0</v>
      </c>
      <c r="CK10" s="306">
        <v>0</v>
      </c>
      <c r="CL10" s="306">
        <v>0</v>
      </c>
      <c r="CO10" s="304" t="s">
        <v>649</v>
      </c>
      <c r="CP10" s="306">
        <v>0</v>
      </c>
      <c r="CQ10" s="306">
        <v>0</v>
      </c>
      <c r="CR10" s="306">
        <v>0</v>
      </c>
      <c r="CS10" s="306">
        <v>0</v>
      </c>
      <c r="CT10" s="306">
        <v>0</v>
      </c>
      <c r="CU10" s="306">
        <v>0</v>
      </c>
      <c r="CV10" s="306">
        <v>0</v>
      </c>
      <c r="CW10" s="306">
        <v>0</v>
      </c>
      <c r="CX10" s="306">
        <v>0</v>
      </c>
      <c r="CY10" s="306">
        <v>0</v>
      </c>
      <c r="CZ10" s="306">
        <v>0</v>
      </c>
      <c r="DA10" s="306">
        <v>0</v>
      </c>
      <c r="DB10" s="306">
        <v>0</v>
      </c>
      <c r="DC10" s="306">
        <v>0</v>
      </c>
      <c r="DD10" s="306">
        <v>0</v>
      </c>
      <c r="DE10" s="306">
        <v>0</v>
      </c>
      <c r="DF10" s="306">
        <v>0</v>
      </c>
      <c r="DG10" s="306">
        <v>0</v>
      </c>
      <c r="DH10" s="306">
        <v>0</v>
      </c>
      <c r="DI10" s="306">
        <v>0</v>
      </c>
      <c r="DJ10" s="306">
        <v>0</v>
      </c>
      <c r="DK10" s="306">
        <v>0</v>
      </c>
      <c r="DL10" s="306">
        <v>0</v>
      </c>
      <c r="DM10" s="306">
        <v>0</v>
      </c>
      <c r="DN10" s="306">
        <v>0</v>
      </c>
      <c r="DO10" s="306">
        <v>0</v>
      </c>
      <c r="DP10" s="306">
        <v>0</v>
      </c>
      <c r="DQ10" s="306">
        <v>0</v>
      </c>
      <c r="DR10" s="306">
        <v>0</v>
      </c>
    </row>
    <row r="11" spans="1:122">
      <c r="A11" s="304" t="s">
        <v>767</v>
      </c>
      <c r="B11" s="306">
        <v>1</v>
      </c>
      <c r="BI11" s="304" t="s">
        <v>650</v>
      </c>
      <c r="BJ11" s="306">
        <v>0</v>
      </c>
      <c r="BK11" s="306">
        <v>0</v>
      </c>
      <c r="BL11" s="306">
        <v>0</v>
      </c>
      <c r="BM11" s="306">
        <v>0</v>
      </c>
      <c r="BN11" s="306">
        <v>0</v>
      </c>
      <c r="BO11" s="306">
        <v>0</v>
      </c>
      <c r="BP11" s="306">
        <v>0</v>
      </c>
      <c r="BQ11" s="306">
        <v>0</v>
      </c>
      <c r="BR11" s="306">
        <v>0</v>
      </c>
      <c r="BS11" s="306">
        <v>0</v>
      </c>
      <c r="BT11" s="306">
        <v>0</v>
      </c>
      <c r="BU11" s="306">
        <v>0</v>
      </c>
      <c r="BV11" s="306">
        <v>0</v>
      </c>
      <c r="BW11" s="306">
        <v>0</v>
      </c>
      <c r="BX11" s="306">
        <v>0</v>
      </c>
      <c r="BY11" s="306">
        <v>0</v>
      </c>
      <c r="BZ11" s="306">
        <v>0</v>
      </c>
      <c r="CA11" s="306">
        <v>0</v>
      </c>
      <c r="CB11" s="306">
        <v>0</v>
      </c>
      <c r="CC11" s="306">
        <v>0</v>
      </c>
      <c r="CD11" s="306">
        <v>0</v>
      </c>
      <c r="CE11" s="306">
        <v>0</v>
      </c>
      <c r="CF11" s="306">
        <v>0</v>
      </c>
      <c r="CG11" s="306">
        <v>0</v>
      </c>
      <c r="CH11" s="306">
        <v>0</v>
      </c>
      <c r="CI11" s="306">
        <v>0</v>
      </c>
      <c r="CJ11" s="306">
        <v>0</v>
      </c>
      <c r="CK11" s="306">
        <v>0</v>
      </c>
      <c r="CL11" s="306">
        <v>0</v>
      </c>
      <c r="CO11" s="304" t="s">
        <v>650</v>
      </c>
      <c r="CP11" s="306">
        <v>0</v>
      </c>
      <c r="CQ11" s="306">
        <v>0</v>
      </c>
      <c r="CR11" s="306">
        <v>0</v>
      </c>
      <c r="CS11" s="306">
        <v>0</v>
      </c>
      <c r="CT11" s="306">
        <v>0</v>
      </c>
      <c r="CU11" s="306">
        <v>0</v>
      </c>
      <c r="CV11" s="306">
        <v>0</v>
      </c>
      <c r="CW11" s="306">
        <v>0</v>
      </c>
      <c r="CX11" s="306">
        <v>0</v>
      </c>
      <c r="CY11" s="306">
        <v>0</v>
      </c>
      <c r="CZ11" s="306">
        <v>0</v>
      </c>
      <c r="DA11" s="306">
        <v>0</v>
      </c>
      <c r="DB11" s="306">
        <v>0</v>
      </c>
      <c r="DC11" s="306">
        <v>0</v>
      </c>
      <c r="DD11" s="306">
        <v>0</v>
      </c>
      <c r="DE11" s="306">
        <v>0</v>
      </c>
      <c r="DF11" s="306">
        <v>0</v>
      </c>
      <c r="DG11" s="306">
        <v>0</v>
      </c>
      <c r="DH11" s="306">
        <v>0</v>
      </c>
      <c r="DI11" s="306">
        <v>0</v>
      </c>
      <c r="DJ11" s="306">
        <v>0</v>
      </c>
      <c r="DK11" s="306">
        <v>0</v>
      </c>
      <c r="DL11" s="306">
        <v>0</v>
      </c>
      <c r="DM11" s="306">
        <v>0</v>
      </c>
      <c r="DN11" s="306">
        <v>0</v>
      </c>
      <c r="DO11" s="306">
        <v>0</v>
      </c>
      <c r="DP11" s="306">
        <v>0</v>
      </c>
      <c r="DQ11" s="306">
        <v>0</v>
      </c>
      <c r="DR11" s="306">
        <v>0</v>
      </c>
    </row>
    <row r="12" spans="1:122">
      <c r="A12" s="304" t="s">
        <v>646</v>
      </c>
      <c r="B12" s="306">
        <v>1</v>
      </c>
      <c r="BI12" s="304" t="s">
        <v>709</v>
      </c>
      <c r="BJ12" s="306">
        <v>0</v>
      </c>
      <c r="BK12" s="306">
        <v>0</v>
      </c>
      <c r="BL12" s="306">
        <v>0</v>
      </c>
      <c r="BM12" s="306">
        <v>0</v>
      </c>
      <c r="BN12" s="306">
        <v>0</v>
      </c>
      <c r="BO12" s="306">
        <v>0</v>
      </c>
      <c r="BP12" s="306">
        <v>0</v>
      </c>
      <c r="BQ12" s="306">
        <v>0</v>
      </c>
      <c r="BR12" s="306">
        <v>0</v>
      </c>
      <c r="BS12" s="306">
        <v>0</v>
      </c>
      <c r="BT12" s="306">
        <v>0</v>
      </c>
      <c r="BU12" s="306">
        <v>0</v>
      </c>
      <c r="BV12" s="306">
        <v>0</v>
      </c>
      <c r="BW12" s="306">
        <v>0</v>
      </c>
      <c r="BX12" s="306">
        <v>0</v>
      </c>
      <c r="BY12" s="306">
        <v>0</v>
      </c>
      <c r="BZ12" s="306">
        <v>0</v>
      </c>
      <c r="CA12" s="306">
        <v>0</v>
      </c>
      <c r="CB12" s="306">
        <v>0</v>
      </c>
      <c r="CC12" s="306">
        <v>0</v>
      </c>
      <c r="CD12" s="306">
        <v>0</v>
      </c>
      <c r="CE12" s="306">
        <v>0</v>
      </c>
      <c r="CF12" s="306">
        <v>0</v>
      </c>
      <c r="CG12" s="306">
        <v>0</v>
      </c>
      <c r="CH12" s="306">
        <v>0</v>
      </c>
      <c r="CI12" s="306">
        <v>0</v>
      </c>
      <c r="CJ12" s="306">
        <v>0</v>
      </c>
      <c r="CK12" s="306">
        <v>0</v>
      </c>
      <c r="CL12" s="306">
        <v>0</v>
      </c>
      <c r="CO12" s="304" t="s">
        <v>709</v>
      </c>
      <c r="CP12" s="306">
        <v>0</v>
      </c>
      <c r="CQ12" s="306">
        <v>0</v>
      </c>
      <c r="CR12" s="306">
        <v>0</v>
      </c>
      <c r="CS12" s="306">
        <v>0</v>
      </c>
      <c r="CT12" s="306">
        <v>0</v>
      </c>
      <c r="CU12" s="306">
        <v>0</v>
      </c>
      <c r="CV12" s="306">
        <v>0</v>
      </c>
      <c r="CW12" s="306">
        <v>0</v>
      </c>
      <c r="CX12" s="306">
        <v>0</v>
      </c>
      <c r="CY12" s="306">
        <v>0</v>
      </c>
      <c r="CZ12" s="306">
        <v>0</v>
      </c>
      <c r="DA12" s="306">
        <v>0</v>
      </c>
      <c r="DB12" s="306">
        <v>0</v>
      </c>
      <c r="DC12" s="306">
        <v>0</v>
      </c>
      <c r="DD12" s="306">
        <v>0</v>
      </c>
      <c r="DE12" s="306">
        <v>0</v>
      </c>
      <c r="DF12" s="306">
        <v>0</v>
      </c>
      <c r="DG12" s="306">
        <v>0</v>
      </c>
      <c r="DH12" s="306">
        <v>0</v>
      </c>
      <c r="DI12" s="306">
        <v>0</v>
      </c>
      <c r="DJ12" s="306">
        <v>0</v>
      </c>
      <c r="DK12" s="306">
        <v>0</v>
      </c>
      <c r="DL12" s="306">
        <v>0</v>
      </c>
      <c r="DM12" s="306">
        <v>0</v>
      </c>
      <c r="DN12" s="306">
        <v>0</v>
      </c>
      <c r="DO12" s="306">
        <v>0</v>
      </c>
      <c r="DP12" s="306">
        <v>0</v>
      </c>
      <c r="DQ12" s="306">
        <v>0</v>
      </c>
      <c r="DR12" s="306">
        <v>0</v>
      </c>
    </row>
    <row r="13" spans="1:122">
      <c r="A13" s="304" t="s">
        <v>647</v>
      </c>
      <c r="B13" s="306">
        <v>1</v>
      </c>
      <c r="BI13" s="304" t="s">
        <v>651</v>
      </c>
      <c r="BJ13" s="306">
        <v>0</v>
      </c>
      <c r="BK13" s="306">
        <v>0</v>
      </c>
      <c r="BL13" s="306">
        <v>0</v>
      </c>
      <c r="BM13" s="306">
        <v>0</v>
      </c>
      <c r="BN13" s="306">
        <v>0</v>
      </c>
      <c r="BO13" s="306">
        <v>0</v>
      </c>
      <c r="BP13" s="306">
        <v>0</v>
      </c>
      <c r="BQ13" s="306">
        <v>0</v>
      </c>
      <c r="BR13" s="306">
        <v>0</v>
      </c>
      <c r="BS13" s="306">
        <v>0</v>
      </c>
      <c r="BT13" s="306">
        <v>0</v>
      </c>
      <c r="BU13" s="306">
        <v>0</v>
      </c>
      <c r="BV13" s="306">
        <v>0</v>
      </c>
      <c r="BW13" s="306">
        <v>0</v>
      </c>
      <c r="BX13" s="306">
        <v>0</v>
      </c>
      <c r="BY13" s="306">
        <v>0</v>
      </c>
      <c r="BZ13" s="306">
        <v>0</v>
      </c>
      <c r="CA13" s="306">
        <v>0</v>
      </c>
      <c r="CB13" s="306">
        <v>0</v>
      </c>
      <c r="CC13" s="306">
        <v>0</v>
      </c>
      <c r="CD13" s="306">
        <v>0</v>
      </c>
      <c r="CE13" s="306">
        <v>0</v>
      </c>
      <c r="CF13" s="306">
        <v>0</v>
      </c>
      <c r="CG13" s="306">
        <v>0</v>
      </c>
      <c r="CH13" s="306">
        <v>0</v>
      </c>
      <c r="CI13" s="306">
        <v>0</v>
      </c>
      <c r="CJ13" s="306">
        <v>0</v>
      </c>
      <c r="CK13" s="306">
        <v>0</v>
      </c>
      <c r="CL13" s="306">
        <v>0</v>
      </c>
      <c r="CO13" s="304" t="s">
        <v>651</v>
      </c>
      <c r="CP13" s="306">
        <v>0</v>
      </c>
      <c r="CQ13" s="306">
        <v>0</v>
      </c>
      <c r="CR13" s="306">
        <v>0</v>
      </c>
      <c r="CS13" s="306">
        <v>0</v>
      </c>
      <c r="CT13" s="306">
        <v>0</v>
      </c>
      <c r="CU13" s="306">
        <v>0</v>
      </c>
      <c r="CV13" s="306">
        <v>0</v>
      </c>
      <c r="CW13" s="306">
        <v>0</v>
      </c>
      <c r="CX13" s="306">
        <v>0</v>
      </c>
      <c r="CY13" s="306">
        <v>0</v>
      </c>
      <c r="CZ13" s="306">
        <v>0</v>
      </c>
      <c r="DA13" s="306">
        <v>0</v>
      </c>
      <c r="DB13" s="306">
        <v>0</v>
      </c>
      <c r="DC13" s="306">
        <v>0</v>
      </c>
      <c r="DD13" s="306">
        <v>0</v>
      </c>
      <c r="DE13" s="306">
        <v>0</v>
      </c>
      <c r="DF13" s="306">
        <v>0</v>
      </c>
      <c r="DG13" s="306">
        <v>0</v>
      </c>
      <c r="DH13" s="306">
        <v>0</v>
      </c>
      <c r="DI13" s="306">
        <v>0</v>
      </c>
      <c r="DJ13" s="306">
        <v>0</v>
      </c>
      <c r="DK13" s="306">
        <v>0</v>
      </c>
      <c r="DL13" s="306">
        <v>0</v>
      </c>
      <c r="DM13" s="306">
        <v>0</v>
      </c>
      <c r="DN13" s="306">
        <v>0</v>
      </c>
      <c r="DO13" s="306">
        <v>0</v>
      </c>
      <c r="DP13" s="306">
        <v>0</v>
      </c>
      <c r="DQ13" s="306">
        <v>0</v>
      </c>
      <c r="DR13" s="306">
        <v>0</v>
      </c>
    </row>
    <row r="14" spans="1:122">
      <c r="A14" s="304" t="s">
        <v>648</v>
      </c>
      <c r="B14" s="306">
        <v>1</v>
      </c>
      <c r="BI14" s="304" t="s">
        <v>652</v>
      </c>
      <c r="BJ14" s="306">
        <v>0</v>
      </c>
      <c r="BK14" s="306">
        <v>0</v>
      </c>
      <c r="BL14" s="306">
        <v>0</v>
      </c>
      <c r="BM14" s="306">
        <v>0</v>
      </c>
      <c r="BN14" s="306">
        <v>0</v>
      </c>
      <c r="BO14" s="306">
        <v>0</v>
      </c>
      <c r="BP14" s="306">
        <v>0</v>
      </c>
      <c r="BQ14" s="306">
        <v>0</v>
      </c>
      <c r="BR14" s="306">
        <v>0</v>
      </c>
      <c r="BS14" s="306">
        <v>0</v>
      </c>
      <c r="BT14" s="306">
        <v>0</v>
      </c>
      <c r="BU14" s="306">
        <v>0</v>
      </c>
      <c r="BV14" s="306">
        <v>0</v>
      </c>
      <c r="BW14" s="306">
        <v>0</v>
      </c>
      <c r="BX14" s="306">
        <v>0</v>
      </c>
      <c r="BY14" s="306">
        <v>0</v>
      </c>
      <c r="BZ14" s="306">
        <v>0</v>
      </c>
      <c r="CA14" s="306">
        <v>0</v>
      </c>
      <c r="CB14" s="306">
        <v>0</v>
      </c>
      <c r="CC14" s="306">
        <v>0</v>
      </c>
      <c r="CD14" s="306">
        <v>0</v>
      </c>
      <c r="CE14" s="306">
        <v>0</v>
      </c>
      <c r="CF14" s="306">
        <v>0</v>
      </c>
      <c r="CG14" s="306">
        <v>0</v>
      </c>
      <c r="CH14" s="306">
        <v>0</v>
      </c>
      <c r="CI14" s="306">
        <v>0</v>
      </c>
      <c r="CJ14" s="306">
        <v>0</v>
      </c>
      <c r="CK14" s="306">
        <v>0</v>
      </c>
      <c r="CL14" s="306">
        <v>0</v>
      </c>
      <c r="CO14" s="304" t="s">
        <v>652</v>
      </c>
      <c r="CP14" s="306">
        <v>0</v>
      </c>
      <c r="CQ14" s="306">
        <v>0</v>
      </c>
      <c r="CR14" s="306">
        <v>0</v>
      </c>
      <c r="CS14" s="306">
        <v>0</v>
      </c>
      <c r="CT14" s="306">
        <v>0</v>
      </c>
      <c r="CU14" s="306">
        <v>0</v>
      </c>
      <c r="CV14" s="306">
        <v>0</v>
      </c>
      <c r="CW14" s="306">
        <v>0</v>
      </c>
      <c r="CX14" s="306">
        <v>0</v>
      </c>
      <c r="CY14" s="306">
        <v>0</v>
      </c>
      <c r="CZ14" s="306">
        <v>0</v>
      </c>
      <c r="DA14" s="306">
        <v>0</v>
      </c>
      <c r="DB14" s="306">
        <v>0</v>
      </c>
      <c r="DC14" s="306">
        <v>0</v>
      </c>
      <c r="DD14" s="306">
        <v>0</v>
      </c>
      <c r="DE14" s="306">
        <v>0</v>
      </c>
      <c r="DF14" s="306">
        <v>0</v>
      </c>
      <c r="DG14" s="306">
        <v>0</v>
      </c>
      <c r="DH14" s="306">
        <v>0</v>
      </c>
      <c r="DI14" s="306">
        <v>0</v>
      </c>
      <c r="DJ14" s="306">
        <v>0</v>
      </c>
      <c r="DK14" s="306">
        <v>0</v>
      </c>
      <c r="DL14" s="306">
        <v>0</v>
      </c>
      <c r="DM14" s="306">
        <v>0</v>
      </c>
      <c r="DN14" s="306">
        <v>0</v>
      </c>
      <c r="DO14" s="306">
        <v>0</v>
      </c>
      <c r="DP14" s="306">
        <v>0</v>
      </c>
      <c r="DQ14" s="306">
        <v>0</v>
      </c>
      <c r="DR14" s="306">
        <v>0</v>
      </c>
    </row>
    <row r="15" spans="1:122">
      <c r="A15" s="304" t="s">
        <v>649</v>
      </c>
      <c r="B15" s="306">
        <v>1</v>
      </c>
      <c r="BI15" s="304" t="s">
        <v>653</v>
      </c>
      <c r="BJ15" s="306">
        <v>0</v>
      </c>
      <c r="BK15" s="306">
        <v>0</v>
      </c>
      <c r="BL15" s="306">
        <v>0</v>
      </c>
      <c r="BM15" s="306">
        <v>0</v>
      </c>
      <c r="BN15" s="306">
        <v>0</v>
      </c>
      <c r="BO15" s="306">
        <v>0</v>
      </c>
      <c r="BP15" s="306">
        <v>0</v>
      </c>
      <c r="BQ15" s="306">
        <v>0</v>
      </c>
      <c r="BR15" s="306">
        <v>0</v>
      </c>
      <c r="BS15" s="306">
        <v>0</v>
      </c>
      <c r="BT15" s="306">
        <v>0</v>
      </c>
      <c r="BU15" s="306">
        <v>0</v>
      </c>
      <c r="BV15" s="306">
        <v>0</v>
      </c>
      <c r="BW15" s="306">
        <v>0</v>
      </c>
      <c r="BX15" s="306">
        <v>0</v>
      </c>
      <c r="BY15" s="306">
        <v>0</v>
      </c>
      <c r="BZ15" s="306">
        <v>0</v>
      </c>
      <c r="CA15" s="306">
        <v>0</v>
      </c>
      <c r="CB15" s="306">
        <v>0</v>
      </c>
      <c r="CC15" s="306">
        <v>0</v>
      </c>
      <c r="CD15" s="306">
        <v>0</v>
      </c>
      <c r="CE15" s="306">
        <v>0</v>
      </c>
      <c r="CF15" s="306">
        <v>0</v>
      </c>
      <c r="CG15" s="306">
        <v>0</v>
      </c>
      <c r="CH15" s="306">
        <v>0</v>
      </c>
      <c r="CI15" s="306">
        <v>0</v>
      </c>
      <c r="CJ15" s="306">
        <v>0</v>
      </c>
      <c r="CK15" s="306">
        <v>0</v>
      </c>
      <c r="CL15" s="306">
        <v>0</v>
      </c>
      <c r="CO15" s="304" t="s">
        <v>653</v>
      </c>
      <c r="CP15" s="306">
        <v>0</v>
      </c>
      <c r="CQ15" s="306">
        <v>0</v>
      </c>
      <c r="CR15" s="306">
        <v>0</v>
      </c>
      <c r="CS15" s="306">
        <v>0</v>
      </c>
      <c r="CT15" s="306">
        <v>0</v>
      </c>
      <c r="CU15" s="306">
        <v>0</v>
      </c>
      <c r="CV15" s="306">
        <v>0</v>
      </c>
      <c r="CW15" s="306">
        <v>0</v>
      </c>
      <c r="CX15" s="306">
        <v>0</v>
      </c>
      <c r="CY15" s="306">
        <v>0</v>
      </c>
      <c r="CZ15" s="306">
        <v>0</v>
      </c>
      <c r="DA15" s="306">
        <v>0</v>
      </c>
      <c r="DB15" s="306">
        <v>0</v>
      </c>
      <c r="DC15" s="306">
        <v>0</v>
      </c>
      <c r="DD15" s="306">
        <v>0</v>
      </c>
      <c r="DE15" s="306">
        <v>0</v>
      </c>
      <c r="DF15" s="306">
        <v>0</v>
      </c>
      <c r="DG15" s="306">
        <v>0</v>
      </c>
      <c r="DH15" s="306">
        <v>0</v>
      </c>
      <c r="DI15" s="306">
        <v>0</v>
      </c>
      <c r="DJ15" s="306">
        <v>0</v>
      </c>
      <c r="DK15" s="306">
        <v>0</v>
      </c>
      <c r="DL15" s="306">
        <v>0</v>
      </c>
      <c r="DM15" s="306">
        <v>0</v>
      </c>
      <c r="DN15" s="306">
        <v>0</v>
      </c>
      <c r="DO15" s="306">
        <v>0</v>
      </c>
      <c r="DP15" s="306">
        <v>0</v>
      </c>
      <c r="DQ15" s="306">
        <v>0</v>
      </c>
      <c r="DR15" s="306">
        <v>0</v>
      </c>
    </row>
    <row r="16" spans="1:122">
      <c r="A16" s="304" t="s">
        <v>768</v>
      </c>
      <c r="B16" s="306">
        <v>1</v>
      </c>
      <c r="BI16" s="304" t="s">
        <v>654</v>
      </c>
      <c r="BJ16" s="306">
        <v>0</v>
      </c>
      <c r="BK16" s="306">
        <v>0</v>
      </c>
      <c r="BL16" s="306">
        <v>0</v>
      </c>
      <c r="BM16" s="306">
        <v>0</v>
      </c>
      <c r="BN16" s="306">
        <v>0</v>
      </c>
      <c r="BO16" s="306">
        <v>0</v>
      </c>
      <c r="BP16" s="306">
        <v>0</v>
      </c>
      <c r="BQ16" s="306">
        <v>0</v>
      </c>
      <c r="BR16" s="306">
        <v>0</v>
      </c>
      <c r="BS16" s="306">
        <v>0</v>
      </c>
      <c r="BT16" s="306">
        <v>0</v>
      </c>
      <c r="BU16" s="306">
        <v>0</v>
      </c>
      <c r="BV16" s="306">
        <v>0</v>
      </c>
      <c r="BW16" s="306">
        <v>0</v>
      </c>
      <c r="BX16" s="306">
        <v>0</v>
      </c>
      <c r="BY16" s="306">
        <v>0</v>
      </c>
      <c r="BZ16" s="306">
        <v>0</v>
      </c>
      <c r="CA16" s="306">
        <v>0</v>
      </c>
      <c r="CB16" s="306">
        <v>0</v>
      </c>
      <c r="CC16" s="306">
        <v>0</v>
      </c>
      <c r="CD16" s="306">
        <v>0</v>
      </c>
      <c r="CE16" s="306">
        <v>0</v>
      </c>
      <c r="CF16" s="306">
        <v>0</v>
      </c>
      <c r="CG16" s="306">
        <v>0</v>
      </c>
      <c r="CH16" s="306">
        <v>0</v>
      </c>
      <c r="CI16" s="306">
        <v>0</v>
      </c>
      <c r="CJ16" s="306">
        <v>0</v>
      </c>
      <c r="CK16" s="306">
        <v>0</v>
      </c>
      <c r="CL16" s="306">
        <v>0</v>
      </c>
      <c r="CO16" s="304" t="s">
        <v>654</v>
      </c>
      <c r="CP16" s="306">
        <v>0</v>
      </c>
      <c r="CQ16" s="306">
        <v>0</v>
      </c>
      <c r="CR16" s="306">
        <v>0</v>
      </c>
      <c r="CS16" s="306">
        <v>0</v>
      </c>
      <c r="CT16" s="306">
        <v>0</v>
      </c>
      <c r="CU16" s="306">
        <v>0</v>
      </c>
      <c r="CV16" s="306">
        <v>0</v>
      </c>
      <c r="CW16" s="306">
        <v>0</v>
      </c>
      <c r="CX16" s="306">
        <v>0</v>
      </c>
      <c r="CY16" s="306">
        <v>0</v>
      </c>
      <c r="CZ16" s="306">
        <v>0</v>
      </c>
      <c r="DA16" s="306">
        <v>0</v>
      </c>
      <c r="DB16" s="306">
        <v>0</v>
      </c>
      <c r="DC16" s="306">
        <v>0</v>
      </c>
      <c r="DD16" s="306">
        <v>0</v>
      </c>
      <c r="DE16" s="306">
        <v>0</v>
      </c>
      <c r="DF16" s="306">
        <v>0</v>
      </c>
      <c r="DG16" s="306">
        <v>0</v>
      </c>
      <c r="DH16" s="306">
        <v>0</v>
      </c>
      <c r="DI16" s="306">
        <v>0</v>
      </c>
      <c r="DJ16" s="306">
        <v>0</v>
      </c>
      <c r="DK16" s="306">
        <v>0</v>
      </c>
      <c r="DL16" s="306">
        <v>0</v>
      </c>
      <c r="DM16" s="306">
        <v>0</v>
      </c>
      <c r="DN16" s="306">
        <v>0</v>
      </c>
      <c r="DO16" s="306">
        <v>0</v>
      </c>
      <c r="DP16" s="306">
        <v>0</v>
      </c>
      <c r="DQ16" s="306">
        <v>0</v>
      </c>
      <c r="DR16" s="306">
        <v>0</v>
      </c>
    </row>
    <row r="17" spans="1:122">
      <c r="A17" s="304" t="s">
        <v>769</v>
      </c>
      <c r="B17" s="306">
        <v>1</v>
      </c>
      <c r="BI17" s="304" t="s">
        <v>655</v>
      </c>
      <c r="BJ17" s="306">
        <v>0</v>
      </c>
      <c r="BK17" s="306">
        <v>0</v>
      </c>
      <c r="BL17" s="306">
        <v>0</v>
      </c>
      <c r="BM17" s="306">
        <v>0</v>
      </c>
      <c r="BN17" s="306">
        <v>0</v>
      </c>
      <c r="BO17" s="306">
        <v>0</v>
      </c>
      <c r="BP17" s="306">
        <v>0</v>
      </c>
      <c r="BQ17" s="306">
        <v>0</v>
      </c>
      <c r="BR17" s="306">
        <v>0</v>
      </c>
      <c r="BS17" s="306">
        <v>0</v>
      </c>
      <c r="BT17" s="306">
        <v>0</v>
      </c>
      <c r="BU17" s="306">
        <v>0</v>
      </c>
      <c r="BV17" s="306">
        <v>0</v>
      </c>
      <c r="BW17" s="306">
        <v>0</v>
      </c>
      <c r="BX17" s="306">
        <v>0</v>
      </c>
      <c r="BY17" s="306">
        <v>0</v>
      </c>
      <c r="BZ17" s="306">
        <v>0</v>
      </c>
      <c r="CA17" s="306">
        <v>0</v>
      </c>
      <c r="CB17" s="306">
        <v>0</v>
      </c>
      <c r="CC17" s="306">
        <v>0</v>
      </c>
      <c r="CD17" s="306">
        <v>0</v>
      </c>
      <c r="CE17" s="306">
        <v>0</v>
      </c>
      <c r="CF17" s="306">
        <v>0</v>
      </c>
      <c r="CG17" s="306">
        <v>0</v>
      </c>
      <c r="CH17" s="306">
        <v>0</v>
      </c>
      <c r="CI17" s="306">
        <v>0</v>
      </c>
      <c r="CJ17" s="306">
        <v>0</v>
      </c>
      <c r="CK17" s="306">
        <v>0</v>
      </c>
      <c r="CL17" s="306">
        <v>0</v>
      </c>
      <c r="CO17" s="304" t="s">
        <v>655</v>
      </c>
      <c r="CP17" s="306">
        <v>0</v>
      </c>
      <c r="CQ17" s="306">
        <v>0</v>
      </c>
      <c r="CR17" s="306">
        <v>0</v>
      </c>
      <c r="CS17" s="306">
        <v>0</v>
      </c>
      <c r="CT17" s="306">
        <v>0</v>
      </c>
      <c r="CU17" s="306">
        <v>0</v>
      </c>
      <c r="CV17" s="306">
        <v>0</v>
      </c>
      <c r="CW17" s="306">
        <v>0</v>
      </c>
      <c r="CX17" s="306">
        <v>0</v>
      </c>
      <c r="CY17" s="306">
        <v>0</v>
      </c>
      <c r="CZ17" s="306">
        <v>0</v>
      </c>
      <c r="DA17" s="306">
        <v>0</v>
      </c>
      <c r="DB17" s="306">
        <v>0</v>
      </c>
      <c r="DC17" s="306">
        <v>0</v>
      </c>
      <c r="DD17" s="306">
        <v>0</v>
      </c>
      <c r="DE17" s="306">
        <v>0</v>
      </c>
      <c r="DF17" s="306">
        <v>0</v>
      </c>
      <c r="DG17" s="306">
        <v>0</v>
      </c>
      <c r="DH17" s="306">
        <v>0</v>
      </c>
      <c r="DI17" s="306">
        <v>0</v>
      </c>
      <c r="DJ17" s="306">
        <v>0</v>
      </c>
      <c r="DK17" s="306">
        <v>0</v>
      </c>
      <c r="DL17" s="306">
        <v>0</v>
      </c>
      <c r="DM17" s="306">
        <v>0</v>
      </c>
      <c r="DN17" s="306">
        <v>0</v>
      </c>
      <c r="DO17" s="306">
        <v>0</v>
      </c>
      <c r="DP17" s="306">
        <v>0</v>
      </c>
      <c r="DQ17" s="306">
        <v>0</v>
      </c>
      <c r="DR17" s="306">
        <v>0</v>
      </c>
    </row>
    <row r="18" spans="1:122">
      <c r="A18" s="304" t="s">
        <v>650</v>
      </c>
      <c r="B18" s="306">
        <v>1</v>
      </c>
      <c r="BI18" s="304" t="s">
        <v>710</v>
      </c>
      <c r="BJ18" s="306">
        <v>0</v>
      </c>
      <c r="BK18" s="306">
        <v>0</v>
      </c>
      <c r="BL18" s="306">
        <v>0</v>
      </c>
      <c r="BM18" s="306">
        <v>0</v>
      </c>
      <c r="BN18" s="306">
        <v>0</v>
      </c>
      <c r="BO18" s="306">
        <v>0</v>
      </c>
      <c r="BP18" s="306">
        <v>0</v>
      </c>
      <c r="BQ18" s="306">
        <v>0</v>
      </c>
      <c r="BR18" s="306">
        <v>0</v>
      </c>
      <c r="BS18" s="306">
        <v>0</v>
      </c>
      <c r="BT18" s="306">
        <v>0</v>
      </c>
      <c r="BU18" s="306">
        <v>0</v>
      </c>
      <c r="BV18" s="306">
        <v>0</v>
      </c>
      <c r="BW18" s="306">
        <v>0</v>
      </c>
      <c r="BX18" s="306">
        <v>0</v>
      </c>
      <c r="BY18" s="306">
        <v>0</v>
      </c>
      <c r="BZ18" s="306">
        <v>0</v>
      </c>
      <c r="CA18" s="306">
        <v>0</v>
      </c>
      <c r="CB18" s="306">
        <v>0</v>
      </c>
      <c r="CC18" s="306">
        <v>0</v>
      </c>
      <c r="CD18" s="306">
        <v>0</v>
      </c>
      <c r="CE18" s="306">
        <v>0</v>
      </c>
      <c r="CF18" s="306">
        <v>0</v>
      </c>
      <c r="CG18" s="306">
        <v>0</v>
      </c>
      <c r="CH18" s="306">
        <v>0</v>
      </c>
      <c r="CI18" s="306">
        <v>0</v>
      </c>
      <c r="CJ18" s="306">
        <v>0</v>
      </c>
      <c r="CK18" s="306">
        <v>0</v>
      </c>
      <c r="CL18" s="306">
        <v>0</v>
      </c>
      <c r="CO18" s="304" t="s">
        <v>710</v>
      </c>
      <c r="CP18" s="306">
        <v>0</v>
      </c>
      <c r="CQ18" s="306">
        <v>0</v>
      </c>
      <c r="CR18" s="306">
        <v>0</v>
      </c>
      <c r="CS18" s="306">
        <v>0</v>
      </c>
      <c r="CT18" s="306">
        <v>0</v>
      </c>
      <c r="CU18" s="306">
        <v>0</v>
      </c>
      <c r="CV18" s="306">
        <v>0</v>
      </c>
      <c r="CW18" s="306">
        <v>0</v>
      </c>
      <c r="CX18" s="306">
        <v>0</v>
      </c>
      <c r="CY18" s="306">
        <v>0</v>
      </c>
      <c r="CZ18" s="306">
        <v>0</v>
      </c>
      <c r="DA18" s="306">
        <v>0</v>
      </c>
      <c r="DB18" s="306">
        <v>0</v>
      </c>
      <c r="DC18" s="306">
        <v>0</v>
      </c>
      <c r="DD18" s="306">
        <v>0</v>
      </c>
      <c r="DE18" s="306">
        <v>0</v>
      </c>
      <c r="DF18" s="306">
        <v>0</v>
      </c>
      <c r="DG18" s="306">
        <v>0</v>
      </c>
      <c r="DH18" s="306">
        <v>0</v>
      </c>
      <c r="DI18" s="306">
        <v>0</v>
      </c>
      <c r="DJ18" s="306">
        <v>0</v>
      </c>
      <c r="DK18" s="306">
        <v>0</v>
      </c>
      <c r="DL18" s="306">
        <v>0</v>
      </c>
      <c r="DM18" s="306">
        <v>0</v>
      </c>
      <c r="DN18" s="306">
        <v>0</v>
      </c>
      <c r="DO18" s="306">
        <v>0</v>
      </c>
      <c r="DP18" s="306">
        <v>0</v>
      </c>
      <c r="DQ18" s="306">
        <v>0</v>
      </c>
      <c r="DR18" s="306">
        <v>0</v>
      </c>
    </row>
    <row r="19" spans="1:122">
      <c r="A19" s="304" t="s">
        <v>770</v>
      </c>
      <c r="B19" s="306">
        <v>1</v>
      </c>
      <c r="BI19" s="304" t="s">
        <v>711</v>
      </c>
      <c r="BJ19" s="306">
        <v>0</v>
      </c>
      <c r="BK19" s="306">
        <v>0</v>
      </c>
      <c r="BL19" s="306">
        <v>0</v>
      </c>
      <c r="BM19" s="306">
        <v>0</v>
      </c>
      <c r="BN19" s="306">
        <v>0</v>
      </c>
      <c r="BO19" s="306">
        <v>0</v>
      </c>
      <c r="BP19" s="306">
        <v>0</v>
      </c>
      <c r="BQ19" s="306">
        <v>0</v>
      </c>
      <c r="BR19" s="306">
        <v>0</v>
      </c>
      <c r="BS19" s="306">
        <v>0</v>
      </c>
      <c r="BT19" s="306">
        <v>0</v>
      </c>
      <c r="BU19" s="306">
        <v>0</v>
      </c>
      <c r="BV19" s="306">
        <v>0</v>
      </c>
      <c r="BW19" s="306">
        <v>0</v>
      </c>
      <c r="BX19" s="306">
        <v>0</v>
      </c>
      <c r="BY19" s="306">
        <v>0</v>
      </c>
      <c r="BZ19" s="306">
        <v>0</v>
      </c>
      <c r="CA19" s="306">
        <v>0</v>
      </c>
      <c r="CB19" s="306">
        <v>0</v>
      </c>
      <c r="CC19" s="306">
        <v>0</v>
      </c>
      <c r="CD19" s="306">
        <v>0</v>
      </c>
      <c r="CE19" s="306">
        <v>0</v>
      </c>
      <c r="CF19" s="306">
        <v>0</v>
      </c>
      <c r="CG19" s="306">
        <v>0</v>
      </c>
      <c r="CH19" s="306">
        <v>0</v>
      </c>
      <c r="CI19" s="306">
        <v>0</v>
      </c>
      <c r="CJ19" s="306">
        <v>0</v>
      </c>
      <c r="CK19" s="306">
        <v>0</v>
      </c>
      <c r="CL19" s="306">
        <v>0</v>
      </c>
      <c r="CO19" s="304" t="s">
        <v>711</v>
      </c>
      <c r="CP19" s="306">
        <v>0</v>
      </c>
      <c r="CQ19" s="306">
        <v>0</v>
      </c>
      <c r="CR19" s="306">
        <v>0</v>
      </c>
      <c r="CS19" s="306">
        <v>0</v>
      </c>
      <c r="CT19" s="306">
        <v>0</v>
      </c>
      <c r="CU19" s="306">
        <v>0</v>
      </c>
      <c r="CV19" s="306">
        <v>0</v>
      </c>
      <c r="CW19" s="306">
        <v>0</v>
      </c>
      <c r="CX19" s="306">
        <v>0</v>
      </c>
      <c r="CY19" s="306">
        <v>0</v>
      </c>
      <c r="CZ19" s="306">
        <v>0</v>
      </c>
      <c r="DA19" s="306">
        <v>0</v>
      </c>
      <c r="DB19" s="306">
        <v>0</v>
      </c>
      <c r="DC19" s="306">
        <v>0</v>
      </c>
      <c r="DD19" s="306">
        <v>0</v>
      </c>
      <c r="DE19" s="306">
        <v>0</v>
      </c>
      <c r="DF19" s="306">
        <v>0</v>
      </c>
      <c r="DG19" s="306">
        <v>0</v>
      </c>
      <c r="DH19" s="306">
        <v>0</v>
      </c>
      <c r="DI19" s="306">
        <v>0</v>
      </c>
      <c r="DJ19" s="306">
        <v>0</v>
      </c>
      <c r="DK19" s="306">
        <v>0</v>
      </c>
      <c r="DL19" s="306">
        <v>0</v>
      </c>
      <c r="DM19" s="306">
        <v>0</v>
      </c>
      <c r="DN19" s="306">
        <v>0</v>
      </c>
      <c r="DO19" s="306">
        <v>0</v>
      </c>
      <c r="DP19" s="306">
        <v>0</v>
      </c>
      <c r="DQ19" s="306">
        <v>0</v>
      </c>
      <c r="DR19" s="306">
        <v>0</v>
      </c>
    </row>
    <row r="20" spans="1:122">
      <c r="A20" s="304" t="s">
        <v>709</v>
      </c>
      <c r="B20" s="306">
        <v>1</v>
      </c>
      <c r="BI20" s="304" t="s">
        <v>656</v>
      </c>
      <c r="BJ20" s="306">
        <v>0</v>
      </c>
      <c r="BK20" s="306">
        <v>0</v>
      </c>
      <c r="BL20" s="306">
        <v>0</v>
      </c>
      <c r="BM20" s="306">
        <v>0</v>
      </c>
      <c r="BN20" s="306">
        <v>0</v>
      </c>
      <c r="BO20" s="306">
        <v>5820.7321553561396</v>
      </c>
      <c r="BP20" s="306">
        <v>0</v>
      </c>
      <c r="BQ20" s="306">
        <v>0</v>
      </c>
      <c r="BR20" s="306">
        <v>0</v>
      </c>
      <c r="BS20" s="306">
        <v>0</v>
      </c>
      <c r="BT20" s="306">
        <v>0</v>
      </c>
      <c r="BU20" s="306">
        <v>0</v>
      </c>
      <c r="BV20" s="306">
        <v>0</v>
      </c>
      <c r="BW20" s="306">
        <v>0</v>
      </c>
      <c r="BX20" s="306">
        <v>0</v>
      </c>
      <c r="BY20" s="306">
        <v>0</v>
      </c>
      <c r="BZ20" s="306">
        <v>67354.020465940004</v>
      </c>
      <c r="CA20" s="306">
        <v>0</v>
      </c>
      <c r="CB20" s="306">
        <v>0</v>
      </c>
      <c r="CC20" s="306">
        <v>0</v>
      </c>
      <c r="CD20" s="306">
        <v>0</v>
      </c>
      <c r="CE20" s="306">
        <v>0</v>
      </c>
      <c r="CF20" s="306">
        <v>0</v>
      </c>
      <c r="CG20" s="306">
        <v>0</v>
      </c>
      <c r="CH20" s="306">
        <v>0</v>
      </c>
      <c r="CI20" s="306">
        <v>0</v>
      </c>
      <c r="CJ20" s="306">
        <v>3155.63573488975</v>
      </c>
      <c r="CK20" s="306">
        <v>0</v>
      </c>
      <c r="CL20" s="306">
        <v>0</v>
      </c>
      <c r="CO20" s="304" t="s">
        <v>656</v>
      </c>
      <c r="CP20" s="306">
        <v>0</v>
      </c>
      <c r="CQ20" s="306">
        <v>0</v>
      </c>
      <c r="CR20" s="306">
        <v>0</v>
      </c>
      <c r="CS20" s="306">
        <v>0</v>
      </c>
      <c r="CT20" s="306">
        <v>0</v>
      </c>
      <c r="CU20" s="306">
        <v>1</v>
      </c>
      <c r="CV20" s="306">
        <v>0</v>
      </c>
      <c r="CW20" s="306">
        <v>0</v>
      </c>
      <c r="CX20" s="306">
        <v>0</v>
      </c>
      <c r="CY20" s="306">
        <v>0</v>
      </c>
      <c r="CZ20" s="306">
        <v>0</v>
      </c>
      <c r="DA20" s="306">
        <v>0</v>
      </c>
      <c r="DB20" s="306">
        <v>0</v>
      </c>
      <c r="DC20" s="306">
        <v>0</v>
      </c>
      <c r="DD20" s="306">
        <v>0</v>
      </c>
      <c r="DE20" s="306">
        <v>0</v>
      </c>
      <c r="DF20" s="306">
        <v>1</v>
      </c>
      <c r="DG20" s="306">
        <v>0</v>
      </c>
      <c r="DH20" s="306">
        <v>0</v>
      </c>
      <c r="DI20" s="306">
        <v>0</v>
      </c>
      <c r="DJ20" s="306">
        <v>0</v>
      </c>
      <c r="DK20" s="306">
        <v>0</v>
      </c>
      <c r="DL20" s="306">
        <v>0</v>
      </c>
      <c r="DM20" s="306">
        <v>0</v>
      </c>
      <c r="DN20" s="306">
        <v>0</v>
      </c>
      <c r="DO20" s="306">
        <v>0</v>
      </c>
      <c r="DP20" s="306">
        <v>1</v>
      </c>
      <c r="DQ20" s="306">
        <v>0</v>
      </c>
      <c r="DR20" s="306">
        <v>0</v>
      </c>
    </row>
    <row r="21" spans="1:122">
      <c r="A21" s="304" t="s">
        <v>651</v>
      </c>
      <c r="B21" s="306">
        <v>1</v>
      </c>
      <c r="BI21" s="304" t="s">
        <v>657</v>
      </c>
      <c r="BJ21" s="306">
        <v>0</v>
      </c>
      <c r="BK21" s="306">
        <v>0</v>
      </c>
      <c r="BL21" s="306">
        <v>0</v>
      </c>
      <c r="BM21" s="306">
        <v>0</v>
      </c>
      <c r="BN21" s="306">
        <v>0</v>
      </c>
      <c r="BO21" s="306">
        <v>0</v>
      </c>
      <c r="BP21" s="306">
        <v>0</v>
      </c>
      <c r="BQ21" s="306">
        <v>0</v>
      </c>
      <c r="BR21" s="306">
        <v>0</v>
      </c>
      <c r="BS21" s="306">
        <v>0</v>
      </c>
      <c r="BT21" s="306">
        <v>0</v>
      </c>
      <c r="BU21" s="306">
        <v>0</v>
      </c>
      <c r="BV21" s="306">
        <v>0</v>
      </c>
      <c r="BW21" s="306">
        <v>0</v>
      </c>
      <c r="BX21" s="306">
        <v>0</v>
      </c>
      <c r="BY21" s="306">
        <v>0</v>
      </c>
      <c r="BZ21" s="306">
        <v>0</v>
      </c>
      <c r="CA21" s="306">
        <v>0</v>
      </c>
      <c r="CB21" s="306">
        <v>0</v>
      </c>
      <c r="CC21" s="306">
        <v>0</v>
      </c>
      <c r="CD21" s="306">
        <v>0</v>
      </c>
      <c r="CE21" s="306">
        <v>0</v>
      </c>
      <c r="CF21" s="306">
        <v>0</v>
      </c>
      <c r="CG21" s="306">
        <v>0</v>
      </c>
      <c r="CH21" s="306">
        <v>0</v>
      </c>
      <c r="CI21" s="306">
        <v>0</v>
      </c>
      <c r="CJ21" s="306">
        <v>0</v>
      </c>
      <c r="CK21" s="306">
        <v>0</v>
      </c>
      <c r="CL21" s="306">
        <v>0</v>
      </c>
      <c r="CO21" s="304" t="s">
        <v>657</v>
      </c>
      <c r="CP21" s="306">
        <v>0</v>
      </c>
      <c r="CQ21" s="306">
        <v>0</v>
      </c>
      <c r="CR21" s="306">
        <v>0</v>
      </c>
      <c r="CS21" s="306">
        <v>0</v>
      </c>
      <c r="CT21" s="306">
        <v>0</v>
      </c>
      <c r="CU21" s="306">
        <v>0</v>
      </c>
      <c r="CV21" s="306">
        <v>0</v>
      </c>
      <c r="CW21" s="306">
        <v>0</v>
      </c>
      <c r="CX21" s="306">
        <v>0</v>
      </c>
      <c r="CY21" s="306">
        <v>0</v>
      </c>
      <c r="CZ21" s="306">
        <v>0</v>
      </c>
      <c r="DA21" s="306">
        <v>0</v>
      </c>
      <c r="DB21" s="306">
        <v>0</v>
      </c>
      <c r="DC21" s="306">
        <v>0</v>
      </c>
      <c r="DD21" s="306">
        <v>0</v>
      </c>
      <c r="DE21" s="306">
        <v>0</v>
      </c>
      <c r="DF21" s="306">
        <v>0</v>
      </c>
      <c r="DG21" s="306">
        <v>0</v>
      </c>
      <c r="DH21" s="306">
        <v>0</v>
      </c>
      <c r="DI21" s="306">
        <v>0</v>
      </c>
      <c r="DJ21" s="306">
        <v>0</v>
      </c>
      <c r="DK21" s="306">
        <v>0</v>
      </c>
      <c r="DL21" s="306">
        <v>0</v>
      </c>
      <c r="DM21" s="306">
        <v>0</v>
      </c>
      <c r="DN21" s="306">
        <v>0</v>
      </c>
      <c r="DO21" s="306">
        <v>0</v>
      </c>
      <c r="DP21" s="306">
        <v>0</v>
      </c>
      <c r="DQ21" s="306">
        <v>0</v>
      </c>
      <c r="DR21" s="306">
        <v>0</v>
      </c>
    </row>
    <row r="22" spans="1:122">
      <c r="A22" s="304" t="s">
        <v>652</v>
      </c>
      <c r="B22" s="306">
        <v>1</v>
      </c>
      <c r="BI22" s="304" t="s">
        <v>658</v>
      </c>
      <c r="BJ22" s="306">
        <v>0</v>
      </c>
      <c r="BK22" s="306">
        <v>0</v>
      </c>
      <c r="BL22" s="306">
        <v>0</v>
      </c>
      <c r="BM22" s="306">
        <v>0</v>
      </c>
      <c r="BN22" s="306">
        <v>0</v>
      </c>
      <c r="BO22" s="306">
        <v>0</v>
      </c>
      <c r="BP22" s="306">
        <v>0</v>
      </c>
      <c r="BQ22" s="306">
        <v>0</v>
      </c>
      <c r="BR22" s="306">
        <v>0</v>
      </c>
      <c r="BS22" s="306">
        <v>0</v>
      </c>
      <c r="BT22" s="306">
        <v>0</v>
      </c>
      <c r="BU22" s="306">
        <v>0</v>
      </c>
      <c r="BV22" s="306">
        <v>0</v>
      </c>
      <c r="BW22" s="306">
        <v>0</v>
      </c>
      <c r="BX22" s="306">
        <v>0</v>
      </c>
      <c r="BY22" s="306">
        <v>0</v>
      </c>
      <c r="BZ22" s="306">
        <v>0</v>
      </c>
      <c r="CA22" s="306">
        <v>0</v>
      </c>
      <c r="CB22" s="306">
        <v>0</v>
      </c>
      <c r="CC22" s="306">
        <v>0</v>
      </c>
      <c r="CD22" s="306">
        <v>0</v>
      </c>
      <c r="CE22" s="306">
        <v>0</v>
      </c>
      <c r="CF22" s="306">
        <v>0</v>
      </c>
      <c r="CG22" s="306">
        <v>0</v>
      </c>
      <c r="CH22" s="306">
        <v>0</v>
      </c>
      <c r="CI22" s="306">
        <v>0</v>
      </c>
      <c r="CJ22" s="306">
        <v>0</v>
      </c>
      <c r="CK22" s="306">
        <v>0</v>
      </c>
      <c r="CL22" s="306">
        <v>0</v>
      </c>
      <c r="CO22" s="304" t="s">
        <v>658</v>
      </c>
      <c r="CP22" s="306">
        <v>0</v>
      </c>
      <c r="CQ22" s="306">
        <v>0</v>
      </c>
      <c r="CR22" s="306">
        <v>0</v>
      </c>
      <c r="CS22" s="306">
        <v>0</v>
      </c>
      <c r="CT22" s="306">
        <v>0</v>
      </c>
      <c r="CU22" s="306">
        <v>0</v>
      </c>
      <c r="CV22" s="306">
        <v>0</v>
      </c>
      <c r="CW22" s="306">
        <v>0</v>
      </c>
      <c r="CX22" s="306">
        <v>0</v>
      </c>
      <c r="CY22" s="306">
        <v>0</v>
      </c>
      <c r="CZ22" s="306">
        <v>0</v>
      </c>
      <c r="DA22" s="306">
        <v>0</v>
      </c>
      <c r="DB22" s="306">
        <v>0</v>
      </c>
      <c r="DC22" s="306">
        <v>0</v>
      </c>
      <c r="DD22" s="306">
        <v>0</v>
      </c>
      <c r="DE22" s="306">
        <v>0</v>
      </c>
      <c r="DF22" s="306">
        <v>0</v>
      </c>
      <c r="DG22" s="306">
        <v>0</v>
      </c>
      <c r="DH22" s="306">
        <v>0</v>
      </c>
      <c r="DI22" s="306">
        <v>0</v>
      </c>
      <c r="DJ22" s="306">
        <v>0</v>
      </c>
      <c r="DK22" s="306">
        <v>0</v>
      </c>
      <c r="DL22" s="306">
        <v>0</v>
      </c>
      <c r="DM22" s="306">
        <v>0</v>
      </c>
      <c r="DN22" s="306">
        <v>0</v>
      </c>
      <c r="DO22" s="306">
        <v>0</v>
      </c>
      <c r="DP22" s="306">
        <v>0</v>
      </c>
      <c r="DQ22" s="306">
        <v>0</v>
      </c>
      <c r="DR22" s="306">
        <v>0</v>
      </c>
    </row>
    <row r="23" spans="1:122">
      <c r="A23" s="304" t="s">
        <v>653</v>
      </c>
      <c r="B23" s="306">
        <v>1</v>
      </c>
      <c r="BI23" s="304" t="s">
        <v>712</v>
      </c>
      <c r="BJ23" s="306">
        <v>0</v>
      </c>
      <c r="BK23" s="306">
        <v>0</v>
      </c>
      <c r="BL23" s="306">
        <v>0</v>
      </c>
      <c r="BM23" s="306">
        <v>0</v>
      </c>
      <c r="BN23" s="306">
        <v>0</v>
      </c>
      <c r="BO23" s="306">
        <v>0</v>
      </c>
      <c r="BP23" s="306">
        <v>0</v>
      </c>
      <c r="BQ23" s="306">
        <v>0</v>
      </c>
      <c r="BR23" s="306">
        <v>0</v>
      </c>
      <c r="BS23" s="306">
        <v>0</v>
      </c>
      <c r="BT23" s="306">
        <v>0</v>
      </c>
      <c r="BU23" s="306">
        <v>0</v>
      </c>
      <c r="BV23" s="306">
        <v>0</v>
      </c>
      <c r="BW23" s="306">
        <v>0</v>
      </c>
      <c r="BX23" s="306">
        <v>0</v>
      </c>
      <c r="BY23" s="306">
        <v>0</v>
      </c>
      <c r="BZ23" s="306">
        <v>0</v>
      </c>
      <c r="CA23" s="306">
        <v>0</v>
      </c>
      <c r="CB23" s="306">
        <v>0</v>
      </c>
      <c r="CC23" s="306">
        <v>0</v>
      </c>
      <c r="CD23" s="306">
        <v>0</v>
      </c>
      <c r="CE23" s="306">
        <v>0</v>
      </c>
      <c r="CF23" s="306">
        <v>0</v>
      </c>
      <c r="CG23" s="306">
        <v>0</v>
      </c>
      <c r="CH23" s="306">
        <v>0</v>
      </c>
      <c r="CI23" s="306">
        <v>0</v>
      </c>
      <c r="CJ23" s="306">
        <v>0</v>
      </c>
      <c r="CK23" s="306">
        <v>0</v>
      </c>
      <c r="CL23" s="306">
        <v>0</v>
      </c>
      <c r="CO23" s="304" t="s">
        <v>712</v>
      </c>
      <c r="CP23" s="306">
        <v>0</v>
      </c>
      <c r="CQ23" s="306">
        <v>0</v>
      </c>
      <c r="CR23" s="306">
        <v>0</v>
      </c>
      <c r="CS23" s="306">
        <v>0</v>
      </c>
      <c r="CT23" s="306">
        <v>0</v>
      </c>
      <c r="CU23" s="306">
        <v>0</v>
      </c>
      <c r="CV23" s="306">
        <v>0</v>
      </c>
      <c r="CW23" s="306">
        <v>0</v>
      </c>
      <c r="CX23" s="306">
        <v>0</v>
      </c>
      <c r="CY23" s="306">
        <v>0</v>
      </c>
      <c r="CZ23" s="306">
        <v>0</v>
      </c>
      <c r="DA23" s="306">
        <v>0</v>
      </c>
      <c r="DB23" s="306">
        <v>0</v>
      </c>
      <c r="DC23" s="306">
        <v>0</v>
      </c>
      <c r="DD23" s="306">
        <v>0</v>
      </c>
      <c r="DE23" s="306">
        <v>0</v>
      </c>
      <c r="DF23" s="306">
        <v>0</v>
      </c>
      <c r="DG23" s="306">
        <v>0</v>
      </c>
      <c r="DH23" s="306">
        <v>0</v>
      </c>
      <c r="DI23" s="306">
        <v>0</v>
      </c>
      <c r="DJ23" s="306">
        <v>0</v>
      </c>
      <c r="DK23" s="306">
        <v>0</v>
      </c>
      <c r="DL23" s="306">
        <v>0</v>
      </c>
      <c r="DM23" s="306">
        <v>0</v>
      </c>
      <c r="DN23" s="306">
        <v>0</v>
      </c>
      <c r="DO23" s="306">
        <v>0</v>
      </c>
      <c r="DP23" s="306">
        <v>0</v>
      </c>
      <c r="DQ23" s="306">
        <v>0</v>
      </c>
      <c r="DR23" s="306">
        <v>0</v>
      </c>
    </row>
    <row r="24" spans="1:122">
      <c r="A24" s="304" t="s">
        <v>654</v>
      </c>
      <c r="B24" s="306">
        <v>1</v>
      </c>
      <c r="BI24" s="304" t="s">
        <v>713</v>
      </c>
      <c r="BJ24" s="306">
        <v>0</v>
      </c>
      <c r="BK24" s="306">
        <v>0</v>
      </c>
      <c r="BL24" s="306">
        <v>0</v>
      </c>
      <c r="BM24" s="306">
        <v>0</v>
      </c>
      <c r="BN24" s="306">
        <v>0</v>
      </c>
      <c r="BO24" s="306">
        <v>0</v>
      </c>
      <c r="BP24" s="306">
        <v>0</v>
      </c>
      <c r="BQ24" s="306">
        <v>0</v>
      </c>
      <c r="BR24" s="306">
        <v>0</v>
      </c>
      <c r="BS24" s="306">
        <v>0</v>
      </c>
      <c r="BT24" s="306">
        <v>0</v>
      </c>
      <c r="BU24" s="306">
        <v>0</v>
      </c>
      <c r="BV24" s="306">
        <v>0</v>
      </c>
      <c r="BW24" s="306">
        <v>0</v>
      </c>
      <c r="BX24" s="306">
        <v>0</v>
      </c>
      <c r="BY24" s="306">
        <v>0</v>
      </c>
      <c r="BZ24" s="306">
        <v>0</v>
      </c>
      <c r="CA24" s="306">
        <v>0</v>
      </c>
      <c r="CB24" s="306">
        <v>0</v>
      </c>
      <c r="CC24" s="306">
        <v>0</v>
      </c>
      <c r="CD24" s="306">
        <v>0</v>
      </c>
      <c r="CE24" s="306">
        <v>0</v>
      </c>
      <c r="CF24" s="306">
        <v>0</v>
      </c>
      <c r="CG24" s="306">
        <v>0</v>
      </c>
      <c r="CH24" s="306">
        <v>0</v>
      </c>
      <c r="CI24" s="306">
        <v>0</v>
      </c>
      <c r="CJ24" s="306">
        <v>0</v>
      </c>
      <c r="CK24" s="306">
        <v>0</v>
      </c>
      <c r="CL24" s="306">
        <v>0</v>
      </c>
      <c r="CO24" s="304" t="s">
        <v>713</v>
      </c>
      <c r="CP24" s="306">
        <v>0</v>
      </c>
      <c r="CQ24" s="306">
        <v>0</v>
      </c>
      <c r="CR24" s="306">
        <v>0</v>
      </c>
      <c r="CS24" s="306">
        <v>0</v>
      </c>
      <c r="CT24" s="306">
        <v>0</v>
      </c>
      <c r="CU24" s="306">
        <v>0</v>
      </c>
      <c r="CV24" s="306">
        <v>0</v>
      </c>
      <c r="CW24" s="306">
        <v>0</v>
      </c>
      <c r="CX24" s="306">
        <v>0</v>
      </c>
      <c r="CY24" s="306">
        <v>0</v>
      </c>
      <c r="CZ24" s="306">
        <v>0</v>
      </c>
      <c r="DA24" s="306">
        <v>0</v>
      </c>
      <c r="DB24" s="306">
        <v>0</v>
      </c>
      <c r="DC24" s="306">
        <v>0</v>
      </c>
      <c r="DD24" s="306">
        <v>0</v>
      </c>
      <c r="DE24" s="306">
        <v>0</v>
      </c>
      <c r="DF24" s="306">
        <v>0</v>
      </c>
      <c r="DG24" s="306">
        <v>0</v>
      </c>
      <c r="DH24" s="306">
        <v>0</v>
      </c>
      <c r="DI24" s="306">
        <v>0</v>
      </c>
      <c r="DJ24" s="306">
        <v>0</v>
      </c>
      <c r="DK24" s="306">
        <v>0</v>
      </c>
      <c r="DL24" s="306">
        <v>0</v>
      </c>
      <c r="DM24" s="306">
        <v>0</v>
      </c>
      <c r="DN24" s="306">
        <v>0</v>
      </c>
      <c r="DO24" s="306">
        <v>0</v>
      </c>
      <c r="DP24" s="306">
        <v>0</v>
      </c>
      <c r="DQ24" s="306">
        <v>0</v>
      </c>
      <c r="DR24" s="306">
        <v>0</v>
      </c>
    </row>
    <row r="25" spans="1:122">
      <c r="A25" s="304" t="s">
        <v>655</v>
      </c>
      <c r="B25" s="306">
        <v>1</v>
      </c>
      <c r="BI25" s="304" t="s">
        <v>659</v>
      </c>
      <c r="BJ25" s="306">
        <v>0</v>
      </c>
      <c r="BK25" s="306">
        <v>0</v>
      </c>
      <c r="BL25" s="306">
        <v>0</v>
      </c>
      <c r="BM25" s="306">
        <v>0</v>
      </c>
      <c r="BN25" s="306">
        <v>0</v>
      </c>
      <c r="BO25" s="306">
        <v>0</v>
      </c>
      <c r="BP25" s="306">
        <v>0</v>
      </c>
      <c r="BQ25" s="306">
        <v>0</v>
      </c>
      <c r="BR25" s="306">
        <v>0</v>
      </c>
      <c r="BS25" s="306">
        <v>0</v>
      </c>
      <c r="BT25" s="306">
        <v>0</v>
      </c>
      <c r="BU25" s="306">
        <v>0</v>
      </c>
      <c r="BV25" s="306">
        <v>0</v>
      </c>
      <c r="BW25" s="306">
        <v>0</v>
      </c>
      <c r="BX25" s="306">
        <v>0</v>
      </c>
      <c r="BY25" s="306">
        <v>0</v>
      </c>
      <c r="BZ25" s="306">
        <v>0</v>
      </c>
      <c r="CA25" s="306">
        <v>0</v>
      </c>
      <c r="CB25" s="306">
        <v>0</v>
      </c>
      <c r="CC25" s="306">
        <v>0</v>
      </c>
      <c r="CD25" s="306">
        <v>0</v>
      </c>
      <c r="CE25" s="306">
        <v>0</v>
      </c>
      <c r="CF25" s="306">
        <v>0</v>
      </c>
      <c r="CG25" s="306">
        <v>0</v>
      </c>
      <c r="CH25" s="306">
        <v>0</v>
      </c>
      <c r="CI25" s="306">
        <v>0</v>
      </c>
      <c r="CJ25" s="306">
        <v>0</v>
      </c>
      <c r="CK25" s="306">
        <v>0</v>
      </c>
      <c r="CL25" s="306">
        <v>0</v>
      </c>
      <c r="CO25" s="304" t="s">
        <v>659</v>
      </c>
      <c r="CP25" s="306">
        <v>0</v>
      </c>
      <c r="CQ25" s="306">
        <v>0</v>
      </c>
      <c r="CR25" s="306">
        <v>0</v>
      </c>
      <c r="CS25" s="306">
        <v>0</v>
      </c>
      <c r="CT25" s="306">
        <v>0</v>
      </c>
      <c r="CU25" s="306">
        <v>0</v>
      </c>
      <c r="CV25" s="306">
        <v>0</v>
      </c>
      <c r="CW25" s="306">
        <v>0</v>
      </c>
      <c r="CX25" s="306">
        <v>0</v>
      </c>
      <c r="CY25" s="306">
        <v>0</v>
      </c>
      <c r="CZ25" s="306">
        <v>0</v>
      </c>
      <c r="DA25" s="306">
        <v>0</v>
      </c>
      <c r="DB25" s="306">
        <v>0</v>
      </c>
      <c r="DC25" s="306">
        <v>0</v>
      </c>
      <c r="DD25" s="306">
        <v>0</v>
      </c>
      <c r="DE25" s="306">
        <v>0</v>
      </c>
      <c r="DF25" s="306">
        <v>0</v>
      </c>
      <c r="DG25" s="306">
        <v>0</v>
      </c>
      <c r="DH25" s="306">
        <v>0</v>
      </c>
      <c r="DI25" s="306">
        <v>0</v>
      </c>
      <c r="DJ25" s="306">
        <v>0</v>
      </c>
      <c r="DK25" s="306">
        <v>0</v>
      </c>
      <c r="DL25" s="306">
        <v>0</v>
      </c>
      <c r="DM25" s="306">
        <v>0</v>
      </c>
      <c r="DN25" s="306">
        <v>0</v>
      </c>
      <c r="DO25" s="306">
        <v>0</v>
      </c>
      <c r="DP25" s="306">
        <v>0</v>
      </c>
      <c r="DQ25" s="306">
        <v>0</v>
      </c>
      <c r="DR25" s="306">
        <v>0</v>
      </c>
    </row>
    <row r="26" spans="1:122">
      <c r="A26" s="304" t="s">
        <v>710</v>
      </c>
      <c r="B26" s="306">
        <v>1</v>
      </c>
      <c r="BI26" s="304" t="s">
        <v>660</v>
      </c>
      <c r="BJ26" s="306">
        <v>0</v>
      </c>
      <c r="BK26" s="306">
        <v>0</v>
      </c>
      <c r="BL26" s="306">
        <v>0</v>
      </c>
      <c r="BM26" s="306">
        <v>0</v>
      </c>
      <c r="BN26" s="306">
        <v>0</v>
      </c>
      <c r="BO26" s="306">
        <v>0</v>
      </c>
      <c r="BP26" s="306">
        <v>0</v>
      </c>
      <c r="BQ26" s="306">
        <v>0</v>
      </c>
      <c r="BR26" s="306">
        <v>0</v>
      </c>
      <c r="BS26" s="306">
        <v>0</v>
      </c>
      <c r="BT26" s="306">
        <v>0</v>
      </c>
      <c r="BU26" s="306">
        <v>0</v>
      </c>
      <c r="BV26" s="306">
        <v>0</v>
      </c>
      <c r="BW26" s="306">
        <v>0</v>
      </c>
      <c r="BX26" s="306">
        <v>0</v>
      </c>
      <c r="BY26" s="306">
        <v>0</v>
      </c>
      <c r="BZ26" s="306">
        <v>0</v>
      </c>
      <c r="CA26" s="306">
        <v>0</v>
      </c>
      <c r="CB26" s="306">
        <v>0</v>
      </c>
      <c r="CC26" s="306">
        <v>0</v>
      </c>
      <c r="CD26" s="306">
        <v>0</v>
      </c>
      <c r="CE26" s="306">
        <v>0</v>
      </c>
      <c r="CF26" s="306">
        <v>0</v>
      </c>
      <c r="CG26" s="306">
        <v>0</v>
      </c>
      <c r="CH26" s="306">
        <v>0</v>
      </c>
      <c r="CI26" s="306">
        <v>0</v>
      </c>
      <c r="CJ26" s="306">
        <v>0</v>
      </c>
      <c r="CK26" s="306">
        <v>0</v>
      </c>
      <c r="CL26" s="306">
        <v>0</v>
      </c>
      <c r="CO26" s="304" t="s">
        <v>660</v>
      </c>
      <c r="CP26" s="306">
        <v>0</v>
      </c>
      <c r="CQ26" s="306">
        <v>0</v>
      </c>
      <c r="CR26" s="306">
        <v>0</v>
      </c>
      <c r="CS26" s="306">
        <v>0</v>
      </c>
      <c r="CT26" s="306">
        <v>0</v>
      </c>
      <c r="CU26" s="306">
        <v>0</v>
      </c>
      <c r="CV26" s="306">
        <v>0</v>
      </c>
      <c r="CW26" s="306">
        <v>0</v>
      </c>
      <c r="CX26" s="306">
        <v>0</v>
      </c>
      <c r="CY26" s="306">
        <v>0</v>
      </c>
      <c r="CZ26" s="306">
        <v>0</v>
      </c>
      <c r="DA26" s="306">
        <v>0</v>
      </c>
      <c r="DB26" s="306">
        <v>0</v>
      </c>
      <c r="DC26" s="306">
        <v>0</v>
      </c>
      <c r="DD26" s="306">
        <v>0</v>
      </c>
      <c r="DE26" s="306">
        <v>0</v>
      </c>
      <c r="DF26" s="306">
        <v>0</v>
      </c>
      <c r="DG26" s="306">
        <v>0</v>
      </c>
      <c r="DH26" s="306">
        <v>0</v>
      </c>
      <c r="DI26" s="306">
        <v>0</v>
      </c>
      <c r="DJ26" s="306">
        <v>0</v>
      </c>
      <c r="DK26" s="306">
        <v>0</v>
      </c>
      <c r="DL26" s="306">
        <v>0</v>
      </c>
      <c r="DM26" s="306">
        <v>0</v>
      </c>
      <c r="DN26" s="306">
        <v>0</v>
      </c>
      <c r="DO26" s="306">
        <v>0</v>
      </c>
      <c r="DP26" s="306">
        <v>0</v>
      </c>
      <c r="DQ26" s="306">
        <v>0</v>
      </c>
      <c r="DR26" s="306">
        <v>0</v>
      </c>
    </row>
    <row r="27" spans="1:122">
      <c r="A27" s="304" t="s">
        <v>711</v>
      </c>
      <c r="B27" s="306">
        <v>1</v>
      </c>
      <c r="BI27" s="304" t="s">
        <v>661</v>
      </c>
      <c r="BJ27" s="306">
        <v>0</v>
      </c>
      <c r="BK27" s="306">
        <v>0</v>
      </c>
      <c r="BL27" s="306">
        <v>0</v>
      </c>
      <c r="BM27" s="306">
        <v>0</v>
      </c>
      <c r="BN27" s="306">
        <v>0</v>
      </c>
      <c r="BO27" s="306">
        <v>0</v>
      </c>
      <c r="BP27" s="306">
        <v>0</v>
      </c>
      <c r="BQ27" s="306">
        <v>0</v>
      </c>
      <c r="BR27" s="306">
        <v>0</v>
      </c>
      <c r="BS27" s="306">
        <v>0</v>
      </c>
      <c r="BT27" s="306">
        <v>0</v>
      </c>
      <c r="BU27" s="306">
        <v>0</v>
      </c>
      <c r="BV27" s="306">
        <v>0</v>
      </c>
      <c r="BW27" s="306">
        <v>0</v>
      </c>
      <c r="BX27" s="306">
        <v>0</v>
      </c>
      <c r="BY27" s="306">
        <v>0</v>
      </c>
      <c r="BZ27" s="306">
        <v>0</v>
      </c>
      <c r="CA27" s="306">
        <v>0</v>
      </c>
      <c r="CB27" s="306">
        <v>0</v>
      </c>
      <c r="CC27" s="306">
        <v>0</v>
      </c>
      <c r="CD27" s="306">
        <v>0</v>
      </c>
      <c r="CE27" s="306">
        <v>0</v>
      </c>
      <c r="CF27" s="306">
        <v>0</v>
      </c>
      <c r="CG27" s="306">
        <v>0</v>
      </c>
      <c r="CH27" s="306">
        <v>0</v>
      </c>
      <c r="CI27" s="306">
        <v>0</v>
      </c>
      <c r="CJ27" s="306">
        <v>0</v>
      </c>
      <c r="CK27" s="306">
        <v>0</v>
      </c>
      <c r="CL27" s="306">
        <v>0</v>
      </c>
      <c r="CO27" s="304" t="s">
        <v>661</v>
      </c>
      <c r="CP27" s="306">
        <v>0</v>
      </c>
      <c r="CQ27" s="306">
        <v>0</v>
      </c>
      <c r="CR27" s="306">
        <v>0</v>
      </c>
      <c r="CS27" s="306">
        <v>0</v>
      </c>
      <c r="CT27" s="306">
        <v>0</v>
      </c>
      <c r="CU27" s="306">
        <v>0</v>
      </c>
      <c r="CV27" s="306">
        <v>0</v>
      </c>
      <c r="CW27" s="306">
        <v>0</v>
      </c>
      <c r="CX27" s="306">
        <v>0</v>
      </c>
      <c r="CY27" s="306">
        <v>0</v>
      </c>
      <c r="CZ27" s="306">
        <v>0</v>
      </c>
      <c r="DA27" s="306">
        <v>0</v>
      </c>
      <c r="DB27" s="306">
        <v>0</v>
      </c>
      <c r="DC27" s="306">
        <v>0</v>
      </c>
      <c r="DD27" s="306">
        <v>0</v>
      </c>
      <c r="DE27" s="306">
        <v>0</v>
      </c>
      <c r="DF27" s="306">
        <v>0</v>
      </c>
      <c r="DG27" s="306">
        <v>0</v>
      </c>
      <c r="DH27" s="306">
        <v>0</v>
      </c>
      <c r="DI27" s="306">
        <v>0</v>
      </c>
      <c r="DJ27" s="306">
        <v>0</v>
      </c>
      <c r="DK27" s="306">
        <v>0</v>
      </c>
      <c r="DL27" s="306">
        <v>0</v>
      </c>
      <c r="DM27" s="306">
        <v>0</v>
      </c>
      <c r="DN27" s="306">
        <v>0</v>
      </c>
      <c r="DO27" s="306">
        <v>0</v>
      </c>
      <c r="DP27" s="306">
        <v>0</v>
      </c>
      <c r="DQ27" s="306">
        <v>0</v>
      </c>
      <c r="DR27" s="306">
        <v>0</v>
      </c>
    </row>
    <row r="28" spans="1:122">
      <c r="A28" s="304" t="s">
        <v>656</v>
      </c>
      <c r="B28" s="306">
        <v>2</v>
      </c>
      <c r="BI28" s="304" t="s">
        <v>662</v>
      </c>
      <c r="BJ28" s="306">
        <v>0</v>
      </c>
      <c r="BK28" s="306">
        <v>0</v>
      </c>
      <c r="BL28" s="306">
        <v>0</v>
      </c>
      <c r="BM28" s="306">
        <v>0</v>
      </c>
      <c r="BN28" s="306">
        <v>0</v>
      </c>
      <c r="BO28" s="306">
        <v>0</v>
      </c>
      <c r="BP28" s="306">
        <v>0</v>
      </c>
      <c r="BQ28" s="306">
        <v>0</v>
      </c>
      <c r="BR28" s="306">
        <v>0</v>
      </c>
      <c r="BS28" s="306">
        <v>0</v>
      </c>
      <c r="BT28" s="306">
        <v>0</v>
      </c>
      <c r="BU28" s="306">
        <v>0</v>
      </c>
      <c r="BV28" s="306">
        <v>0</v>
      </c>
      <c r="BW28" s="306">
        <v>0</v>
      </c>
      <c r="BX28" s="306">
        <v>0</v>
      </c>
      <c r="BY28" s="306">
        <v>0</v>
      </c>
      <c r="BZ28" s="306">
        <v>0</v>
      </c>
      <c r="CA28" s="306">
        <v>0</v>
      </c>
      <c r="CB28" s="306">
        <v>0</v>
      </c>
      <c r="CC28" s="306">
        <v>0</v>
      </c>
      <c r="CD28" s="306">
        <v>0</v>
      </c>
      <c r="CE28" s="306">
        <v>0</v>
      </c>
      <c r="CF28" s="306">
        <v>0</v>
      </c>
      <c r="CG28" s="306">
        <v>0</v>
      </c>
      <c r="CH28" s="306">
        <v>0</v>
      </c>
      <c r="CI28" s="306">
        <v>0</v>
      </c>
      <c r="CJ28" s="306">
        <v>0</v>
      </c>
      <c r="CK28" s="306">
        <v>0</v>
      </c>
      <c r="CL28" s="306">
        <v>0</v>
      </c>
      <c r="CO28" s="304" t="s">
        <v>662</v>
      </c>
      <c r="CP28" s="306">
        <v>0</v>
      </c>
      <c r="CQ28" s="306">
        <v>0</v>
      </c>
      <c r="CR28" s="306">
        <v>0</v>
      </c>
      <c r="CS28" s="306">
        <v>0</v>
      </c>
      <c r="CT28" s="306">
        <v>0</v>
      </c>
      <c r="CU28" s="306">
        <v>0</v>
      </c>
      <c r="CV28" s="306">
        <v>0</v>
      </c>
      <c r="CW28" s="306">
        <v>0</v>
      </c>
      <c r="CX28" s="306">
        <v>0</v>
      </c>
      <c r="CY28" s="306">
        <v>0</v>
      </c>
      <c r="CZ28" s="306">
        <v>0</v>
      </c>
      <c r="DA28" s="306">
        <v>0</v>
      </c>
      <c r="DB28" s="306">
        <v>0</v>
      </c>
      <c r="DC28" s="306">
        <v>0</v>
      </c>
      <c r="DD28" s="306">
        <v>0</v>
      </c>
      <c r="DE28" s="306">
        <v>0</v>
      </c>
      <c r="DF28" s="306">
        <v>0</v>
      </c>
      <c r="DG28" s="306">
        <v>0</v>
      </c>
      <c r="DH28" s="306">
        <v>0</v>
      </c>
      <c r="DI28" s="306">
        <v>0</v>
      </c>
      <c r="DJ28" s="306">
        <v>0</v>
      </c>
      <c r="DK28" s="306">
        <v>0</v>
      </c>
      <c r="DL28" s="306">
        <v>0</v>
      </c>
      <c r="DM28" s="306">
        <v>0</v>
      </c>
      <c r="DN28" s="306">
        <v>0</v>
      </c>
      <c r="DO28" s="306">
        <v>0</v>
      </c>
      <c r="DP28" s="306">
        <v>0</v>
      </c>
      <c r="DQ28" s="306">
        <v>0</v>
      </c>
      <c r="DR28" s="306">
        <v>0</v>
      </c>
    </row>
    <row r="29" spans="1:122">
      <c r="A29" s="304" t="s">
        <v>657</v>
      </c>
      <c r="B29" s="306">
        <v>2</v>
      </c>
      <c r="BI29" s="304" t="s">
        <v>663</v>
      </c>
      <c r="BJ29" s="306">
        <v>0</v>
      </c>
      <c r="BK29" s="306">
        <v>0</v>
      </c>
      <c r="BL29" s="306">
        <v>0</v>
      </c>
      <c r="BM29" s="306">
        <v>0</v>
      </c>
      <c r="BN29" s="306">
        <v>0</v>
      </c>
      <c r="BO29" s="306">
        <v>0</v>
      </c>
      <c r="BP29" s="306">
        <v>0</v>
      </c>
      <c r="BQ29" s="306">
        <v>0</v>
      </c>
      <c r="BR29" s="306">
        <v>0</v>
      </c>
      <c r="BS29" s="306">
        <v>0</v>
      </c>
      <c r="BT29" s="306">
        <v>0</v>
      </c>
      <c r="BU29" s="306">
        <v>0</v>
      </c>
      <c r="BV29" s="306">
        <v>0</v>
      </c>
      <c r="BW29" s="306">
        <v>0</v>
      </c>
      <c r="BX29" s="306">
        <v>0</v>
      </c>
      <c r="BY29" s="306">
        <v>0</v>
      </c>
      <c r="BZ29" s="306">
        <v>0</v>
      </c>
      <c r="CA29" s="306">
        <v>0</v>
      </c>
      <c r="CB29" s="306">
        <v>0</v>
      </c>
      <c r="CC29" s="306">
        <v>0</v>
      </c>
      <c r="CD29" s="306">
        <v>0</v>
      </c>
      <c r="CE29" s="306">
        <v>0</v>
      </c>
      <c r="CF29" s="306">
        <v>0</v>
      </c>
      <c r="CG29" s="306">
        <v>0</v>
      </c>
      <c r="CH29" s="306">
        <v>0</v>
      </c>
      <c r="CI29" s="306">
        <v>0</v>
      </c>
      <c r="CJ29" s="306">
        <v>0</v>
      </c>
      <c r="CK29" s="306">
        <v>0</v>
      </c>
      <c r="CL29" s="306">
        <v>0</v>
      </c>
      <c r="CO29" s="304" t="s">
        <v>663</v>
      </c>
      <c r="CP29" s="306">
        <v>0</v>
      </c>
      <c r="CQ29" s="306">
        <v>0</v>
      </c>
      <c r="CR29" s="306">
        <v>0</v>
      </c>
      <c r="CS29" s="306">
        <v>0</v>
      </c>
      <c r="CT29" s="306">
        <v>0</v>
      </c>
      <c r="CU29" s="306">
        <v>0</v>
      </c>
      <c r="CV29" s="306">
        <v>0</v>
      </c>
      <c r="CW29" s="306">
        <v>0</v>
      </c>
      <c r="CX29" s="306">
        <v>0</v>
      </c>
      <c r="CY29" s="306">
        <v>0</v>
      </c>
      <c r="CZ29" s="306">
        <v>0</v>
      </c>
      <c r="DA29" s="306">
        <v>0</v>
      </c>
      <c r="DB29" s="306">
        <v>0</v>
      </c>
      <c r="DC29" s="306">
        <v>0</v>
      </c>
      <c r="DD29" s="306">
        <v>0</v>
      </c>
      <c r="DE29" s="306">
        <v>0</v>
      </c>
      <c r="DF29" s="306">
        <v>0</v>
      </c>
      <c r="DG29" s="306">
        <v>0</v>
      </c>
      <c r="DH29" s="306">
        <v>0</v>
      </c>
      <c r="DI29" s="306">
        <v>0</v>
      </c>
      <c r="DJ29" s="306">
        <v>0</v>
      </c>
      <c r="DK29" s="306">
        <v>0</v>
      </c>
      <c r="DL29" s="306">
        <v>0</v>
      </c>
      <c r="DM29" s="306">
        <v>0</v>
      </c>
      <c r="DN29" s="306">
        <v>0</v>
      </c>
      <c r="DO29" s="306">
        <v>0</v>
      </c>
      <c r="DP29" s="306">
        <v>0</v>
      </c>
      <c r="DQ29" s="306">
        <v>0</v>
      </c>
      <c r="DR29" s="306">
        <v>0</v>
      </c>
    </row>
    <row r="30" spans="1:122">
      <c r="A30" s="304" t="s">
        <v>771</v>
      </c>
      <c r="B30" s="306">
        <v>1</v>
      </c>
      <c r="BI30" s="304" t="s">
        <v>664</v>
      </c>
      <c r="BJ30" s="306">
        <v>0</v>
      </c>
      <c r="BK30" s="306">
        <v>0</v>
      </c>
      <c r="BL30" s="306">
        <v>0</v>
      </c>
      <c r="BM30" s="306">
        <v>0</v>
      </c>
      <c r="BN30" s="306">
        <v>0</v>
      </c>
      <c r="BO30" s="306">
        <v>0</v>
      </c>
      <c r="BP30" s="306">
        <v>0</v>
      </c>
      <c r="BQ30" s="306">
        <v>0</v>
      </c>
      <c r="BR30" s="306">
        <v>0</v>
      </c>
      <c r="BS30" s="306">
        <v>0</v>
      </c>
      <c r="BT30" s="306">
        <v>0</v>
      </c>
      <c r="BU30" s="306">
        <v>0</v>
      </c>
      <c r="BV30" s="306">
        <v>0</v>
      </c>
      <c r="BW30" s="306">
        <v>0</v>
      </c>
      <c r="BX30" s="306">
        <v>0</v>
      </c>
      <c r="BY30" s="306">
        <v>0</v>
      </c>
      <c r="BZ30" s="306">
        <v>0</v>
      </c>
      <c r="CA30" s="306">
        <v>0</v>
      </c>
      <c r="CB30" s="306">
        <v>0</v>
      </c>
      <c r="CC30" s="306">
        <v>0</v>
      </c>
      <c r="CD30" s="306">
        <v>0</v>
      </c>
      <c r="CE30" s="306">
        <v>0</v>
      </c>
      <c r="CF30" s="306">
        <v>0</v>
      </c>
      <c r="CG30" s="306">
        <v>0</v>
      </c>
      <c r="CH30" s="306">
        <v>0</v>
      </c>
      <c r="CI30" s="306">
        <v>0</v>
      </c>
      <c r="CJ30" s="306">
        <v>0</v>
      </c>
      <c r="CK30" s="306">
        <v>0</v>
      </c>
      <c r="CL30" s="306">
        <v>0</v>
      </c>
      <c r="CO30" s="304" t="s">
        <v>664</v>
      </c>
      <c r="CP30" s="306">
        <v>0</v>
      </c>
      <c r="CQ30" s="306">
        <v>0</v>
      </c>
      <c r="CR30" s="306">
        <v>0</v>
      </c>
      <c r="CS30" s="306">
        <v>0</v>
      </c>
      <c r="CT30" s="306">
        <v>0</v>
      </c>
      <c r="CU30" s="306">
        <v>0</v>
      </c>
      <c r="CV30" s="306">
        <v>0</v>
      </c>
      <c r="CW30" s="306">
        <v>0</v>
      </c>
      <c r="CX30" s="306">
        <v>0</v>
      </c>
      <c r="CY30" s="306">
        <v>0</v>
      </c>
      <c r="CZ30" s="306">
        <v>0</v>
      </c>
      <c r="DA30" s="306">
        <v>0</v>
      </c>
      <c r="DB30" s="306">
        <v>0</v>
      </c>
      <c r="DC30" s="306">
        <v>0</v>
      </c>
      <c r="DD30" s="306">
        <v>0</v>
      </c>
      <c r="DE30" s="306">
        <v>0</v>
      </c>
      <c r="DF30" s="306">
        <v>0</v>
      </c>
      <c r="DG30" s="306">
        <v>0</v>
      </c>
      <c r="DH30" s="306">
        <v>0</v>
      </c>
      <c r="DI30" s="306">
        <v>0</v>
      </c>
      <c r="DJ30" s="306">
        <v>0</v>
      </c>
      <c r="DK30" s="306">
        <v>0</v>
      </c>
      <c r="DL30" s="306">
        <v>0</v>
      </c>
      <c r="DM30" s="306">
        <v>0</v>
      </c>
      <c r="DN30" s="306">
        <v>0</v>
      </c>
      <c r="DO30" s="306">
        <v>0</v>
      </c>
      <c r="DP30" s="306">
        <v>0</v>
      </c>
      <c r="DQ30" s="306">
        <v>0</v>
      </c>
      <c r="DR30" s="306">
        <v>0</v>
      </c>
    </row>
    <row r="31" spans="1:122">
      <c r="A31" s="304" t="s">
        <v>658</v>
      </c>
      <c r="B31" s="306">
        <v>2</v>
      </c>
      <c r="BI31" s="304" t="s">
        <v>665</v>
      </c>
      <c r="BJ31" s="306">
        <v>0</v>
      </c>
      <c r="BK31" s="306">
        <v>0</v>
      </c>
      <c r="BL31" s="306">
        <v>0</v>
      </c>
      <c r="BM31" s="306">
        <v>0</v>
      </c>
      <c r="BN31" s="306">
        <v>0</v>
      </c>
      <c r="BO31" s="306">
        <v>0</v>
      </c>
      <c r="BP31" s="306">
        <v>0</v>
      </c>
      <c r="BQ31" s="306">
        <v>0</v>
      </c>
      <c r="BR31" s="306">
        <v>0</v>
      </c>
      <c r="BS31" s="306">
        <v>0</v>
      </c>
      <c r="BT31" s="306">
        <v>0</v>
      </c>
      <c r="BU31" s="306">
        <v>0</v>
      </c>
      <c r="BV31" s="306">
        <v>0</v>
      </c>
      <c r="BW31" s="306">
        <v>0</v>
      </c>
      <c r="BX31" s="306">
        <v>0</v>
      </c>
      <c r="BY31" s="306">
        <v>0</v>
      </c>
      <c r="BZ31" s="306">
        <v>0</v>
      </c>
      <c r="CA31" s="306">
        <v>0</v>
      </c>
      <c r="CB31" s="306">
        <v>0</v>
      </c>
      <c r="CC31" s="306">
        <v>0</v>
      </c>
      <c r="CD31" s="306">
        <v>0</v>
      </c>
      <c r="CE31" s="306">
        <v>0</v>
      </c>
      <c r="CF31" s="306">
        <v>0</v>
      </c>
      <c r="CG31" s="306">
        <v>0</v>
      </c>
      <c r="CH31" s="306">
        <v>0</v>
      </c>
      <c r="CI31" s="306">
        <v>0</v>
      </c>
      <c r="CJ31" s="306">
        <v>0</v>
      </c>
      <c r="CK31" s="306">
        <v>0</v>
      </c>
      <c r="CL31" s="306">
        <v>0</v>
      </c>
      <c r="CO31" s="304" t="s">
        <v>665</v>
      </c>
      <c r="CP31" s="306">
        <v>0</v>
      </c>
      <c r="CQ31" s="306">
        <v>0</v>
      </c>
      <c r="CR31" s="306">
        <v>0</v>
      </c>
      <c r="CS31" s="306">
        <v>0</v>
      </c>
      <c r="CT31" s="306">
        <v>0</v>
      </c>
      <c r="CU31" s="306">
        <v>0</v>
      </c>
      <c r="CV31" s="306">
        <v>0</v>
      </c>
      <c r="CW31" s="306">
        <v>0</v>
      </c>
      <c r="CX31" s="306">
        <v>0</v>
      </c>
      <c r="CY31" s="306">
        <v>0</v>
      </c>
      <c r="CZ31" s="306">
        <v>0</v>
      </c>
      <c r="DA31" s="306">
        <v>0</v>
      </c>
      <c r="DB31" s="306">
        <v>0</v>
      </c>
      <c r="DC31" s="306">
        <v>0</v>
      </c>
      <c r="DD31" s="306">
        <v>0</v>
      </c>
      <c r="DE31" s="306">
        <v>0</v>
      </c>
      <c r="DF31" s="306">
        <v>0</v>
      </c>
      <c r="DG31" s="306">
        <v>0</v>
      </c>
      <c r="DH31" s="306">
        <v>0</v>
      </c>
      <c r="DI31" s="306">
        <v>0</v>
      </c>
      <c r="DJ31" s="306">
        <v>0</v>
      </c>
      <c r="DK31" s="306">
        <v>0</v>
      </c>
      <c r="DL31" s="306">
        <v>0</v>
      </c>
      <c r="DM31" s="306">
        <v>0</v>
      </c>
      <c r="DN31" s="306">
        <v>0</v>
      </c>
      <c r="DO31" s="306">
        <v>0</v>
      </c>
      <c r="DP31" s="306">
        <v>0</v>
      </c>
      <c r="DQ31" s="306">
        <v>0</v>
      </c>
      <c r="DR31" s="306">
        <v>0</v>
      </c>
    </row>
    <row r="32" spans="1:122">
      <c r="A32" s="304" t="s">
        <v>712</v>
      </c>
      <c r="B32" s="306">
        <v>1</v>
      </c>
      <c r="BI32" s="304" t="s">
        <v>666</v>
      </c>
      <c r="BJ32" s="306">
        <v>0</v>
      </c>
      <c r="BK32" s="306">
        <v>0</v>
      </c>
      <c r="BL32" s="306">
        <v>0</v>
      </c>
      <c r="BM32" s="306">
        <v>0</v>
      </c>
      <c r="BN32" s="306">
        <v>0</v>
      </c>
      <c r="BO32" s="306">
        <v>0</v>
      </c>
      <c r="BP32" s="306">
        <v>0</v>
      </c>
      <c r="BQ32" s="306">
        <v>0</v>
      </c>
      <c r="BR32" s="306">
        <v>0</v>
      </c>
      <c r="BS32" s="306">
        <v>0</v>
      </c>
      <c r="BT32" s="306">
        <v>0</v>
      </c>
      <c r="BU32" s="306">
        <v>0</v>
      </c>
      <c r="BV32" s="306">
        <v>0</v>
      </c>
      <c r="BW32" s="306">
        <v>0</v>
      </c>
      <c r="BX32" s="306">
        <v>0</v>
      </c>
      <c r="BY32" s="306">
        <v>0</v>
      </c>
      <c r="BZ32" s="306">
        <v>0</v>
      </c>
      <c r="CA32" s="306">
        <v>0</v>
      </c>
      <c r="CB32" s="306">
        <v>0</v>
      </c>
      <c r="CC32" s="306">
        <v>0</v>
      </c>
      <c r="CD32" s="306">
        <v>0</v>
      </c>
      <c r="CE32" s="306">
        <v>0</v>
      </c>
      <c r="CF32" s="306">
        <v>0</v>
      </c>
      <c r="CG32" s="306">
        <v>0</v>
      </c>
      <c r="CH32" s="306">
        <v>0</v>
      </c>
      <c r="CI32" s="306">
        <v>0</v>
      </c>
      <c r="CJ32" s="306">
        <v>0</v>
      </c>
      <c r="CK32" s="306">
        <v>0</v>
      </c>
      <c r="CL32" s="306">
        <v>0</v>
      </c>
      <c r="CO32" s="304" t="s">
        <v>666</v>
      </c>
      <c r="CP32" s="306">
        <v>0</v>
      </c>
      <c r="CQ32" s="306">
        <v>0</v>
      </c>
      <c r="CR32" s="306">
        <v>0</v>
      </c>
      <c r="CS32" s="306">
        <v>0</v>
      </c>
      <c r="CT32" s="306">
        <v>0</v>
      </c>
      <c r="CU32" s="306">
        <v>0</v>
      </c>
      <c r="CV32" s="306">
        <v>0</v>
      </c>
      <c r="CW32" s="306">
        <v>0</v>
      </c>
      <c r="CX32" s="306">
        <v>0</v>
      </c>
      <c r="CY32" s="306">
        <v>0</v>
      </c>
      <c r="CZ32" s="306">
        <v>0</v>
      </c>
      <c r="DA32" s="306">
        <v>0</v>
      </c>
      <c r="DB32" s="306">
        <v>0</v>
      </c>
      <c r="DC32" s="306">
        <v>0</v>
      </c>
      <c r="DD32" s="306">
        <v>0</v>
      </c>
      <c r="DE32" s="306">
        <v>0</v>
      </c>
      <c r="DF32" s="306">
        <v>0</v>
      </c>
      <c r="DG32" s="306">
        <v>0</v>
      </c>
      <c r="DH32" s="306">
        <v>0</v>
      </c>
      <c r="DI32" s="306">
        <v>0</v>
      </c>
      <c r="DJ32" s="306">
        <v>0</v>
      </c>
      <c r="DK32" s="306">
        <v>0</v>
      </c>
      <c r="DL32" s="306">
        <v>0</v>
      </c>
      <c r="DM32" s="306">
        <v>0</v>
      </c>
      <c r="DN32" s="306">
        <v>0</v>
      </c>
      <c r="DO32" s="306">
        <v>0</v>
      </c>
      <c r="DP32" s="306">
        <v>0</v>
      </c>
      <c r="DQ32" s="306">
        <v>0</v>
      </c>
      <c r="DR32" s="306">
        <v>0</v>
      </c>
    </row>
    <row r="33" spans="1:122">
      <c r="A33" s="304" t="s">
        <v>713</v>
      </c>
      <c r="B33" s="306">
        <v>1</v>
      </c>
      <c r="BI33" s="304" t="s">
        <v>667</v>
      </c>
      <c r="BJ33" s="306">
        <v>0</v>
      </c>
      <c r="BK33" s="306">
        <v>0</v>
      </c>
      <c r="BL33" s="306">
        <v>0</v>
      </c>
      <c r="BM33" s="306">
        <v>0</v>
      </c>
      <c r="BN33" s="306">
        <v>0</v>
      </c>
      <c r="BO33" s="306">
        <v>0</v>
      </c>
      <c r="BP33" s="306">
        <v>0</v>
      </c>
      <c r="BQ33" s="306">
        <v>0</v>
      </c>
      <c r="BR33" s="306">
        <v>0</v>
      </c>
      <c r="BS33" s="306">
        <v>0</v>
      </c>
      <c r="BT33" s="306">
        <v>0</v>
      </c>
      <c r="BU33" s="306">
        <v>0</v>
      </c>
      <c r="BV33" s="306">
        <v>0</v>
      </c>
      <c r="BW33" s="306">
        <v>0</v>
      </c>
      <c r="BX33" s="306">
        <v>0</v>
      </c>
      <c r="BY33" s="306">
        <v>0</v>
      </c>
      <c r="BZ33" s="306">
        <v>0</v>
      </c>
      <c r="CA33" s="306">
        <v>0</v>
      </c>
      <c r="CB33" s="306">
        <v>0</v>
      </c>
      <c r="CC33" s="306">
        <v>0</v>
      </c>
      <c r="CD33" s="306">
        <v>0</v>
      </c>
      <c r="CE33" s="306">
        <v>0</v>
      </c>
      <c r="CF33" s="306">
        <v>0</v>
      </c>
      <c r="CG33" s="306">
        <v>0</v>
      </c>
      <c r="CH33" s="306">
        <v>0</v>
      </c>
      <c r="CI33" s="306">
        <v>0</v>
      </c>
      <c r="CJ33" s="306">
        <v>0</v>
      </c>
      <c r="CK33" s="306">
        <v>0</v>
      </c>
      <c r="CL33" s="306">
        <v>0</v>
      </c>
      <c r="CO33" s="304" t="s">
        <v>667</v>
      </c>
      <c r="CP33" s="306">
        <v>0</v>
      </c>
      <c r="CQ33" s="306">
        <v>0</v>
      </c>
      <c r="CR33" s="306">
        <v>0</v>
      </c>
      <c r="CS33" s="306">
        <v>0</v>
      </c>
      <c r="CT33" s="306">
        <v>0</v>
      </c>
      <c r="CU33" s="306">
        <v>0</v>
      </c>
      <c r="CV33" s="306">
        <v>0</v>
      </c>
      <c r="CW33" s="306">
        <v>0</v>
      </c>
      <c r="CX33" s="306">
        <v>0</v>
      </c>
      <c r="CY33" s="306">
        <v>0</v>
      </c>
      <c r="CZ33" s="306">
        <v>0</v>
      </c>
      <c r="DA33" s="306">
        <v>0</v>
      </c>
      <c r="DB33" s="306">
        <v>0</v>
      </c>
      <c r="DC33" s="306">
        <v>0</v>
      </c>
      <c r="DD33" s="306">
        <v>0</v>
      </c>
      <c r="DE33" s="306">
        <v>0</v>
      </c>
      <c r="DF33" s="306">
        <v>0</v>
      </c>
      <c r="DG33" s="306">
        <v>0</v>
      </c>
      <c r="DH33" s="306">
        <v>0</v>
      </c>
      <c r="DI33" s="306">
        <v>0</v>
      </c>
      <c r="DJ33" s="306">
        <v>0</v>
      </c>
      <c r="DK33" s="306">
        <v>0</v>
      </c>
      <c r="DL33" s="306">
        <v>0</v>
      </c>
      <c r="DM33" s="306">
        <v>0</v>
      </c>
      <c r="DN33" s="306">
        <v>0</v>
      </c>
      <c r="DO33" s="306">
        <v>0</v>
      </c>
      <c r="DP33" s="306">
        <v>0</v>
      </c>
      <c r="DQ33" s="306">
        <v>0</v>
      </c>
      <c r="DR33" s="306">
        <v>0</v>
      </c>
    </row>
    <row r="34" spans="1:122">
      <c r="A34" s="304" t="s">
        <v>659</v>
      </c>
      <c r="B34" s="306">
        <v>1</v>
      </c>
      <c r="BI34" s="304" t="s">
        <v>668</v>
      </c>
      <c r="BJ34" s="306">
        <v>0</v>
      </c>
      <c r="BK34" s="306">
        <v>0</v>
      </c>
      <c r="BL34" s="306">
        <v>0</v>
      </c>
      <c r="BM34" s="306">
        <v>0</v>
      </c>
      <c r="BN34" s="306">
        <v>0</v>
      </c>
      <c r="BO34" s="306">
        <v>0</v>
      </c>
      <c r="BP34" s="306">
        <v>0</v>
      </c>
      <c r="BQ34" s="306">
        <v>0</v>
      </c>
      <c r="BR34" s="306">
        <v>0</v>
      </c>
      <c r="BS34" s="306">
        <v>0</v>
      </c>
      <c r="BT34" s="306">
        <v>0</v>
      </c>
      <c r="BU34" s="306">
        <v>0</v>
      </c>
      <c r="BV34" s="306">
        <v>0</v>
      </c>
      <c r="BW34" s="306">
        <v>0</v>
      </c>
      <c r="BX34" s="306">
        <v>0</v>
      </c>
      <c r="BY34" s="306">
        <v>0</v>
      </c>
      <c r="BZ34" s="306">
        <v>0</v>
      </c>
      <c r="CA34" s="306">
        <v>0</v>
      </c>
      <c r="CB34" s="306">
        <v>0</v>
      </c>
      <c r="CC34" s="306">
        <v>0</v>
      </c>
      <c r="CD34" s="306">
        <v>0</v>
      </c>
      <c r="CE34" s="306">
        <v>0</v>
      </c>
      <c r="CF34" s="306">
        <v>0</v>
      </c>
      <c r="CG34" s="306">
        <v>0</v>
      </c>
      <c r="CH34" s="306">
        <v>0</v>
      </c>
      <c r="CI34" s="306">
        <v>0</v>
      </c>
      <c r="CJ34" s="306">
        <v>0</v>
      </c>
      <c r="CK34" s="306">
        <v>0</v>
      </c>
      <c r="CL34" s="306">
        <v>0</v>
      </c>
      <c r="CO34" s="304" t="s">
        <v>668</v>
      </c>
      <c r="CP34" s="306">
        <v>0</v>
      </c>
      <c r="CQ34" s="306">
        <v>0</v>
      </c>
      <c r="CR34" s="306">
        <v>0</v>
      </c>
      <c r="CS34" s="306">
        <v>0</v>
      </c>
      <c r="CT34" s="306">
        <v>0</v>
      </c>
      <c r="CU34" s="306">
        <v>0</v>
      </c>
      <c r="CV34" s="306">
        <v>0</v>
      </c>
      <c r="CW34" s="306">
        <v>0</v>
      </c>
      <c r="CX34" s="306">
        <v>0</v>
      </c>
      <c r="CY34" s="306">
        <v>0</v>
      </c>
      <c r="CZ34" s="306">
        <v>0</v>
      </c>
      <c r="DA34" s="306">
        <v>0</v>
      </c>
      <c r="DB34" s="306">
        <v>0</v>
      </c>
      <c r="DC34" s="306">
        <v>0</v>
      </c>
      <c r="DD34" s="306">
        <v>0</v>
      </c>
      <c r="DE34" s="306">
        <v>0</v>
      </c>
      <c r="DF34" s="306">
        <v>0</v>
      </c>
      <c r="DG34" s="306">
        <v>0</v>
      </c>
      <c r="DH34" s="306">
        <v>0</v>
      </c>
      <c r="DI34" s="306">
        <v>0</v>
      </c>
      <c r="DJ34" s="306">
        <v>0</v>
      </c>
      <c r="DK34" s="306">
        <v>0</v>
      </c>
      <c r="DL34" s="306">
        <v>0</v>
      </c>
      <c r="DM34" s="306">
        <v>0</v>
      </c>
      <c r="DN34" s="306">
        <v>0</v>
      </c>
      <c r="DO34" s="306">
        <v>0</v>
      </c>
      <c r="DP34" s="306">
        <v>0</v>
      </c>
      <c r="DQ34" s="306">
        <v>0</v>
      </c>
      <c r="DR34" s="306">
        <v>0</v>
      </c>
    </row>
    <row r="35" spans="1:122">
      <c r="A35" s="304" t="s">
        <v>660</v>
      </c>
      <c r="B35" s="306">
        <v>1</v>
      </c>
      <c r="BI35" s="304" t="s">
        <v>669</v>
      </c>
      <c r="BJ35" s="306">
        <v>0</v>
      </c>
      <c r="BK35" s="306">
        <v>0</v>
      </c>
      <c r="BL35" s="306">
        <v>0</v>
      </c>
      <c r="BM35" s="306">
        <v>0</v>
      </c>
      <c r="BN35" s="306">
        <v>0</v>
      </c>
      <c r="BO35" s="306">
        <v>0</v>
      </c>
      <c r="BP35" s="306">
        <v>0</v>
      </c>
      <c r="BQ35" s="306">
        <v>0</v>
      </c>
      <c r="BR35" s="306">
        <v>0</v>
      </c>
      <c r="BS35" s="306">
        <v>0</v>
      </c>
      <c r="BT35" s="306">
        <v>0</v>
      </c>
      <c r="BU35" s="306">
        <v>0</v>
      </c>
      <c r="BV35" s="306">
        <v>0</v>
      </c>
      <c r="BW35" s="306">
        <v>0</v>
      </c>
      <c r="BX35" s="306">
        <v>0</v>
      </c>
      <c r="BY35" s="306">
        <v>0</v>
      </c>
      <c r="BZ35" s="306">
        <v>0</v>
      </c>
      <c r="CA35" s="306">
        <v>0</v>
      </c>
      <c r="CB35" s="306">
        <v>0</v>
      </c>
      <c r="CC35" s="306">
        <v>0</v>
      </c>
      <c r="CD35" s="306">
        <v>0</v>
      </c>
      <c r="CE35" s="306">
        <v>0</v>
      </c>
      <c r="CF35" s="306">
        <v>0</v>
      </c>
      <c r="CG35" s="306">
        <v>0</v>
      </c>
      <c r="CH35" s="306">
        <v>0</v>
      </c>
      <c r="CI35" s="306">
        <v>0</v>
      </c>
      <c r="CJ35" s="306">
        <v>0</v>
      </c>
      <c r="CK35" s="306">
        <v>0</v>
      </c>
      <c r="CL35" s="306">
        <v>0</v>
      </c>
      <c r="CO35" s="304" t="s">
        <v>669</v>
      </c>
      <c r="CP35" s="306">
        <v>0</v>
      </c>
      <c r="CQ35" s="306">
        <v>0</v>
      </c>
      <c r="CR35" s="306">
        <v>0</v>
      </c>
      <c r="CS35" s="306">
        <v>0</v>
      </c>
      <c r="CT35" s="306">
        <v>0</v>
      </c>
      <c r="CU35" s="306">
        <v>0</v>
      </c>
      <c r="CV35" s="306">
        <v>0</v>
      </c>
      <c r="CW35" s="306">
        <v>0</v>
      </c>
      <c r="CX35" s="306">
        <v>0</v>
      </c>
      <c r="CY35" s="306">
        <v>0</v>
      </c>
      <c r="CZ35" s="306">
        <v>0</v>
      </c>
      <c r="DA35" s="306">
        <v>0</v>
      </c>
      <c r="DB35" s="306">
        <v>0</v>
      </c>
      <c r="DC35" s="306">
        <v>0</v>
      </c>
      <c r="DD35" s="306">
        <v>0</v>
      </c>
      <c r="DE35" s="306">
        <v>0</v>
      </c>
      <c r="DF35" s="306">
        <v>0</v>
      </c>
      <c r="DG35" s="306">
        <v>0</v>
      </c>
      <c r="DH35" s="306">
        <v>0</v>
      </c>
      <c r="DI35" s="306">
        <v>0</v>
      </c>
      <c r="DJ35" s="306">
        <v>0</v>
      </c>
      <c r="DK35" s="306">
        <v>0</v>
      </c>
      <c r="DL35" s="306">
        <v>0</v>
      </c>
      <c r="DM35" s="306">
        <v>0</v>
      </c>
      <c r="DN35" s="306">
        <v>0</v>
      </c>
      <c r="DO35" s="306">
        <v>0</v>
      </c>
      <c r="DP35" s="306">
        <v>0</v>
      </c>
      <c r="DQ35" s="306">
        <v>0</v>
      </c>
      <c r="DR35" s="306">
        <v>0</v>
      </c>
    </row>
    <row r="36" spans="1:122">
      <c r="A36" s="304" t="s">
        <v>661</v>
      </c>
      <c r="B36" s="306">
        <v>1</v>
      </c>
      <c r="BI36" s="304" t="s">
        <v>670</v>
      </c>
      <c r="BJ36" s="306">
        <v>0</v>
      </c>
      <c r="BK36" s="306">
        <v>0</v>
      </c>
      <c r="BL36" s="306">
        <v>0</v>
      </c>
      <c r="BM36" s="306">
        <v>0</v>
      </c>
      <c r="BN36" s="306">
        <v>0</v>
      </c>
      <c r="BO36" s="306">
        <v>0</v>
      </c>
      <c r="BP36" s="306">
        <v>0</v>
      </c>
      <c r="BQ36" s="306">
        <v>0</v>
      </c>
      <c r="BR36" s="306">
        <v>0</v>
      </c>
      <c r="BS36" s="306">
        <v>0</v>
      </c>
      <c r="BT36" s="306">
        <v>0</v>
      </c>
      <c r="BU36" s="306">
        <v>0</v>
      </c>
      <c r="BV36" s="306">
        <v>0</v>
      </c>
      <c r="BW36" s="306">
        <v>0</v>
      </c>
      <c r="BX36" s="306">
        <v>0</v>
      </c>
      <c r="BY36" s="306">
        <v>0</v>
      </c>
      <c r="BZ36" s="306">
        <v>0</v>
      </c>
      <c r="CA36" s="306">
        <v>0</v>
      </c>
      <c r="CB36" s="306">
        <v>0</v>
      </c>
      <c r="CC36" s="306">
        <v>0</v>
      </c>
      <c r="CD36" s="306">
        <v>0</v>
      </c>
      <c r="CE36" s="306">
        <v>0</v>
      </c>
      <c r="CF36" s="306">
        <v>0</v>
      </c>
      <c r="CG36" s="306">
        <v>0</v>
      </c>
      <c r="CH36" s="306">
        <v>0</v>
      </c>
      <c r="CI36" s="306">
        <v>0</v>
      </c>
      <c r="CJ36" s="306">
        <v>0</v>
      </c>
      <c r="CK36" s="306">
        <v>0</v>
      </c>
      <c r="CL36" s="306">
        <v>0</v>
      </c>
      <c r="CO36" s="304" t="s">
        <v>670</v>
      </c>
      <c r="CP36" s="306">
        <v>0</v>
      </c>
      <c r="CQ36" s="306">
        <v>0</v>
      </c>
      <c r="CR36" s="306">
        <v>0</v>
      </c>
      <c r="CS36" s="306">
        <v>0</v>
      </c>
      <c r="CT36" s="306">
        <v>0</v>
      </c>
      <c r="CU36" s="306">
        <v>0</v>
      </c>
      <c r="CV36" s="306">
        <v>0</v>
      </c>
      <c r="CW36" s="306">
        <v>0</v>
      </c>
      <c r="CX36" s="306">
        <v>0</v>
      </c>
      <c r="CY36" s="306">
        <v>0</v>
      </c>
      <c r="CZ36" s="306">
        <v>0</v>
      </c>
      <c r="DA36" s="306">
        <v>0</v>
      </c>
      <c r="DB36" s="306">
        <v>0</v>
      </c>
      <c r="DC36" s="306">
        <v>0</v>
      </c>
      <c r="DD36" s="306">
        <v>0</v>
      </c>
      <c r="DE36" s="306">
        <v>0</v>
      </c>
      <c r="DF36" s="306">
        <v>0</v>
      </c>
      <c r="DG36" s="306">
        <v>0</v>
      </c>
      <c r="DH36" s="306">
        <v>0</v>
      </c>
      <c r="DI36" s="306">
        <v>0</v>
      </c>
      <c r="DJ36" s="306">
        <v>0</v>
      </c>
      <c r="DK36" s="306">
        <v>0</v>
      </c>
      <c r="DL36" s="306">
        <v>0</v>
      </c>
      <c r="DM36" s="306">
        <v>0</v>
      </c>
      <c r="DN36" s="306">
        <v>0</v>
      </c>
      <c r="DO36" s="306">
        <v>0</v>
      </c>
      <c r="DP36" s="306">
        <v>0</v>
      </c>
      <c r="DQ36" s="306">
        <v>0</v>
      </c>
      <c r="DR36" s="306">
        <v>0</v>
      </c>
    </row>
    <row r="37" spans="1:122">
      <c r="A37" s="304" t="s">
        <v>662</v>
      </c>
      <c r="B37" s="306">
        <v>1</v>
      </c>
      <c r="BI37" s="304" t="s">
        <v>671</v>
      </c>
      <c r="BJ37" s="306">
        <v>0</v>
      </c>
      <c r="BK37" s="306">
        <v>0</v>
      </c>
      <c r="BL37" s="306">
        <v>0</v>
      </c>
      <c r="BM37" s="306">
        <v>0</v>
      </c>
      <c r="BN37" s="306">
        <v>0</v>
      </c>
      <c r="BO37" s="306">
        <v>0</v>
      </c>
      <c r="BP37" s="306">
        <v>0</v>
      </c>
      <c r="BQ37" s="306">
        <v>0</v>
      </c>
      <c r="BR37" s="306">
        <v>0</v>
      </c>
      <c r="BS37" s="306">
        <v>0</v>
      </c>
      <c r="BT37" s="306">
        <v>0</v>
      </c>
      <c r="BU37" s="306">
        <v>0</v>
      </c>
      <c r="BV37" s="306">
        <v>0</v>
      </c>
      <c r="BW37" s="306">
        <v>0</v>
      </c>
      <c r="BX37" s="306">
        <v>0</v>
      </c>
      <c r="BY37" s="306">
        <v>0</v>
      </c>
      <c r="BZ37" s="306">
        <v>0</v>
      </c>
      <c r="CA37" s="306">
        <v>0</v>
      </c>
      <c r="CB37" s="306">
        <v>0</v>
      </c>
      <c r="CC37" s="306">
        <v>0</v>
      </c>
      <c r="CD37" s="306">
        <v>0</v>
      </c>
      <c r="CE37" s="306">
        <v>0</v>
      </c>
      <c r="CF37" s="306">
        <v>0</v>
      </c>
      <c r="CG37" s="306">
        <v>0</v>
      </c>
      <c r="CH37" s="306">
        <v>0</v>
      </c>
      <c r="CI37" s="306">
        <v>0</v>
      </c>
      <c r="CJ37" s="306">
        <v>0</v>
      </c>
      <c r="CK37" s="306">
        <v>0</v>
      </c>
      <c r="CL37" s="306">
        <v>0</v>
      </c>
      <c r="CO37" s="304" t="s">
        <v>671</v>
      </c>
      <c r="CP37" s="306">
        <v>0</v>
      </c>
      <c r="CQ37" s="306">
        <v>0</v>
      </c>
      <c r="CR37" s="306">
        <v>0</v>
      </c>
      <c r="CS37" s="306">
        <v>0</v>
      </c>
      <c r="CT37" s="306">
        <v>0</v>
      </c>
      <c r="CU37" s="306">
        <v>0</v>
      </c>
      <c r="CV37" s="306">
        <v>0</v>
      </c>
      <c r="CW37" s="306">
        <v>0</v>
      </c>
      <c r="CX37" s="306">
        <v>0</v>
      </c>
      <c r="CY37" s="306">
        <v>0</v>
      </c>
      <c r="CZ37" s="306">
        <v>0</v>
      </c>
      <c r="DA37" s="306">
        <v>0</v>
      </c>
      <c r="DB37" s="306">
        <v>0</v>
      </c>
      <c r="DC37" s="306">
        <v>0</v>
      </c>
      <c r="DD37" s="306">
        <v>0</v>
      </c>
      <c r="DE37" s="306">
        <v>0</v>
      </c>
      <c r="DF37" s="306">
        <v>0</v>
      </c>
      <c r="DG37" s="306">
        <v>0</v>
      </c>
      <c r="DH37" s="306">
        <v>0</v>
      </c>
      <c r="DI37" s="306">
        <v>0</v>
      </c>
      <c r="DJ37" s="306">
        <v>0</v>
      </c>
      <c r="DK37" s="306">
        <v>0</v>
      </c>
      <c r="DL37" s="306">
        <v>0</v>
      </c>
      <c r="DM37" s="306">
        <v>0</v>
      </c>
      <c r="DN37" s="306">
        <v>0</v>
      </c>
      <c r="DO37" s="306">
        <v>0</v>
      </c>
      <c r="DP37" s="306">
        <v>0</v>
      </c>
      <c r="DQ37" s="306">
        <v>0</v>
      </c>
      <c r="DR37" s="306">
        <v>0</v>
      </c>
    </row>
    <row r="38" spans="1:122">
      <c r="A38" s="304" t="s">
        <v>663</v>
      </c>
      <c r="B38" s="306">
        <v>1</v>
      </c>
      <c r="BI38" s="304" t="s">
        <v>714</v>
      </c>
      <c r="BJ38" s="306">
        <v>0</v>
      </c>
      <c r="BK38" s="306">
        <v>0</v>
      </c>
      <c r="BL38" s="306">
        <v>0</v>
      </c>
      <c r="BM38" s="306">
        <v>0</v>
      </c>
      <c r="BN38" s="306">
        <v>0</v>
      </c>
      <c r="BO38" s="306">
        <v>0</v>
      </c>
      <c r="BP38" s="306">
        <v>0</v>
      </c>
      <c r="BQ38" s="306">
        <v>0</v>
      </c>
      <c r="BR38" s="306">
        <v>0</v>
      </c>
      <c r="BS38" s="306">
        <v>0</v>
      </c>
      <c r="BT38" s="306">
        <v>0</v>
      </c>
      <c r="BU38" s="306">
        <v>0</v>
      </c>
      <c r="BV38" s="306">
        <v>0</v>
      </c>
      <c r="BW38" s="306">
        <v>0</v>
      </c>
      <c r="BX38" s="306">
        <v>0</v>
      </c>
      <c r="BY38" s="306">
        <v>0</v>
      </c>
      <c r="BZ38" s="306">
        <v>0</v>
      </c>
      <c r="CA38" s="306">
        <v>0</v>
      </c>
      <c r="CB38" s="306">
        <v>0</v>
      </c>
      <c r="CC38" s="306">
        <v>0</v>
      </c>
      <c r="CD38" s="306">
        <v>0</v>
      </c>
      <c r="CE38" s="306">
        <v>0</v>
      </c>
      <c r="CF38" s="306">
        <v>0</v>
      </c>
      <c r="CG38" s="306">
        <v>0</v>
      </c>
      <c r="CH38" s="306">
        <v>0</v>
      </c>
      <c r="CI38" s="306">
        <v>0</v>
      </c>
      <c r="CJ38" s="306">
        <v>0</v>
      </c>
      <c r="CK38" s="306">
        <v>0</v>
      </c>
      <c r="CL38" s="306">
        <v>0</v>
      </c>
      <c r="CO38" s="304" t="s">
        <v>714</v>
      </c>
      <c r="CP38" s="306">
        <v>0</v>
      </c>
      <c r="CQ38" s="306">
        <v>0</v>
      </c>
      <c r="CR38" s="306">
        <v>0</v>
      </c>
      <c r="CS38" s="306">
        <v>0</v>
      </c>
      <c r="CT38" s="306">
        <v>0</v>
      </c>
      <c r="CU38" s="306">
        <v>0</v>
      </c>
      <c r="CV38" s="306">
        <v>0</v>
      </c>
      <c r="CW38" s="306">
        <v>0</v>
      </c>
      <c r="CX38" s="306">
        <v>0</v>
      </c>
      <c r="CY38" s="306">
        <v>0</v>
      </c>
      <c r="CZ38" s="306">
        <v>0</v>
      </c>
      <c r="DA38" s="306">
        <v>0</v>
      </c>
      <c r="DB38" s="306">
        <v>0</v>
      </c>
      <c r="DC38" s="306">
        <v>0</v>
      </c>
      <c r="DD38" s="306">
        <v>0</v>
      </c>
      <c r="DE38" s="306">
        <v>0</v>
      </c>
      <c r="DF38" s="306">
        <v>0</v>
      </c>
      <c r="DG38" s="306">
        <v>0</v>
      </c>
      <c r="DH38" s="306">
        <v>0</v>
      </c>
      <c r="DI38" s="306">
        <v>0</v>
      </c>
      <c r="DJ38" s="306">
        <v>0</v>
      </c>
      <c r="DK38" s="306">
        <v>0</v>
      </c>
      <c r="DL38" s="306">
        <v>0</v>
      </c>
      <c r="DM38" s="306">
        <v>0</v>
      </c>
      <c r="DN38" s="306">
        <v>0</v>
      </c>
      <c r="DO38" s="306">
        <v>0</v>
      </c>
      <c r="DP38" s="306">
        <v>0</v>
      </c>
      <c r="DQ38" s="306">
        <v>0</v>
      </c>
      <c r="DR38" s="306">
        <v>0</v>
      </c>
    </row>
    <row r="39" spans="1:122">
      <c r="A39" s="304" t="s">
        <v>772</v>
      </c>
      <c r="B39" s="306">
        <v>1</v>
      </c>
      <c r="BI39" s="304" t="s">
        <v>715</v>
      </c>
      <c r="BJ39" s="306">
        <v>0</v>
      </c>
      <c r="BK39" s="306">
        <v>0</v>
      </c>
      <c r="BL39" s="306">
        <v>0</v>
      </c>
      <c r="BM39" s="306">
        <v>0</v>
      </c>
      <c r="BN39" s="306">
        <v>0</v>
      </c>
      <c r="BO39" s="306">
        <v>0</v>
      </c>
      <c r="BP39" s="306">
        <v>0</v>
      </c>
      <c r="BQ39" s="306">
        <v>0</v>
      </c>
      <c r="BR39" s="306">
        <v>0</v>
      </c>
      <c r="BS39" s="306">
        <v>0</v>
      </c>
      <c r="BT39" s="306">
        <v>0</v>
      </c>
      <c r="BU39" s="306">
        <v>0</v>
      </c>
      <c r="BV39" s="306">
        <v>0</v>
      </c>
      <c r="BW39" s="306">
        <v>0</v>
      </c>
      <c r="BX39" s="306">
        <v>0</v>
      </c>
      <c r="BY39" s="306">
        <v>0</v>
      </c>
      <c r="BZ39" s="306">
        <v>0</v>
      </c>
      <c r="CA39" s="306">
        <v>0</v>
      </c>
      <c r="CB39" s="306">
        <v>0</v>
      </c>
      <c r="CC39" s="306">
        <v>0</v>
      </c>
      <c r="CD39" s="306">
        <v>0</v>
      </c>
      <c r="CE39" s="306">
        <v>0</v>
      </c>
      <c r="CF39" s="306">
        <v>0</v>
      </c>
      <c r="CG39" s="306">
        <v>0</v>
      </c>
      <c r="CH39" s="306">
        <v>0</v>
      </c>
      <c r="CI39" s="306">
        <v>0</v>
      </c>
      <c r="CJ39" s="306">
        <v>0</v>
      </c>
      <c r="CK39" s="306">
        <v>0</v>
      </c>
      <c r="CL39" s="306">
        <v>0</v>
      </c>
      <c r="CO39" s="304" t="s">
        <v>715</v>
      </c>
      <c r="CP39" s="306">
        <v>0</v>
      </c>
      <c r="CQ39" s="306">
        <v>0</v>
      </c>
      <c r="CR39" s="306">
        <v>0</v>
      </c>
      <c r="CS39" s="306">
        <v>0</v>
      </c>
      <c r="CT39" s="306">
        <v>0</v>
      </c>
      <c r="CU39" s="306">
        <v>0</v>
      </c>
      <c r="CV39" s="306">
        <v>0</v>
      </c>
      <c r="CW39" s="306">
        <v>0</v>
      </c>
      <c r="CX39" s="306">
        <v>0</v>
      </c>
      <c r="CY39" s="306">
        <v>0</v>
      </c>
      <c r="CZ39" s="306">
        <v>0</v>
      </c>
      <c r="DA39" s="306">
        <v>0</v>
      </c>
      <c r="DB39" s="306">
        <v>0</v>
      </c>
      <c r="DC39" s="306">
        <v>0</v>
      </c>
      <c r="DD39" s="306">
        <v>0</v>
      </c>
      <c r="DE39" s="306">
        <v>0</v>
      </c>
      <c r="DF39" s="306">
        <v>0</v>
      </c>
      <c r="DG39" s="306">
        <v>0</v>
      </c>
      <c r="DH39" s="306">
        <v>0</v>
      </c>
      <c r="DI39" s="306">
        <v>0</v>
      </c>
      <c r="DJ39" s="306">
        <v>0</v>
      </c>
      <c r="DK39" s="306">
        <v>0</v>
      </c>
      <c r="DL39" s="306">
        <v>0</v>
      </c>
      <c r="DM39" s="306">
        <v>0</v>
      </c>
      <c r="DN39" s="306">
        <v>0</v>
      </c>
      <c r="DO39" s="306">
        <v>0</v>
      </c>
      <c r="DP39" s="306">
        <v>0</v>
      </c>
      <c r="DQ39" s="306">
        <v>0</v>
      </c>
      <c r="DR39" s="306">
        <v>0</v>
      </c>
    </row>
    <row r="40" spans="1:122">
      <c r="A40" s="304" t="s">
        <v>664</v>
      </c>
      <c r="B40" s="306">
        <v>1</v>
      </c>
      <c r="BI40" s="304" t="s">
        <v>716</v>
      </c>
      <c r="BJ40" s="306">
        <v>0</v>
      </c>
      <c r="BK40" s="306">
        <v>0</v>
      </c>
      <c r="BL40" s="306">
        <v>0</v>
      </c>
      <c r="BM40" s="306">
        <v>0</v>
      </c>
      <c r="BN40" s="306">
        <v>0</v>
      </c>
      <c r="BO40" s="306">
        <v>0</v>
      </c>
      <c r="BP40" s="306">
        <v>0</v>
      </c>
      <c r="BQ40" s="306">
        <v>0</v>
      </c>
      <c r="BR40" s="306">
        <v>0</v>
      </c>
      <c r="BS40" s="306">
        <v>0</v>
      </c>
      <c r="BT40" s="306">
        <v>0</v>
      </c>
      <c r="BU40" s="306">
        <v>0</v>
      </c>
      <c r="BV40" s="306">
        <v>0</v>
      </c>
      <c r="BW40" s="306">
        <v>0</v>
      </c>
      <c r="BX40" s="306">
        <v>0</v>
      </c>
      <c r="BY40" s="306">
        <v>0</v>
      </c>
      <c r="BZ40" s="306">
        <v>0</v>
      </c>
      <c r="CA40" s="306">
        <v>0</v>
      </c>
      <c r="CB40" s="306">
        <v>0</v>
      </c>
      <c r="CC40" s="306">
        <v>0</v>
      </c>
      <c r="CD40" s="306">
        <v>0</v>
      </c>
      <c r="CE40" s="306">
        <v>0</v>
      </c>
      <c r="CF40" s="306">
        <v>0</v>
      </c>
      <c r="CG40" s="306">
        <v>0</v>
      </c>
      <c r="CH40" s="306">
        <v>0</v>
      </c>
      <c r="CI40" s="306">
        <v>0</v>
      </c>
      <c r="CJ40" s="306">
        <v>0</v>
      </c>
      <c r="CK40" s="306">
        <v>0</v>
      </c>
      <c r="CL40" s="306">
        <v>0</v>
      </c>
      <c r="CO40" s="304" t="s">
        <v>716</v>
      </c>
      <c r="CP40" s="306">
        <v>0</v>
      </c>
      <c r="CQ40" s="306">
        <v>0</v>
      </c>
      <c r="CR40" s="306">
        <v>0</v>
      </c>
      <c r="CS40" s="306">
        <v>0</v>
      </c>
      <c r="CT40" s="306">
        <v>0</v>
      </c>
      <c r="CU40" s="306">
        <v>0</v>
      </c>
      <c r="CV40" s="306">
        <v>0</v>
      </c>
      <c r="CW40" s="306">
        <v>0</v>
      </c>
      <c r="CX40" s="306">
        <v>0</v>
      </c>
      <c r="CY40" s="306">
        <v>0</v>
      </c>
      <c r="CZ40" s="306">
        <v>0</v>
      </c>
      <c r="DA40" s="306">
        <v>0</v>
      </c>
      <c r="DB40" s="306">
        <v>0</v>
      </c>
      <c r="DC40" s="306">
        <v>0</v>
      </c>
      <c r="DD40" s="306">
        <v>0</v>
      </c>
      <c r="DE40" s="306">
        <v>0</v>
      </c>
      <c r="DF40" s="306">
        <v>0</v>
      </c>
      <c r="DG40" s="306">
        <v>0</v>
      </c>
      <c r="DH40" s="306">
        <v>0</v>
      </c>
      <c r="DI40" s="306">
        <v>0</v>
      </c>
      <c r="DJ40" s="306">
        <v>0</v>
      </c>
      <c r="DK40" s="306">
        <v>0</v>
      </c>
      <c r="DL40" s="306">
        <v>0</v>
      </c>
      <c r="DM40" s="306">
        <v>0</v>
      </c>
      <c r="DN40" s="306">
        <v>0</v>
      </c>
      <c r="DO40" s="306">
        <v>0</v>
      </c>
      <c r="DP40" s="306">
        <v>0</v>
      </c>
      <c r="DQ40" s="306">
        <v>0</v>
      </c>
      <c r="DR40" s="306">
        <v>0</v>
      </c>
    </row>
    <row r="41" spans="1:122">
      <c r="A41" s="304" t="s">
        <v>665</v>
      </c>
      <c r="B41" s="306">
        <v>1</v>
      </c>
      <c r="BI41" s="304" t="s">
        <v>717</v>
      </c>
      <c r="BJ41" s="306">
        <v>0</v>
      </c>
      <c r="BK41" s="306">
        <v>0</v>
      </c>
      <c r="BL41" s="306">
        <v>0</v>
      </c>
      <c r="BM41" s="306">
        <v>0</v>
      </c>
      <c r="BN41" s="306">
        <v>0</v>
      </c>
      <c r="BO41" s="306">
        <v>0</v>
      </c>
      <c r="BP41" s="306">
        <v>0</v>
      </c>
      <c r="BQ41" s="306">
        <v>0</v>
      </c>
      <c r="BR41" s="306">
        <v>0</v>
      </c>
      <c r="BS41" s="306">
        <v>0</v>
      </c>
      <c r="BT41" s="306">
        <v>0</v>
      </c>
      <c r="BU41" s="306">
        <v>0</v>
      </c>
      <c r="BV41" s="306">
        <v>0</v>
      </c>
      <c r="BW41" s="306">
        <v>0</v>
      </c>
      <c r="BX41" s="306">
        <v>0</v>
      </c>
      <c r="BY41" s="306">
        <v>0</v>
      </c>
      <c r="BZ41" s="306">
        <v>0</v>
      </c>
      <c r="CA41" s="306">
        <v>0</v>
      </c>
      <c r="CB41" s="306">
        <v>0</v>
      </c>
      <c r="CC41" s="306">
        <v>0</v>
      </c>
      <c r="CD41" s="306">
        <v>0</v>
      </c>
      <c r="CE41" s="306">
        <v>0</v>
      </c>
      <c r="CF41" s="306">
        <v>0</v>
      </c>
      <c r="CG41" s="306">
        <v>0</v>
      </c>
      <c r="CH41" s="306">
        <v>0</v>
      </c>
      <c r="CI41" s="306">
        <v>0</v>
      </c>
      <c r="CJ41" s="306">
        <v>0</v>
      </c>
      <c r="CK41" s="306">
        <v>0</v>
      </c>
      <c r="CL41" s="306">
        <v>0</v>
      </c>
      <c r="CO41" s="304" t="s">
        <v>717</v>
      </c>
      <c r="CP41" s="306">
        <v>0</v>
      </c>
      <c r="CQ41" s="306">
        <v>0</v>
      </c>
      <c r="CR41" s="306">
        <v>0</v>
      </c>
      <c r="CS41" s="306">
        <v>0</v>
      </c>
      <c r="CT41" s="306">
        <v>0</v>
      </c>
      <c r="CU41" s="306">
        <v>0</v>
      </c>
      <c r="CV41" s="306">
        <v>0</v>
      </c>
      <c r="CW41" s="306">
        <v>0</v>
      </c>
      <c r="CX41" s="306">
        <v>0</v>
      </c>
      <c r="CY41" s="306">
        <v>0</v>
      </c>
      <c r="CZ41" s="306">
        <v>0</v>
      </c>
      <c r="DA41" s="306">
        <v>0</v>
      </c>
      <c r="DB41" s="306">
        <v>0</v>
      </c>
      <c r="DC41" s="306">
        <v>0</v>
      </c>
      <c r="DD41" s="306">
        <v>0</v>
      </c>
      <c r="DE41" s="306">
        <v>0</v>
      </c>
      <c r="DF41" s="306">
        <v>0</v>
      </c>
      <c r="DG41" s="306">
        <v>0</v>
      </c>
      <c r="DH41" s="306">
        <v>0</v>
      </c>
      <c r="DI41" s="306">
        <v>0</v>
      </c>
      <c r="DJ41" s="306">
        <v>0</v>
      </c>
      <c r="DK41" s="306">
        <v>0</v>
      </c>
      <c r="DL41" s="306">
        <v>0</v>
      </c>
      <c r="DM41" s="306">
        <v>0</v>
      </c>
      <c r="DN41" s="306">
        <v>0</v>
      </c>
      <c r="DO41" s="306">
        <v>0</v>
      </c>
      <c r="DP41" s="306">
        <v>0</v>
      </c>
      <c r="DQ41" s="306">
        <v>0</v>
      </c>
      <c r="DR41" s="306">
        <v>0</v>
      </c>
    </row>
    <row r="42" spans="1:122">
      <c r="A42" s="304" t="s">
        <v>666</v>
      </c>
      <c r="B42" s="306">
        <v>1</v>
      </c>
      <c r="BI42" s="304" t="s">
        <v>718</v>
      </c>
      <c r="BJ42" s="306">
        <v>0</v>
      </c>
      <c r="BK42" s="306">
        <v>0</v>
      </c>
      <c r="BL42" s="306">
        <v>0</v>
      </c>
      <c r="BM42" s="306">
        <v>0</v>
      </c>
      <c r="BN42" s="306">
        <v>0</v>
      </c>
      <c r="BO42" s="306">
        <v>0</v>
      </c>
      <c r="BP42" s="306">
        <v>0</v>
      </c>
      <c r="BQ42" s="306">
        <v>0</v>
      </c>
      <c r="BR42" s="306">
        <v>0</v>
      </c>
      <c r="BS42" s="306">
        <v>0</v>
      </c>
      <c r="BT42" s="306">
        <v>0</v>
      </c>
      <c r="BU42" s="306">
        <v>0</v>
      </c>
      <c r="BV42" s="306">
        <v>0</v>
      </c>
      <c r="BW42" s="306">
        <v>0</v>
      </c>
      <c r="BX42" s="306">
        <v>0</v>
      </c>
      <c r="BY42" s="306">
        <v>0</v>
      </c>
      <c r="BZ42" s="306">
        <v>0</v>
      </c>
      <c r="CA42" s="306">
        <v>0</v>
      </c>
      <c r="CB42" s="306">
        <v>0</v>
      </c>
      <c r="CC42" s="306">
        <v>0</v>
      </c>
      <c r="CD42" s="306">
        <v>0</v>
      </c>
      <c r="CE42" s="306">
        <v>0</v>
      </c>
      <c r="CF42" s="306">
        <v>0</v>
      </c>
      <c r="CG42" s="306">
        <v>0</v>
      </c>
      <c r="CH42" s="306">
        <v>0</v>
      </c>
      <c r="CI42" s="306">
        <v>0</v>
      </c>
      <c r="CJ42" s="306">
        <v>0</v>
      </c>
      <c r="CK42" s="306">
        <v>0</v>
      </c>
      <c r="CL42" s="306">
        <v>0</v>
      </c>
      <c r="CO42" s="304" t="s">
        <v>718</v>
      </c>
      <c r="CP42" s="306">
        <v>0</v>
      </c>
      <c r="CQ42" s="306">
        <v>0</v>
      </c>
      <c r="CR42" s="306">
        <v>0</v>
      </c>
      <c r="CS42" s="306">
        <v>0</v>
      </c>
      <c r="CT42" s="306">
        <v>0</v>
      </c>
      <c r="CU42" s="306">
        <v>0</v>
      </c>
      <c r="CV42" s="306">
        <v>0</v>
      </c>
      <c r="CW42" s="306">
        <v>0</v>
      </c>
      <c r="CX42" s="306">
        <v>0</v>
      </c>
      <c r="CY42" s="306">
        <v>0</v>
      </c>
      <c r="CZ42" s="306">
        <v>0</v>
      </c>
      <c r="DA42" s="306">
        <v>0</v>
      </c>
      <c r="DB42" s="306">
        <v>0</v>
      </c>
      <c r="DC42" s="306">
        <v>0</v>
      </c>
      <c r="DD42" s="306">
        <v>0</v>
      </c>
      <c r="DE42" s="306">
        <v>0</v>
      </c>
      <c r="DF42" s="306">
        <v>0</v>
      </c>
      <c r="DG42" s="306">
        <v>0</v>
      </c>
      <c r="DH42" s="306">
        <v>0</v>
      </c>
      <c r="DI42" s="306">
        <v>0</v>
      </c>
      <c r="DJ42" s="306">
        <v>0</v>
      </c>
      <c r="DK42" s="306">
        <v>0</v>
      </c>
      <c r="DL42" s="306">
        <v>0</v>
      </c>
      <c r="DM42" s="306">
        <v>0</v>
      </c>
      <c r="DN42" s="306">
        <v>0</v>
      </c>
      <c r="DO42" s="306">
        <v>0</v>
      </c>
      <c r="DP42" s="306">
        <v>0</v>
      </c>
      <c r="DQ42" s="306">
        <v>0</v>
      </c>
      <c r="DR42" s="306">
        <v>0</v>
      </c>
    </row>
    <row r="43" spans="1:122">
      <c r="A43" s="304" t="s">
        <v>667</v>
      </c>
      <c r="B43" s="306">
        <v>1</v>
      </c>
      <c r="BI43" s="304" t="s">
        <v>719</v>
      </c>
      <c r="BJ43" s="306">
        <v>0</v>
      </c>
      <c r="BK43" s="306">
        <v>0</v>
      </c>
      <c r="BL43" s="306">
        <v>0</v>
      </c>
      <c r="BM43" s="306">
        <v>0</v>
      </c>
      <c r="BN43" s="306">
        <v>58054.575227689304</v>
      </c>
      <c r="BO43" s="306">
        <v>0</v>
      </c>
      <c r="BP43" s="306">
        <v>0</v>
      </c>
      <c r="BQ43" s="306">
        <v>0</v>
      </c>
      <c r="BR43" s="306">
        <v>0</v>
      </c>
      <c r="BS43" s="306">
        <v>0</v>
      </c>
      <c r="BT43" s="306">
        <v>0</v>
      </c>
      <c r="BU43" s="306">
        <v>0</v>
      </c>
      <c r="BV43" s="306">
        <v>0</v>
      </c>
      <c r="BW43" s="306">
        <v>0</v>
      </c>
      <c r="BX43" s="306">
        <v>0</v>
      </c>
      <c r="BY43" s="306">
        <v>0</v>
      </c>
      <c r="BZ43" s="306">
        <v>0</v>
      </c>
      <c r="CA43" s="306">
        <v>0</v>
      </c>
      <c r="CB43" s="306">
        <v>0</v>
      </c>
      <c r="CC43" s="306">
        <v>0</v>
      </c>
      <c r="CD43" s="306">
        <v>0</v>
      </c>
      <c r="CE43" s="306">
        <v>0</v>
      </c>
      <c r="CF43" s="306">
        <v>0</v>
      </c>
      <c r="CG43" s="306">
        <v>0</v>
      </c>
      <c r="CH43" s="306">
        <v>0</v>
      </c>
      <c r="CI43" s="306">
        <v>0</v>
      </c>
      <c r="CJ43" s="306">
        <v>0</v>
      </c>
      <c r="CK43" s="306">
        <v>0</v>
      </c>
      <c r="CL43" s="306">
        <v>0</v>
      </c>
      <c r="CO43" s="304" t="s">
        <v>719</v>
      </c>
      <c r="CP43" s="306">
        <v>0</v>
      </c>
      <c r="CQ43" s="306">
        <v>0</v>
      </c>
      <c r="CR43" s="306">
        <v>0</v>
      </c>
      <c r="CS43" s="306">
        <v>0</v>
      </c>
      <c r="CT43" s="306">
        <v>0.72465121788954501</v>
      </c>
      <c r="CU43" s="306">
        <v>0</v>
      </c>
      <c r="CV43" s="306">
        <v>0</v>
      </c>
      <c r="CW43" s="306">
        <v>0</v>
      </c>
      <c r="CX43" s="306">
        <v>0</v>
      </c>
      <c r="CY43" s="306">
        <v>0</v>
      </c>
      <c r="CZ43" s="306">
        <v>0</v>
      </c>
      <c r="DA43" s="306">
        <v>0</v>
      </c>
      <c r="DB43" s="306">
        <v>0</v>
      </c>
      <c r="DC43" s="306">
        <v>0</v>
      </c>
      <c r="DD43" s="306">
        <v>0</v>
      </c>
      <c r="DE43" s="306">
        <v>0</v>
      </c>
      <c r="DF43" s="306">
        <v>0</v>
      </c>
      <c r="DG43" s="306">
        <v>0</v>
      </c>
      <c r="DH43" s="306">
        <v>0</v>
      </c>
      <c r="DI43" s="306">
        <v>0</v>
      </c>
      <c r="DJ43" s="306">
        <v>0</v>
      </c>
      <c r="DK43" s="306">
        <v>0</v>
      </c>
      <c r="DL43" s="306">
        <v>0</v>
      </c>
      <c r="DM43" s="306">
        <v>0</v>
      </c>
      <c r="DN43" s="306">
        <v>0</v>
      </c>
      <c r="DO43" s="306">
        <v>0</v>
      </c>
      <c r="DP43" s="306">
        <v>0</v>
      </c>
      <c r="DQ43" s="306">
        <v>0</v>
      </c>
      <c r="DR43" s="306">
        <v>0</v>
      </c>
    </row>
    <row r="44" spans="1:122">
      <c r="A44" s="304" t="s">
        <v>668</v>
      </c>
      <c r="B44" s="306">
        <v>1</v>
      </c>
      <c r="BI44" s="304" t="s">
        <v>720</v>
      </c>
      <c r="BJ44" s="306">
        <v>0</v>
      </c>
      <c r="BK44" s="306">
        <v>0</v>
      </c>
      <c r="BL44" s="306">
        <v>0</v>
      </c>
      <c r="BM44" s="306">
        <v>0</v>
      </c>
      <c r="BN44" s="306">
        <v>0</v>
      </c>
      <c r="BO44" s="306">
        <v>0</v>
      </c>
      <c r="BP44" s="306">
        <v>0</v>
      </c>
      <c r="BQ44" s="306">
        <v>0</v>
      </c>
      <c r="BR44" s="306">
        <v>0</v>
      </c>
      <c r="BS44" s="306">
        <v>0</v>
      </c>
      <c r="BT44" s="306">
        <v>0</v>
      </c>
      <c r="BU44" s="306">
        <v>0</v>
      </c>
      <c r="BV44" s="306">
        <v>0</v>
      </c>
      <c r="BW44" s="306">
        <v>0</v>
      </c>
      <c r="BX44" s="306">
        <v>0</v>
      </c>
      <c r="BY44" s="306">
        <v>0</v>
      </c>
      <c r="BZ44" s="306">
        <v>0</v>
      </c>
      <c r="CA44" s="306">
        <v>0</v>
      </c>
      <c r="CB44" s="306">
        <v>0</v>
      </c>
      <c r="CC44" s="306">
        <v>0</v>
      </c>
      <c r="CD44" s="306">
        <v>0</v>
      </c>
      <c r="CE44" s="306">
        <v>0</v>
      </c>
      <c r="CF44" s="306">
        <v>0</v>
      </c>
      <c r="CG44" s="306">
        <v>0</v>
      </c>
      <c r="CH44" s="306">
        <v>0</v>
      </c>
      <c r="CI44" s="306">
        <v>0</v>
      </c>
      <c r="CJ44" s="306">
        <v>0</v>
      </c>
      <c r="CK44" s="306">
        <v>0</v>
      </c>
      <c r="CL44" s="306">
        <v>0</v>
      </c>
      <c r="CO44" s="304" t="s">
        <v>720</v>
      </c>
      <c r="CP44" s="306">
        <v>0</v>
      </c>
      <c r="CQ44" s="306">
        <v>0</v>
      </c>
      <c r="CR44" s="306">
        <v>0</v>
      </c>
      <c r="CS44" s="306">
        <v>0</v>
      </c>
      <c r="CT44" s="306">
        <v>0</v>
      </c>
      <c r="CU44" s="306">
        <v>0</v>
      </c>
      <c r="CV44" s="306">
        <v>0</v>
      </c>
      <c r="CW44" s="306">
        <v>0</v>
      </c>
      <c r="CX44" s="306">
        <v>0</v>
      </c>
      <c r="CY44" s="306">
        <v>0</v>
      </c>
      <c r="CZ44" s="306">
        <v>0</v>
      </c>
      <c r="DA44" s="306">
        <v>0</v>
      </c>
      <c r="DB44" s="306">
        <v>0</v>
      </c>
      <c r="DC44" s="306">
        <v>0</v>
      </c>
      <c r="DD44" s="306">
        <v>0</v>
      </c>
      <c r="DE44" s="306">
        <v>0</v>
      </c>
      <c r="DF44" s="306">
        <v>0</v>
      </c>
      <c r="DG44" s="306">
        <v>0</v>
      </c>
      <c r="DH44" s="306">
        <v>0</v>
      </c>
      <c r="DI44" s="306">
        <v>0</v>
      </c>
      <c r="DJ44" s="306">
        <v>0</v>
      </c>
      <c r="DK44" s="306">
        <v>0</v>
      </c>
      <c r="DL44" s="306">
        <v>0</v>
      </c>
      <c r="DM44" s="306">
        <v>0</v>
      </c>
      <c r="DN44" s="306">
        <v>0</v>
      </c>
      <c r="DO44" s="306">
        <v>0</v>
      </c>
      <c r="DP44" s="306">
        <v>0</v>
      </c>
      <c r="DQ44" s="306">
        <v>0</v>
      </c>
      <c r="DR44" s="306">
        <v>0</v>
      </c>
    </row>
    <row r="45" spans="1:122">
      <c r="A45" s="304" t="s">
        <v>773</v>
      </c>
      <c r="B45" s="306">
        <v>1</v>
      </c>
      <c r="BI45" s="304" t="s">
        <v>721</v>
      </c>
      <c r="BJ45" s="306">
        <v>0</v>
      </c>
      <c r="BK45" s="306">
        <v>0</v>
      </c>
      <c r="BL45" s="306">
        <v>0</v>
      </c>
      <c r="BM45" s="306">
        <v>0</v>
      </c>
      <c r="BN45" s="306">
        <v>0</v>
      </c>
      <c r="BO45" s="306">
        <v>0</v>
      </c>
      <c r="BP45" s="306">
        <v>0</v>
      </c>
      <c r="BQ45" s="306">
        <v>0</v>
      </c>
      <c r="BR45" s="306">
        <v>0</v>
      </c>
      <c r="BS45" s="306">
        <v>0</v>
      </c>
      <c r="BT45" s="306">
        <v>0</v>
      </c>
      <c r="BU45" s="306">
        <v>0</v>
      </c>
      <c r="BV45" s="306">
        <v>0</v>
      </c>
      <c r="BW45" s="306">
        <v>0</v>
      </c>
      <c r="BX45" s="306">
        <v>0</v>
      </c>
      <c r="BY45" s="306">
        <v>0</v>
      </c>
      <c r="BZ45" s="306">
        <v>0</v>
      </c>
      <c r="CA45" s="306">
        <v>0</v>
      </c>
      <c r="CB45" s="306">
        <v>0</v>
      </c>
      <c r="CC45" s="306">
        <v>0</v>
      </c>
      <c r="CD45" s="306">
        <v>0</v>
      </c>
      <c r="CE45" s="306">
        <v>0</v>
      </c>
      <c r="CF45" s="306">
        <v>0</v>
      </c>
      <c r="CG45" s="306">
        <v>0</v>
      </c>
      <c r="CH45" s="306">
        <v>0</v>
      </c>
      <c r="CI45" s="306">
        <v>0</v>
      </c>
      <c r="CJ45" s="306">
        <v>0</v>
      </c>
      <c r="CK45" s="306">
        <v>0</v>
      </c>
      <c r="CL45" s="306">
        <v>0</v>
      </c>
      <c r="CO45" s="304" t="s">
        <v>721</v>
      </c>
      <c r="CP45" s="306">
        <v>0</v>
      </c>
      <c r="CQ45" s="306">
        <v>0</v>
      </c>
      <c r="CR45" s="306">
        <v>0</v>
      </c>
      <c r="CS45" s="306">
        <v>0</v>
      </c>
      <c r="CT45" s="306">
        <v>0</v>
      </c>
      <c r="CU45" s="306">
        <v>0</v>
      </c>
      <c r="CV45" s="306">
        <v>0</v>
      </c>
      <c r="CW45" s="306">
        <v>0</v>
      </c>
      <c r="CX45" s="306">
        <v>0</v>
      </c>
      <c r="CY45" s="306">
        <v>0</v>
      </c>
      <c r="CZ45" s="306">
        <v>0</v>
      </c>
      <c r="DA45" s="306">
        <v>0</v>
      </c>
      <c r="DB45" s="306">
        <v>0</v>
      </c>
      <c r="DC45" s="306">
        <v>0</v>
      </c>
      <c r="DD45" s="306">
        <v>0</v>
      </c>
      <c r="DE45" s="306">
        <v>0</v>
      </c>
      <c r="DF45" s="306">
        <v>0</v>
      </c>
      <c r="DG45" s="306">
        <v>0</v>
      </c>
      <c r="DH45" s="306">
        <v>0</v>
      </c>
      <c r="DI45" s="306">
        <v>0</v>
      </c>
      <c r="DJ45" s="306">
        <v>0</v>
      </c>
      <c r="DK45" s="306">
        <v>0</v>
      </c>
      <c r="DL45" s="306">
        <v>0</v>
      </c>
      <c r="DM45" s="306">
        <v>0</v>
      </c>
      <c r="DN45" s="306">
        <v>0</v>
      </c>
      <c r="DO45" s="306">
        <v>0</v>
      </c>
      <c r="DP45" s="306">
        <v>0</v>
      </c>
      <c r="DQ45" s="306">
        <v>0</v>
      </c>
      <c r="DR45" s="306">
        <v>0</v>
      </c>
    </row>
    <row r="46" spans="1:122">
      <c r="A46" s="304" t="s">
        <v>774</v>
      </c>
      <c r="B46" s="306">
        <v>1</v>
      </c>
      <c r="BI46" s="304" t="s">
        <v>672</v>
      </c>
      <c r="BJ46" s="306">
        <v>0</v>
      </c>
      <c r="BK46" s="306">
        <v>0</v>
      </c>
      <c r="BL46" s="306">
        <v>0</v>
      </c>
      <c r="BM46" s="306">
        <v>0</v>
      </c>
      <c r="BN46" s="306">
        <v>0</v>
      </c>
      <c r="BO46" s="306">
        <v>0</v>
      </c>
      <c r="BP46" s="306">
        <v>0</v>
      </c>
      <c r="BQ46" s="306">
        <v>0</v>
      </c>
      <c r="BR46" s="306">
        <v>0</v>
      </c>
      <c r="BS46" s="306">
        <v>0</v>
      </c>
      <c r="BT46" s="306">
        <v>0</v>
      </c>
      <c r="BU46" s="306">
        <v>0</v>
      </c>
      <c r="BV46" s="306">
        <v>0</v>
      </c>
      <c r="BW46" s="306">
        <v>0</v>
      </c>
      <c r="BX46" s="306">
        <v>0</v>
      </c>
      <c r="BY46" s="306">
        <v>0</v>
      </c>
      <c r="BZ46" s="306">
        <v>0</v>
      </c>
      <c r="CA46" s="306">
        <v>0</v>
      </c>
      <c r="CB46" s="306">
        <v>0</v>
      </c>
      <c r="CC46" s="306">
        <v>0</v>
      </c>
      <c r="CD46" s="306">
        <v>0</v>
      </c>
      <c r="CE46" s="306">
        <v>0</v>
      </c>
      <c r="CF46" s="306">
        <v>0</v>
      </c>
      <c r="CG46" s="306">
        <v>0</v>
      </c>
      <c r="CH46" s="306">
        <v>0</v>
      </c>
      <c r="CI46" s="306">
        <v>0</v>
      </c>
      <c r="CJ46" s="306">
        <v>0</v>
      </c>
      <c r="CK46" s="306">
        <v>0</v>
      </c>
      <c r="CL46" s="306">
        <v>0</v>
      </c>
      <c r="CO46" s="304" t="s">
        <v>672</v>
      </c>
      <c r="CP46" s="306">
        <v>0</v>
      </c>
      <c r="CQ46" s="306">
        <v>0</v>
      </c>
      <c r="CR46" s="306">
        <v>0</v>
      </c>
      <c r="CS46" s="306">
        <v>0</v>
      </c>
      <c r="CT46" s="306">
        <v>0</v>
      </c>
      <c r="CU46" s="306">
        <v>0</v>
      </c>
      <c r="CV46" s="306">
        <v>0</v>
      </c>
      <c r="CW46" s="306">
        <v>0</v>
      </c>
      <c r="CX46" s="306">
        <v>0</v>
      </c>
      <c r="CY46" s="306">
        <v>0</v>
      </c>
      <c r="CZ46" s="306">
        <v>0</v>
      </c>
      <c r="DA46" s="306">
        <v>0</v>
      </c>
      <c r="DB46" s="306">
        <v>0</v>
      </c>
      <c r="DC46" s="306">
        <v>0</v>
      </c>
      <c r="DD46" s="306">
        <v>0</v>
      </c>
      <c r="DE46" s="306">
        <v>0</v>
      </c>
      <c r="DF46" s="306">
        <v>0</v>
      </c>
      <c r="DG46" s="306">
        <v>0</v>
      </c>
      <c r="DH46" s="306">
        <v>0</v>
      </c>
      <c r="DI46" s="306">
        <v>0</v>
      </c>
      <c r="DJ46" s="306">
        <v>0</v>
      </c>
      <c r="DK46" s="306">
        <v>0</v>
      </c>
      <c r="DL46" s="306">
        <v>0</v>
      </c>
      <c r="DM46" s="306">
        <v>0</v>
      </c>
      <c r="DN46" s="306">
        <v>0</v>
      </c>
      <c r="DO46" s="306">
        <v>0</v>
      </c>
      <c r="DP46" s="306">
        <v>0</v>
      </c>
      <c r="DQ46" s="306">
        <v>0</v>
      </c>
      <c r="DR46" s="306">
        <v>0</v>
      </c>
    </row>
    <row r="47" spans="1:122">
      <c r="A47" s="304" t="s">
        <v>669</v>
      </c>
      <c r="B47" s="306">
        <v>1</v>
      </c>
      <c r="BI47" s="304" t="s">
        <v>673</v>
      </c>
      <c r="BJ47" s="306">
        <v>0</v>
      </c>
      <c r="BK47" s="306">
        <v>0</v>
      </c>
      <c r="BL47" s="306">
        <v>0</v>
      </c>
      <c r="BM47" s="306">
        <v>0</v>
      </c>
      <c r="BN47" s="306">
        <v>0</v>
      </c>
      <c r="BO47" s="306">
        <v>0</v>
      </c>
      <c r="BP47" s="306">
        <v>0</v>
      </c>
      <c r="BQ47" s="306">
        <v>0</v>
      </c>
      <c r="BR47" s="306">
        <v>0</v>
      </c>
      <c r="BS47" s="306">
        <v>0</v>
      </c>
      <c r="BT47" s="306">
        <v>0</v>
      </c>
      <c r="BU47" s="306">
        <v>0</v>
      </c>
      <c r="BV47" s="306">
        <v>0</v>
      </c>
      <c r="BW47" s="306">
        <v>0</v>
      </c>
      <c r="BX47" s="306">
        <v>0</v>
      </c>
      <c r="BY47" s="306">
        <v>0</v>
      </c>
      <c r="BZ47" s="306">
        <v>0</v>
      </c>
      <c r="CA47" s="306">
        <v>0</v>
      </c>
      <c r="CB47" s="306">
        <v>0</v>
      </c>
      <c r="CC47" s="306">
        <v>0</v>
      </c>
      <c r="CD47" s="306">
        <v>0</v>
      </c>
      <c r="CE47" s="306">
        <v>0</v>
      </c>
      <c r="CF47" s="306">
        <v>0</v>
      </c>
      <c r="CG47" s="306">
        <v>0</v>
      </c>
      <c r="CH47" s="306">
        <v>0</v>
      </c>
      <c r="CI47" s="306">
        <v>0</v>
      </c>
      <c r="CJ47" s="306">
        <v>0</v>
      </c>
      <c r="CK47" s="306">
        <v>0</v>
      </c>
      <c r="CL47" s="306">
        <v>0</v>
      </c>
      <c r="CO47" s="304" t="s">
        <v>673</v>
      </c>
      <c r="CP47" s="306">
        <v>0</v>
      </c>
      <c r="CQ47" s="306">
        <v>0</v>
      </c>
      <c r="CR47" s="306">
        <v>0</v>
      </c>
      <c r="CS47" s="306">
        <v>0</v>
      </c>
      <c r="CT47" s="306">
        <v>0</v>
      </c>
      <c r="CU47" s="306">
        <v>0</v>
      </c>
      <c r="CV47" s="306">
        <v>0</v>
      </c>
      <c r="CW47" s="306">
        <v>0</v>
      </c>
      <c r="CX47" s="306">
        <v>0</v>
      </c>
      <c r="CY47" s="306">
        <v>0</v>
      </c>
      <c r="CZ47" s="306">
        <v>0</v>
      </c>
      <c r="DA47" s="306">
        <v>0</v>
      </c>
      <c r="DB47" s="306">
        <v>0</v>
      </c>
      <c r="DC47" s="306">
        <v>0</v>
      </c>
      <c r="DD47" s="306">
        <v>0</v>
      </c>
      <c r="DE47" s="306">
        <v>0</v>
      </c>
      <c r="DF47" s="306">
        <v>0</v>
      </c>
      <c r="DG47" s="306">
        <v>0</v>
      </c>
      <c r="DH47" s="306">
        <v>0</v>
      </c>
      <c r="DI47" s="306">
        <v>0</v>
      </c>
      <c r="DJ47" s="306">
        <v>0</v>
      </c>
      <c r="DK47" s="306">
        <v>0</v>
      </c>
      <c r="DL47" s="306">
        <v>0</v>
      </c>
      <c r="DM47" s="306">
        <v>0</v>
      </c>
      <c r="DN47" s="306">
        <v>0</v>
      </c>
      <c r="DO47" s="306">
        <v>0</v>
      </c>
      <c r="DP47" s="306">
        <v>0</v>
      </c>
      <c r="DQ47" s="306">
        <v>0</v>
      </c>
      <c r="DR47" s="306">
        <v>0</v>
      </c>
    </row>
    <row r="48" spans="1:122">
      <c r="A48" s="304" t="s">
        <v>670</v>
      </c>
      <c r="B48" s="306">
        <v>2</v>
      </c>
      <c r="BI48" s="304" t="s">
        <v>722</v>
      </c>
      <c r="BJ48" s="306">
        <v>0</v>
      </c>
      <c r="BK48" s="306">
        <v>0</v>
      </c>
      <c r="BL48" s="306">
        <v>0</v>
      </c>
      <c r="BM48" s="306">
        <v>0</v>
      </c>
      <c r="BN48" s="306">
        <v>0</v>
      </c>
      <c r="BO48" s="306">
        <v>0</v>
      </c>
      <c r="BP48" s="306">
        <v>0</v>
      </c>
      <c r="BQ48" s="306">
        <v>0</v>
      </c>
      <c r="BR48" s="306">
        <v>0</v>
      </c>
      <c r="BS48" s="306">
        <v>0</v>
      </c>
      <c r="BT48" s="306">
        <v>0</v>
      </c>
      <c r="BU48" s="306">
        <v>0</v>
      </c>
      <c r="BV48" s="306">
        <v>0</v>
      </c>
      <c r="BW48" s="306">
        <v>0</v>
      </c>
      <c r="BX48" s="306">
        <v>0</v>
      </c>
      <c r="BY48" s="306">
        <v>0</v>
      </c>
      <c r="BZ48" s="306">
        <v>0</v>
      </c>
      <c r="CA48" s="306">
        <v>0</v>
      </c>
      <c r="CB48" s="306">
        <v>0</v>
      </c>
      <c r="CC48" s="306">
        <v>0</v>
      </c>
      <c r="CD48" s="306">
        <v>0</v>
      </c>
      <c r="CE48" s="306">
        <v>0</v>
      </c>
      <c r="CF48" s="306">
        <v>0</v>
      </c>
      <c r="CG48" s="306">
        <v>0</v>
      </c>
      <c r="CH48" s="306">
        <v>0</v>
      </c>
      <c r="CI48" s="306">
        <v>0</v>
      </c>
      <c r="CJ48" s="306">
        <v>0</v>
      </c>
      <c r="CK48" s="306">
        <v>0</v>
      </c>
      <c r="CL48" s="306">
        <v>0</v>
      </c>
      <c r="CO48" s="304" t="s">
        <v>722</v>
      </c>
      <c r="CP48" s="306">
        <v>0</v>
      </c>
      <c r="CQ48" s="306">
        <v>0</v>
      </c>
      <c r="CR48" s="306">
        <v>0</v>
      </c>
      <c r="CS48" s="306">
        <v>0</v>
      </c>
      <c r="CT48" s="306">
        <v>0</v>
      </c>
      <c r="CU48" s="306">
        <v>0</v>
      </c>
      <c r="CV48" s="306">
        <v>0</v>
      </c>
      <c r="CW48" s="306">
        <v>0</v>
      </c>
      <c r="CX48" s="306">
        <v>0</v>
      </c>
      <c r="CY48" s="306">
        <v>0</v>
      </c>
      <c r="CZ48" s="306">
        <v>0</v>
      </c>
      <c r="DA48" s="306">
        <v>0</v>
      </c>
      <c r="DB48" s="306">
        <v>0</v>
      </c>
      <c r="DC48" s="306">
        <v>0</v>
      </c>
      <c r="DD48" s="306">
        <v>0</v>
      </c>
      <c r="DE48" s="306">
        <v>0</v>
      </c>
      <c r="DF48" s="306">
        <v>0</v>
      </c>
      <c r="DG48" s="306">
        <v>0</v>
      </c>
      <c r="DH48" s="306">
        <v>0</v>
      </c>
      <c r="DI48" s="306">
        <v>0</v>
      </c>
      <c r="DJ48" s="306">
        <v>0</v>
      </c>
      <c r="DK48" s="306">
        <v>0</v>
      </c>
      <c r="DL48" s="306">
        <v>0</v>
      </c>
      <c r="DM48" s="306">
        <v>0</v>
      </c>
      <c r="DN48" s="306">
        <v>0</v>
      </c>
      <c r="DO48" s="306">
        <v>0</v>
      </c>
      <c r="DP48" s="306">
        <v>0</v>
      </c>
      <c r="DQ48" s="306">
        <v>0</v>
      </c>
      <c r="DR48" s="306">
        <v>0</v>
      </c>
    </row>
    <row r="49" spans="1:122">
      <c r="A49" s="304" t="s">
        <v>671</v>
      </c>
      <c r="B49" s="306">
        <v>2</v>
      </c>
      <c r="BI49" s="304" t="s">
        <v>723</v>
      </c>
      <c r="BJ49" s="306">
        <v>0</v>
      </c>
      <c r="BK49" s="306">
        <v>0</v>
      </c>
      <c r="BL49" s="306">
        <v>0</v>
      </c>
      <c r="BM49" s="306">
        <v>0</v>
      </c>
      <c r="BN49" s="306">
        <v>0</v>
      </c>
      <c r="BO49" s="306">
        <v>0</v>
      </c>
      <c r="BP49" s="306">
        <v>0</v>
      </c>
      <c r="BQ49" s="306">
        <v>0</v>
      </c>
      <c r="BR49" s="306">
        <v>0</v>
      </c>
      <c r="BS49" s="306">
        <v>0</v>
      </c>
      <c r="BT49" s="306">
        <v>0</v>
      </c>
      <c r="BU49" s="306">
        <v>0</v>
      </c>
      <c r="BV49" s="306">
        <v>0</v>
      </c>
      <c r="BW49" s="306">
        <v>0</v>
      </c>
      <c r="BX49" s="306">
        <v>0</v>
      </c>
      <c r="BY49" s="306">
        <v>0</v>
      </c>
      <c r="BZ49" s="306">
        <v>0</v>
      </c>
      <c r="CA49" s="306">
        <v>0</v>
      </c>
      <c r="CB49" s="306">
        <v>0</v>
      </c>
      <c r="CC49" s="306">
        <v>0</v>
      </c>
      <c r="CD49" s="306">
        <v>0</v>
      </c>
      <c r="CE49" s="306">
        <v>0</v>
      </c>
      <c r="CF49" s="306">
        <v>0</v>
      </c>
      <c r="CG49" s="306">
        <v>0</v>
      </c>
      <c r="CH49" s="306">
        <v>0</v>
      </c>
      <c r="CI49" s="306">
        <v>0</v>
      </c>
      <c r="CJ49" s="306">
        <v>0</v>
      </c>
      <c r="CK49" s="306">
        <v>0</v>
      </c>
      <c r="CL49" s="306">
        <v>0</v>
      </c>
      <c r="CO49" s="304" t="s">
        <v>723</v>
      </c>
      <c r="CP49" s="306">
        <v>0</v>
      </c>
      <c r="CQ49" s="306">
        <v>0</v>
      </c>
      <c r="CR49" s="306">
        <v>0</v>
      </c>
      <c r="CS49" s="306">
        <v>0</v>
      </c>
      <c r="CT49" s="306">
        <v>0</v>
      </c>
      <c r="CU49" s="306">
        <v>0</v>
      </c>
      <c r="CV49" s="306">
        <v>0</v>
      </c>
      <c r="CW49" s="306">
        <v>0</v>
      </c>
      <c r="CX49" s="306">
        <v>0</v>
      </c>
      <c r="CY49" s="306">
        <v>0</v>
      </c>
      <c r="CZ49" s="306">
        <v>0</v>
      </c>
      <c r="DA49" s="306">
        <v>0</v>
      </c>
      <c r="DB49" s="306">
        <v>0</v>
      </c>
      <c r="DC49" s="306">
        <v>0</v>
      </c>
      <c r="DD49" s="306">
        <v>0</v>
      </c>
      <c r="DE49" s="306">
        <v>0</v>
      </c>
      <c r="DF49" s="306">
        <v>0</v>
      </c>
      <c r="DG49" s="306">
        <v>0</v>
      </c>
      <c r="DH49" s="306">
        <v>0</v>
      </c>
      <c r="DI49" s="306">
        <v>0</v>
      </c>
      <c r="DJ49" s="306">
        <v>0</v>
      </c>
      <c r="DK49" s="306">
        <v>0</v>
      </c>
      <c r="DL49" s="306">
        <v>0</v>
      </c>
      <c r="DM49" s="306">
        <v>0</v>
      </c>
      <c r="DN49" s="306">
        <v>0</v>
      </c>
      <c r="DO49" s="306">
        <v>0</v>
      </c>
      <c r="DP49" s="306">
        <v>0</v>
      </c>
      <c r="DQ49" s="306">
        <v>0</v>
      </c>
      <c r="DR49" s="306">
        <v>0</v>
      </c>
    </row>
    <row r="50" spans="1:122">
      <c r="A50" s="304" t="s">
        <v>714</v>
      </c>
      <c r="B50" s="306">
        <v>1</v>
      </c>
      <c r="BI50" s="304" t="s">
        <v>674</v>
      </c>
      <c r="BJ50" s="306">
        <v>0</v>
      </c>
      <c r="BK50" s="306">
        <v>0</v>
      </c>
      <c r="BL50" s="306">
        <v>0</v>
      </c>
      <c r="BM50" s="306">
        <v>0</v>
      </c>
      <c r="BN50" s="306">
        <v>0</v>
      </c>
      <c r="BO50" s="306">
        <v>0</v>
      </c>
      <c r="BP50" s="306">
        <v>0</v>
      </c>
      <c r="BQ50" s="306">
        <v>0</v>
      </c>
      <c r="BR50" s="306">
        <v>0</v>
      </c>
      <c r="BS50" s="306">
        <v>0</v>
      </c>
      <c r="BT50" s="306">
        <v>0</v>
      </c>
      <c r="BU50" s="306">
        <v>0</v>
      </c>
      <c r="BV50" s="306">
        <v>0</v>
      </c>
      <c r="BW50" s="306">
        <v>0</v>
      </c>
      <c r="BX50" s="306">
        <v>0</v>
      </c>
      <c r="BY50" s="306">
        <v>0</v>
      </c>
      <c r="BZ50" s="306">
        <v>0</v>
      </c>
      <c r="CA50" s="306">
        <v>0</v>
      </c>
      <c r="CB50" s="306">
        <v>0</v>
      </c>
      <c r="CC50" s="306">
        <v>0</v>
      </c>
      <c r="CD50" s="306">
        <v>0</v>
      </c>
      <c r="CE50" s="306">
        <v>0</v>
      </c>
      <c r="CF50" s="306">
        <v>0</v>
      </c>
      <c r="CG50" s="306">
        <v>0</v>
      </c>
      <c r="CH50" s="306">
        <v>0</v>
      </c>
      <c r="CI50" s="306">
        <v>0</v>
      </c>
      <c r="CJ50" s="306">
        <v>0</v>
      </c>
      <c r="CK50" s="306">
        <v>0</v>
      </c>
      <c r="CL50" s="306">
        <v>0</v>
      </c>
      <c r="CO50" s="304" t="s">
        <v>674</v>
      </c>
      <c r="CP50" s="306">
        <v>0</v>
      </c>
      <c r="CQ50" s="306">
        <v>0</v>
      </c>
      <c r="CR50" s="306">
        <v>0</v>
      </c>
      <c r="CS50" s="306">
        <v>0</v>
      </c>
      <c r="CT50" s="306">
        <v>0</v>
      </c>
      <c r="CU50" s="306">
        <v>0</v>
      </c>
      <c r="CV50" s="306">
        <v>0</v>
      </c>
      <c r="CW50" s="306">
        <v>0</v>
      </c>
      <c r="CX50" s="306">
        <v>0</v>
      </c>
      <c r="CY50" s="306">
        <v>0</v>
      </c>
      <c r="CZ50" s="306">
        <v>0</v>
      </c>
      <c r="DA50" s="306">
        <v>0</v>
      </c>
      <c r="DB50" s="306">
        <v>0</v>
      </c>
      <c r="DC50" s="306">
        <v>0</v>
      </c>
      <c r="DD50" s="306">
        <v>0</v>
      </c>
      <c r="DE50" s="306">
        <v>0</v>
      </c>
      <c r="DF50" s="306">
        <v>0</v>
      </c>
      <c r="DG50" s="306">
        <v>0</v>
      </c>
      <c r="DH50" s="306">
        <v>0</v>
      </c>
      <c r="DI50" s="306">
        <v>0</v>
      </c>
      <c r="DJ50" s="306">
        <v>0</v>
      </c>
      <c r="DK50" s="306">
        <v>0</v>
      </c>
      <c r="DL50" s="306">
        <v>0</v>
      </c>
      <c r="DM50" s="306">
        <v>0</v>
      </c>
      <c r="DN50" s="306">
        <v>0</v>
      </c>
      <c r="DO50" s="306">
        <v>0</v>
      </c>
      <c r="DP50" s="306">
        <v>0</v>
      </c>
      <c r="DQ50" s="306">
        <v>0</v>
      </c>
      <c r="DR50" s="306">
        <v>0</v>
      </c>
    </row>
    <row r="51" spans="1:122">
      <c r="A51" s="304" t="s">
        <v>715</v>
      </c>
      <c r="B51" s="306">
        <v>1</v>
      </c>
      <c r="BI51" s="304" t="s">
        <v>724</v>
      </c>
      <c r="BJ51" s="306">
        <v>0</v>
      </c>
      <c r="BK51" s="306">
        <v>0</v>
      </c>
      <c r="BL51" s="306">
        <v>0</v>
      </c>
      <c r="BM51" s="306">
        <v>0</v>
      </c>
      <c r="BN51" s="306">
        <v>0</v>
      </c>
      <c r="BO51" s="306">
        <v>0</v>
      </c>
      <c r="BP51" s="306">
        <v>0</v>
      </c>
      <c r="BQ51" s="306">
        <v>0</v>
      </c>
      <c r="BR51" s="306">
        <v>0</v>
      </c>
      <c r="BS51" s="306">
        <v>0</v>
      </c>
      <c r="BT51" s="306">
        <v>0</v>
      </c>
      <c r="BU51" s="306">
        <v>0</v>
      </c>
      <c r="BV51" s="306">
        <v>0</v>
      </c>
      <c r="BW51" s="306">
        <v>0</v>
      </c>
      <c r="BX51" s="306">
        <v>0</v>
      </c>
      <c r="BY51" s="306">
        <v>0</v>
      </c>
      <c r="BZ51" s="306">
        <v>0</v>
      </c>
      <c r="CA51" s="306">
        <v>0</v>
      </c>
      <c r="CB51" s="306">
        <v>0</v>
      </c>
      <c r="CC51" s="306">
        <v>0</v>
      </c>
      <c r="CD51" s="306">
        <v>0</v>
      </c>
      <c r="CE51" s="306">
        <v>0</v>
      </c>
      <c r="CF51" s="306">
        <v>0</v>
      </c>
      <c r="CG51" s="306">
        <v>0</v>
      </c>
      <c r="CH51" s="306">
        <v>0</v>
      </c>
      <c r="CI51" s="306">
        <v>0</v>
      </c>
      <c r="CJ51" s="306">
        <v>4306.0802326205903</v>
      </c>
      <c r="CK51" s="306">
        <v>0</v>
      </c>
      <c r="CL51" s="306">
        <v>0</v>
      </c>
      <c r="CO51" s="304" t="s">
        <v>724</v>
      </c>
      <c r="CP51" s="306">
        <v>0</v>
      </c>
      <c r="CQ51" s="306">
        <v>0</v>
      </c>
      <c r="CR51" s="306">
        <v>0</v>
      </c>
      <c r="CS51" s="306">
        <v>0</v>
      </c>
      <c r="CT51" s="306">
        <v>0</v>
      </c>
      <c r="CU51" s="306">
        <v>0</v>
      </c>
      <c r="CV51" s="306">
        <v>0</v>
      </c>
      <c r="CW51" s="306">
        <v>0</v>
      </c>
      <c r="CX51" s="306">
        <v>0</v>
      </c>
      <c r="CY51" s="306">
        <v>0</v>
      </c>
      <c r="CZ51" s="306">
        <v>0</v>
      </c>
      <c r="DA51" s="306">
        <v>0</v>
      </c>
      <c r="DB51" s="306">
        <v>0</v>
      </c>
      <c r="DC51" s="306">
        <v>0</v>
      </c>
      <c r="DD51" s="306">
        <v>0</v>
      </c>
      <c r="DE51" s="306">
        <v>0</v>
      </c>
      <c r="DF51" s="306">
        <v>0</v>
      </c>
      <c r="DG51" s="306">
        <v>0</v>
      </c>
      <c r="DH51" s="306">
        <v>0</v>
      </c>
      <c r="DI51" s="306">
        <v>0</v>
      </c>
      <c r="DJ51" s="306">
        <v>0</v>
      </c>
      <c r="DK51" s="306">
        <v>0</v>
      </c>
      <c r="DL51" s="306">
        <v>0</v>
      </c>
      <c r="DM51" s="306">
        <v>0</v>
      </c>
      <c r="DN51" s="306">
        <v>0</v>
      </c>
      <c r="DO51" s="306">
        <v>0</v>
      </c>
      <c r="DP51" s="306">
        <v>1</v>
      </c>
      <c r="DQ51" s="306">
        <v>0</v>
      </c>
      <c r="DR51" s="306">
        <v>0</v>
      </c>
    </row>
    <row r="52" spans="1:122">
      <c r="A52" s="304" t="s">
        <v>716</v>
      </c>
      <c r="B52" s="306">
        <v>1</v>
      </c>
      <c r="BI52" s="304" t="s">
        <v>725</v>
      </c>
      <c r="BJ52" s="306">
        <v>0</v>
      </c>
      <c r="BK52" s="306">
        <v>0</v>
      </c>
      <c r="BL52" s="306">
        <v>0</v>
      </c>
      <c r="BM52" s="306">
        <v>0</v>
      </c>
      <c r="BN52" s="306">
        <v>0</v>
      </c>
      <c r="BO52" s="306">
        <v>0</v>
      </c>
      <c r="BP52" s="306">
        <v>0</v>
      </c>
      <c r="BQ52" s="306">
        <v>0</v>
      </c>
      <c r="BR52" s="306">
        <v>0</v>
      </c>
      <c r="BS52" s="306">
        <v>0</v>
      </c>
      <c r="BT52" s="306">
        <v>0</v>
      </c>
      <c r="BU52" s="306">
        <v>0</v>
      </c>
      <c r="BV52" s="306">
        <v>0</v>
      </c>
      <c r="BW52" s="306">
        <v>0</v>
      </c>
      <c r="BX52" s="306">
        <v>0</v>
      </c>
      <c r="BY52" s="306">
        <v>0</v>
      </c>
      <c r="BZ52" s="306">
        <v>0</v>
      </c>
      <c r="CA52" s="306">
        <v>0</v>
      </c>
      <c r="CB52" s="306">
        <v>0</v>
      </c>
      <c r="CC52" s="306">
        <v>0</v>
      </c>
      <c r="CD52" s="306">
        <v>0</v>
      </c>
      <c r="CE52" s="306">
        <v>0</v>
      </c>
      <c r="CF52" s="306">
        <v>0</v>
      </c>
      <c r="CG52" s="306">
        <v>0</v>
      </c>
      <c r="CH52" s="306">
        <v>0</v>
      </c>
      <c r="CI52" s="306">
        <v>0</v>
      </c>
      <c r="CJ52" s="306">
        <v>0</v>
      </c>
      <c r="CK52" s="306">
        <v>0</v>
      </c>
      <c r="CL52" s="306">
        <v>0</v>
      </c>
      <c r="CO52" s="304" t="s">
        <v>725</v>
      </c>
      <c r="CP52" s="306">
        <v>0</v>
      </c>
      <c r="CQ52" s="306">
        <v>0</v>
      </c>
      <c r="CR52" s="306">
        <v>0</v>
      </c>
      <c r="CS52" s="306">
        <v>0</v>
      </c>
      <c r="CT52" s="306">
        <v>0</v>
      </c>
      <c r="CU52" s="306">
        <v>0</v>
      </c>
      <c r="CV52" s="306">
        <v>0</v>
      </c>
      <c r="CW52" s="306">
        <v>0</v>
      </c>
      <c r="CX52" s="306">
        <v>0</v>
      </c>
      <c r="CY52" s="306">
        <v>0</v>
      </c>
      <c r="CZ52" s="306">
        <v>0</v>
      </c>
      <c r="DA52" s="306">
        <v>0</v>
      </c>
      <c r="DB52" s="306">
        <v>0</v>
      </c>
      <c r="DC52" s="306">
        <v>0</v>
      </c>
      <c r="DD52" s="306">
        <v>0</v>
      </c>
      <c r="DE52" s="306">
        <v>0</v>
      </c>
      <c r="DF52" s="306">
        <v>0</v>
      </c>
      <c r="DG52" s="306">
        <v>0</v>
      </c>
      <c r="DH52" s="306">
        <v>0</v>
      </c>
      <c r="DI52" s="306">
        <v>0</v>
      </c>
      <c r="DJ52" s="306">
        <v>0</v>
      </c>
      <c r="DK52" s="306">
        <v>0</v>
      </c>
      <c r="DL52" s="306">
        <v>0</v>
      </c>
      <c r="DM52" s="306">
        <v>0</v>
      </c>
      <c r="DN52" s="306">
        <v>0</v>
      </c>
      <c r="DO52" s="306">
        <v>0</v>
      </c>
      <c r="DP52" s="306">
        <v>0</v>
      </c>
      <c r="DQ52" s="306">
        <v>0</v>
      </c>
      <c r="DR52" s="306">
        <v>0</v>
      </c>
    </row>
    <row r="53" spans="1:122">
      <c r="A53" s="304" t="s">
        <v>717</v>
      </c>
      <c r="B53" s="306">
        <v>1</v>
      </c>
      <c r="BI53" s="304" t="s">
        <v>726</v>
      </c>
      <c r="BJ53" s="306">
        <v>0</v>
      </c>
      <c r="BK53" s="306">
        <v>0</v>
      </c>
      <c r="BL53" s="306">
        <v>0</v>
      </c>
      <c r="BM53" s="306">
        <v>0</v>
      </c>
      <c r="BN53" s="306">
        <v>0</v>
      </c>
      <c r="BO53" s="306">
        <v>0</v>
      </c>
      <c r="BP53" s="306">
        <v>0</v>
      </c>
      <c r="BQ53" s="306">
        <v>0</v>
      </c>
      <c r="BR53" s="306">
        <v>0</v>
      </c>
      <c r="BS53" s="306">
        <v>0</v>
      </c>
      <c r="BT53" s="306">
        <v>0</v>
      </c>
      <c r="BU53" s="306">
        <v>0</v>
      </c>
      <c r="BV53" s="306">
        <v>0</v>
      </c>
      <c r="BW53" s="306">
        <v>0</v>
      </c>
      <c r="BX53" s="306">
        <v>0</v>
      </c>
      <c r="BY53" s="306">
        <v>0</v>
      </c>
      <c r="BZ53" s="306">
        <v>0</v>
      </c>
      <c r="CA53" s="306">
        <v>0</v>
      </c>
      <c r="CB53" s="306">
        <v>0</v>
      </c>
      <c r="CC53" s="306">
        <v>0</v>
      </c>
      <c r="CD53" s="306">
        <v>0</v>
      </c>
      <c r="CE53" s="306">
        <v>0</v>
      </c>
      <c r="CF53" s="306">
        <v>0</v>
      </c>
      <c r="CG53" s="306">
        <v>0</v>
      </c>
      <c r="CH53" s="306">
        <v>0</v>
      </c>
      <c r="CI53" s="306">
        <v>0</v>
      </c>
      <c r="CJ53" s="306">
        <v>0</v>
      </c>
      <c r="CK53" s="306">
        <v>0</v>
      </c>
      <c r="CL53" s="306">
        <v>0</v>
      </c>
      <c r="CO53" s="304" t="s">
        <v>726</v>
      </c>
      <c r="CP53" s="306">
        <v>0</v>
      </c>
      <c r="CQ53" s="306">
        <v>0</v>
      </c>
      <c r="CR53" s="306">
        <v>0</v>
      </c>
      <c r="CS53" s="306">
        <v>0</v>
      </c>
      <c r="CT53" s="306">
        <v>0</v>
      </c>
      <c r="CU53" s="306">
        <v>0</v>
      </c>
      <c r="CV53" s="306">
        <v>0</v>
      </c>
      <c r="CW53" s="306">
        <v>0</v>
      </c>
      <c r="CX53" s="306">
        <v>0</v>
      </c>
      <c r="CY53" s="306">
        <v>0</v>
      </c>
      <c r="CZ53" s="306">
        <v>0</v>
      </c>
      <c r="DA53" s="306">
        <v>0</v>
      </c>
      <c r="DB53" s="306">
        <v>0</v>
      </c>
      <c r="DC53" s="306">
        <v>0</v>
      </c>
      <c r="DD53" s="306">
        <v>0</v>
      </c>
      <c r="DE53" s="306">
        <v>0</v>
      </c>
      <c r="DF53" s="306">
        <v>0</v>
      </c>
      <c r="DG53" s="306">
        <v>0</v>
      </c>
      <c r="DH53" s="306">
        <v>0</v>
      </c>
      <c r="DI53" s="306">
        <v>0</v>
      </c>
      <c r="DJ53" s="306">
        <v>0</v>
      </c>
      <c r="DK53" s="306">
        <v>0</v>
      </c>
      <c r="DL53" s="306">
        <v>0</v>
      </c>
      <c r="DM53" s="306">
        <v>0</v>
      </c>
      <c r="DN53" s="306">
        <v>0</v>
      </c>
      <c r="DO53" s="306">
        <v>0</v>
      </c>
      <c r="DP53" s="306">
        <v>0</v>
      </c>
      <c r="DQ53" s="306">
        <v>0</v>
      </c>
      <c r="DR53" s="306">
        <v>0</v>
      </c>
    </row>
    <row r="54" spans="1:122">
      <c r="A54" s="304" t="s">
        <v>718</v>
      </c>
      <c r="B54" s="306">
        <v>1</v>
      </c>
      <c r="BI54" s="304" t="s">
        <v>675</v>
      </c>
      <c r="BJ54" s="306">
        <v>0</v>
      </c>
      <c r="BK54" s="306">
        <v>0</v>
      </c>
      <c r="BL54" s="306">
        <v>0</v>
      </c>
      <c r="BM54" s="306">
        <v>0</v>
      </c>
      <c r="BN54" s="306">
        <v>0</v>
      </c>
      <c r="BO54" s="306">
        <v>0</v>
      </c>
      <c r="BP54" s="306">
        <v>0</v>
      </c>
      <c r="BQ54" s="306">
        <v>0</v>
      </c>
      <c r="BR54" s="306">
        <v>0</v>
      </c>
      <c r="BS54" s="306">
        <v>0</v>
      </c>
      <c r="BT54" s="306">
        <v>0</v>
      </c>
      <c r="BU54" s="306">
        <v>0</v>
      </c>
      <c r="BV54" s="306">
        <v>0</v>
      </c>
      <c r="BW54" s="306">
        <v>0</v>
      </c>
      <c r="BX54" s="306">
        <v>0</v>
      </c>
      <c r="BY54" s="306">
        <v>0</v>
      </c>
      <c r="BZ54" s="306">
        <v>0</v>
      </c>
      <c r="CA54" s="306">
        <v>0</v>
      </c>
      <c r="CB54" s="306">
        <v>0</v>
      </c>
      <c r="CC54" s="306">
        <v>0</v>
      </c>
      <c r="CD54" s="306">
        <v>0</v>
      </c>
      <c r="CE54" s="306">
        <v>0</v>
      </c>
      <c r="CF54" s="306">
        <v>0</v>
      </c>
      <c r="CG54" s="306">
        <v>0</v>
      </c>
      <c r="CH54" s="306">
        <v>0</v>
      </c>
      <c r="CI54" s="306">
        <v>0</v>
      </c>
      <c r="CJ54" s="306">
        <v>0</v>
      </c>
      <c r="CK54" s="306">
        <v>0</v>
      </c>
      <c r="CL54" s="306">
        <v>0</v>
      </c>
      <c r="CO54" s="304" t="s">
        <v>675</v>
      </c>
      <c r="CP54" s="306">
        <v>0</v>
      </c>
      <c r="CQ54" s="306">
        <v>0</v>
      </c>
      <c r="CR54" s="306">
        <v>0</v>
      </c>
      <c r="CS54" s="306">
        <v>0</v>
      </c>
      <c r="CT54" s="306">
        <v>0</v>
      </c>
      <c r="CU54" s="306">
        <v>0</v>
      </c>
      <c r="CV54" s="306">
        <v>0</v>
      </c>
      <c r="CW54" s="306">
        <v>0</v>
      </c>
      <c r="CX54" s="306">
        <v>0</v>
      </c>
      <c r="CY54" s="306">
        <v>0</v>
      </c>
      <c r="CZ54" s="306">
        <v>0</v>
      </c>
      <c r="DA54" s="306">
        <v>0</v>
      </c>
      <c r="DB54" s="306">
        <v>0</v>
      </c>
      <c r="DC54" s="306">
        <v>0</v>
      </c>
      <c r="DD54" s="306">
        <v>0</v>
      </c>
      <c r="DE54" s="306">
        <v>0</v>
      </c>
      <c r="DF54" s="306">
        <v>0</v>
      </c>
      <c r="DG54" s="306">
        <v>0</v>
      </c>
      <c r="DH54" s="306">
        <v>0</v>
      </c>
      <c r="DI54" s="306">
        <v>0</v>
      </c>
      <c r="DJ54" s="306">
        <v>0</v>
      </c>
      <c r="DK54" s="306">
        <v>0</v>
      </c>
      <c r="DL54" s="306">
        <v>0</v>
      </c>
      <c r="DM54" s="306">
        <v>0</v>
      </c>
      <c r="DN54" s="306">
        <v>0</v>
      </c>
      <c r="DO54" s="306">
        <v>0</v>
      </c>
      <c r="DP54" s="306">
        <v>0</v>
      </c>
      <c r="DQ54" s="306">
        <v>0</v>
      </c>
      <c r="DR54" s="306">
        <v>0</v>
      </c>
    </row>
    <row r="55" spans="1:122">
      <c r="A55" s="304" t="s">
        <v>719</v>
      </c>
      <c r="B55" s="306">
        <v>1</v>
      </c>
      <c r="BI55" s="304" t="s">
        <v>676</v>
      </c>
      <c r="BJ55" s="306">
        <v>0</v>
      </c>
      <c r="BK55" s="306">
        <v>0</v>
      </c>
      <c r="BL55" s="306">
        <v>0</v>
      </c>
      <c r="BM55" s="306">
        <v>0</v>
      </c>
      <c r="BN55" s="306">
        <v>0</v>
      </c>
      <c r="BO55" s="306">
        <v>0</v>
      </c>
      <c r="BP55" s="306">
        <v>0</v>
      </c>
      <c r="BQ55" s="306">
        <v>0</v>
      </c>
      <c r="BR55" s="306">
        <v>0</v>
      </c>
      <c r="BS55" s="306">
        <v>0</v>
      </c>
      <c r="BT55" s="306">
        <v>0</v>
      </c>
      <c r="BU55" s="306">
        <v>0</v>
      </c>
      <c r="BV55" s="306">
        <v>0</v>
      </c>
      <c r="BW55" s="306">
        <v>0</v>
      </c>
      <c r="BX55" s="306">
        <v>0</v>
      </c>
      <c r="BY55" s="306">
        <v>0</v>
      </c>
      <c r="BZ55" s="306">
        <v>0</v>
      </c>
      <c r="CA55" s="306">
        <v>0</v>
      </c>
      <c r="CB55" s="306">
        <v>0</v>
      </c>
      <c r="CC55" s="306">
        <v>0</v>
      </c>
      <c r="CD55" s="306">
        <v>0</v>
      </c>
      <c r="CE55" s="306">
        <v>0</v>
      </c>
      <c r="CF55" s="306">
        <v>0</v>
      </c>
      <c r="CG55" s="306">
        <v>0</v>
      </c>
      <c r="CH55" s="306">
        <v>0</v>
      </c>
      <c r="CI55" s="306">
        <v>0</v>
      </c>
      <c r="CJ55" s="306">
        <v>0</v>
      </c>
      <c r="CK55" s="306">
        <v>0</v>
      </c>
      <c r="CL55" s="306">
        <v>0</v>
      </c>
      <c r="CO55" s="304" t="s">
        <v>676</v>
      </c>
      <c r="CP55" s="306">
        <v>0</v>
      </c>
      <c r="CQ55" s="306">
        <v>0</v>
      </c>
      <c r="CR55" s="306">
        <v>0</v>
      </c>
      <c r="CS55" s="306">
        <v>0</v>
      </c>
      <c r="CT55" s="306">
        <v>0</v>
      </c>
      <c r="CU55" s="306">
        <v>0</v>
      </c>
      <c r="CV55" s="306">
        <v>0</v>
      </c>
      <c r="CW55" s="306">
        <v>0</v>
      </c>
      <c r="CX55" s="306">
        <v>0</v>
      </c>
      <c r="CY55" s="306">
        <v>0</v>
      </c>
      <c r="CZ55" s="306">
        <v>0</v>
      </c>
      <c r="DA55" s="306">
        <v>0</v>
      </c>
      <c r="DB55" s="306">
        <v>0</v>
      </c>
      <c r="DC55" s="306">
        <v>0</v>
      </c>
      <c r="DD55" s="306">
        <v>0</v>
      </c>
      <c r="DE55" s="306">
        <v>0</v>
      </c>
      <c r="DF55" s="306">
        <v>0</v>
      </c>
      <c r="DG55" s="306">
        <v>0</v>
      </c>
      <c r="DH55" s="306">
        <v>0</v>
      </c>
      <c r="DI55" s="306">
        <v>0</v>
      </c>
      <c r="DJ55" s="306">
        <v>0</v>
      </c>
      <c r="DK55" s="306">
        <v>0</v>
      </c>
      <c r="DL55" s="306">
        <v>0</v>
      </c>
      <c r="DM55" s="306">
        <v>0</v>
      </c>
      <c r="DN55" s="306">
        <v>0</v>
      </c>
      <c r="DO55" s="306">
        <v>0</v>
      </c>
      <c r="DP55" s="306">
        <v>0</v>
      </c>
      <c r="DQ55" s="306">
        <v>0</v>
      </c>
      <c r="DR55" s="306">
        <v>0</v>
      </c>
    </row>
    <row r="56" spans="1:122">
      <c r="A56" s="304" t="s">
        <v>720</v>
      </c>
      <c r="B56" s="306">
        <v>1</v>
      </c>
      <c r="BI56" s="304" t="s">
        <v>677</v>
      </c>
      <c r="BJ56" s="306">
        <v>0</v>
      </c>
      <c r="BK56" s="306">
        <v>0</v>
      </c>
      <c r="BL56" s="306">
        <v>0</v>
      </c>
      <c r="BM56" s="306">
        <v>0</v>
      </c>
      <c r="BN56" s="306">
        <v>0</v>
      </c>
      <c r="BO56" s="306">
        <v>0</v>
      </c>
      <c r="BP56" s="306">
        <v>0</v>
      </c>
      <c r="BQ56" s="306">
        <v>0</v>
      </c>
      <c r="BR56" s="306">
        <v>0</v>
      </c>
      <c r="BS56" s="306">
        <v>0</v>
      </c>
      <c r="BT56" s="306">
        <v>0</v>
      </c>
      <c r="BU56" s="306">
        <v>0</v>
      </c>
      <c r="BV56" s="306">
        <v>0</v>
      </c>
      <c r="BW56" s="306">
        <v>0</v>
      </c>
      <c r="BX56" s="306">
        <v>0</v>
      </c>
      <c r="BY56" s="306">
        <v>0</v>
      </c>
      <c r="BZ56" s="306">
        <v>0</v>
      </c>
      <c r="CA56" s="306">
        <v>0</v>
      </c>
      <c r="CB56" s="306">
        <v>0</v>
      </c>
      <c r="CC56" s="306">
        <v>0</v>
      </c>
      <c r="CD56" s="306">
        <v>0</v>
      </c>
      <c r="CE56" s="306">
        <v>0</v>
      </c>
      <c r="CF56" s="306">
        <v>0</v>
      </c>
      <c r="CG56" s="306">
        <v>0</v>
      </c>
      <c r="CH56" s="306">
        <v>0</v>
      </c>
      <c r="CI56" s="306">
        <v>0</v>
      </c>
      <c r="CJ56" s="306">
        <v>0</v>
      </c>
      <c r="CK56" s="306">
        <v>0</v>
      </c>
      <c r="CL56" s="306">
        <v>0</v>
      </c>
      <c r="CO56" s="304" t="s">
        <v>677</v>
      </c>
      <c r="CP56" s="306">
        <v>0</v>
      </c>
      <c r="CQ56" s="306">
        <v>0</v>
      </c>
      <c r="CR56" s="306">
        <v>0</v>
      </c>
      <c r="CS56" s="306">
        <v>0</v>
      </c>
      <c r="CT56" s="306">
        <v>0</v>
      </c>
      <c r="CU56" s="306">
        <v>0</v>
      </c>
      <c r="CV56" s="306">
        <v>0</v>
      </c>
      <c r="CW56" s="306">
        <v>0</v>
      </c>
      <c r="CX56" s="306">
        <v>0</v>
      </c>
      <c r="CY56" s="306">
        <v>0</v>
      </c>
      <c r="CZ56" s="306">
        <v>0</v>
      </c>
      <c r="DA56" s="306">
        <v>0</v>
      </c>
      <c r="DB56" s="306">
        <v>0</v>
      </c>
      <c r="DC56" s="306">
        <v>0</v>
      </c>
      <c r="DD56" s="306">
        <v>0</v>
      </c>
      <c r="DE56" s="306">
        <v>0</v>
      </c>
      <c r="DF56" s="306">
        <v>0</v>
      </c>
      <c r="DG56" s="306">
        <v>0</v>
      </c>
      <c r="DH56" s="306">
        <v>0</v>
      </c>
      <c r="DI56" s="306">
        <v>0</v>
      </c>
      <c r="DJ56" s="306">
        <v>0</v>
      </c>
      <c r="DK56" s="306">
        <v>0</v>
      </c>
      <c r="DL56" s="306">
        <v>0</v>
      </c>
      <c r="DM56" s="306">
        <v>0</v>
      </c>
      <c r="DN56" s="306">
        <v>0</v>
      </c>
      <c r="DO56" s="306">
        <v>0</v>
      </c>
      <c r="DP56" s="306">
        <v>0</v>
      </c>
      <c r="DQ56" s="306">
        <v>0</v>
      </c>
      <c r="DR56" s="306">
        <v>0</v>
      </c>
    </row>
    <row r="57" spans="1:122">
      <c r="A57" s="304" t="s">
        <v>721</v>
      </c>
      <c r="B57" s="306">
        <v>1</v>
      </c>
      <c r="BI57" s="304" t="s">
        <v>727</v>
      </c>
      <c r="BJ57" s="306">
        <v>0</v>
      </c>
      <c r="BK57" s="306">
        <v>0</v>
      </c>
      <c r="BL57" s="306">
        <v>0</v>
      </c>
      <c r="BM57" s="306">
        <v>0</v>
      </c>
      <c r="BN57" s="306">
        <v>0</v>
      </c>
      <c r="BO57" s="306">
        <v>0</v>
      </c>
      <c r="BP57" s="306">
        <v>0</v>
      </c>
      <c r="BQ57" s="306">
        <v>0</v>
      </c>
      <c r="BR57" s="306">
        <v>0</v>
      </c>
      <c r="BS57" s="306">
        <v>0</v>
      </c>
      <c r="BT57" s="306">
        <v>0</v>
      </c>
      <c r="BU57" s="306">
        <v>0</v>
      </c>
      <c r="BV57" s="306">
        <v>0</v>
      </c>
      <c r="BW57" s="306">
        <v>0</v>
      </c>
      <c r="BX57" s="306">
        <v>0</v>
      </c>
      <c r="BY57" s="306">
        <v>0</v>
      </c>
      <c r="BZ57" s="306">
        <v>0</v>
      </c>
      <c r="CA57" s="306">
        <v>0</v>
      </c>
      <c r="CB57" s="306">
        <v>0</v>
      </c>
      <c r="CC57" s="306">
        <v>0</v>
      </c>
      <c r="CD57" s="306">
        <v>0</v>
      </c>
      <c r="CE57" s="306">
        <v>0</v>
      </c>
      <c r="CF57" s="306">
        <v>0</v>
      </c>
      <c r="CG57" s="306">
        <v>0</v>
      </c>
      <c r="CH57" s="306">
        <v>0</v>
      </c>
      <c r="CI57" s="306">
        <v>0</v>
      </c>
      <c r="CJ57" s="306">
        <v>0</v>
      </c>
      <c r="CK57" s="306">
        <v>0</v>
      </c>
      <c r="CL57" s="306">
        <v>0</v>
      </c>
      <c r="CO57" s="304" t="s">
        <v>727</v>
      </c>
      <c r="CP57" s="306">
        <v>0</v>
      </c>
      <c r="CQ57" s="306">
        <v>0</v>
      </c>
      <c r="CR57" s="306">
        <v>0</v>
      </c>
      <c r="CS57" s="306">
        <v>0</v>
      </c>
      <c r="CT57" s="306">
        <v>0</v>
      </c>
      <c r="CU57" s="306">
        <v>0</v>
      </c>
      <c r="CV57" s="306">
        <v>0</v>
      </c>
      <c r="CW57" s="306">
        <v>0</v>
      </c>
      <c r="CX57" s="306">
        <v>0</v>
      </c>
      <c r="CY57" s="306">
        <v>0</v>
      </c>
      <c r="CZ57" s="306">
        <v>0</v>
      </c>
      <c r="DA57" s="306">
        <v>0</v>
      </c>
      <c r="DB57" s="306">
        <v>0</v>
      </c>
      <c r="DC57" s="306">
        <v>0</v>
      </c>
      <c r="DD57" s="306">
        <v>0</v>
      </c>
      <c r="DE57" s="306">
        <v>0</v>
      </c>
      <c r="DF57" s="306">
        <v>0</v>
      </c>
      <c r="DG57" s="306">
        <v>0</v>
      </c>
      <c r="DH57" s="306">
        <v>0</v>
      </c>
      <c r="DI57" s="306">
        <v>0</v>
      </c>
      <c r="DJ57" s="306">
        <v>0</v>
      </c>
      <c r="DK57" s="306">
        <v>0</v>
      </c>
      <c r="DL57" s="306">
        <v>0</v>
      </c>
      <c r="DM57" s="306">
        <v>0</v>
      </c>
      <c r="DN57" s="306">
        <v>0</v>
      </c>
      <c r="DO57" s="306">
        <v>0</v>
      </c>
      <c r="DP57" s="306">
        <v>0</v>
      </c>
      <c r="DQ57" s="306">
        <v>0</v>
      </c>
      <c r="DR57" s="306">
        <v>0</v>
      </c>
    </row>
    <row r="58" spans="1:122">
      <c r="A58" s="304" t="s">
        <v>775</v>
      </c>
      <c r="B58" s="306">
        <v>1</v>
      </c>
      <c r="BI58" s="304" t="s">
        <v>728</v>
      </c>
      <c r="BJ58" s="306">
        <v>0</v>
      </c>
      <c r="BK58" s="306">
        <v>0</v>
      </c>
      <c r="BL58" s="306">
        <v>0</v>
      </c>
      <c r="BM58" s="306">
        <v>0</v>
      </c>
      <c r="BN58" s="306">
        <v>0</v>
      </c>
      <c r="BO58" s="306">
        <v>0</v>
      </c>
      <c r="BP58" s="306">
        <v>0</v>
      </c>
      <c r="BQ58" s="306">
        <v>0</v>
      </c>
      <c r="BR58" s="306">
        <v>0</v>
      </c>
      <c r="BS58" s="306">
        <v>0</v>
      </c>
      <c r="BT58" s="306">
        <v>0</v>
      </c>
      <c r="BU58" s="306">
        <v>0</v>
      </c>
      <c r="BV58" s="306">
        <v>0</v>
      </c>
      <c r="BW58" s="306">
        <v>0</v>
      </c>
      <c r="BX58" s="306">
        <v>0</v>
      </c>
      <c r="BY58" s="306">
        <v>0</v>
      </c>
      <c r="BZ58" s="306">
        <v>0</v>
      </c>
      <c r="CA58" s="306">
        <v>0</v>
      </c>
      <c r="CB58" s="306">
        <v>0</v>
      </c>
      <c r="CC58" s="306">
        <v>0</v>
      </c>
      <c r="CD58" s="306">
        <v>0</v>
      </c>
      <c r="CE58" s="306">
        <v>0</v>
      </c>
      <c r="CF58" s="306">
        <v>0</v>
      </c>
      <c r="CG58" s="306">
        <v>0</v>
      </c>
      <c r="CH58" s="306">
        <v>0</v>
      </c>
      <c r="CI58" s="306">
        <v>0</v>
      </c>
      <c r="CJ58" s="306">
        <v>0</v>
      </c>
      <c r="CK58" s="306">
        <v>0</v>
      </c>
      <c r="CL58" s="306">
        <v>0</v>
      </c>
      <c r="CO58" s="304" t="s">
        <v>728</v>
      </c>
      <c r="CP58" s="306">
        <v>0</v>
      </c>
      <c r="CQ58" s="306">
        <v>0</v>
      </c>
      <c r="CR58" s="306">
        <v>0</v>
      </c>
      <c r="CS58" s="306">
        <v>0</v>
      </c>
      <c r="CT58" s="306">
        <v>0</v>
      </c>
      <c r="CU58" s="306">
        <v>0</v>
      </c>
      <c r="CV58" s="306">
        <v>0</v>
      </c>
      <c r="CW58" s="306">
        <v>0</v>
      </c>
      <c r="CX58" s="306">
        <v>0</v>
      </c>
      <c r="CY58" s="306">
        <v>0</v>
      </c>
      <c r="CZ58" s="306">
        <v>0</v>
      </c>
      <c r="DA58" s="306">
        <v>0</v>
      </c>
      <c r="DB58" s="306">
        <v>0</v>
      </c>
      <c r="DC58" s="306">
        <v>0</v>
      </c>
      <c r="DD58" s="306">
        <v>0</v>
      </c>
      <c r="DE58" s="306">
        <v>0</v>
      </c>
      <c r="DF58" s="306">
        <v>0</v>
      </c>
      <c r="DG58" s="306">
        <v>0</v>
      </c>
      <c r="DH58" s="306">
        <v>0</v>
      </c>
      <c r="DI58" s="306">
        <v>0</v>
      </c>
      <c r="DJ58" s="306">
        <v>0</v>
      </c>
      <c r="DK58" s="306">
        <v>0</v>
      </c>
      <c r="DL58" s="306">
        <v>0</v>
      </c>
      <c r="DM58" s="306">
        <v>0</v>
      </c>
      <c r="DN58" s="306">
        <v>0</v>
      </c>
      <c r="DO58" s="306">
        <v>0</v>
      </c>
      <c r="DP58" s="306">
        <v>0</v>
      </c>
      <c r="DQ58" s="306">
        <v>0</v>
      </c>
      <c r="DR58" s="306">
        <v>0</v>
      </c>
    </row>
    <row r="59" spans="1:122">
      <c r="A59" s="304" t="s">
        <v>776</v>
      </c>
      <c r="B59" s="306">
        <v>1</v>
      </c>
      <c r="BI59" s="304"/>
      <c r="BJ59" s="390" t="s">
        <v>704</v>
      </c>
      <c r="BK59" s="402"/>
      <c r="BL59" s="402"/>
      <c r="BM59" s="402"/>
      <c r="BN59" s="402"/>
      <c r="BO59" s="402"/>
      <c r="BP59" s="402"/>
      <c r="BQ59" s="402"/>
      <c r="BR59" s="402"/>
      <c r="BS59" s="402"/>
      <c r="BT59" s="402"/>
      <c r="BU59" s="402"/>
      <c r="BV59" s="402"/>
      <c r="BW59" s="402"/>
      <c r="BX59" s="402"/>
      <c r="BY59" s="402"/>
      <c r="BZ59" s="402"/>
      <c r="CA59" s="402"/>
      <c r="CB59" s="402"/>
      <c r="CC59" s="402"/>
      <c r="CD59" s="402"/>
      <c r="CE59" s="402"/>
      <c r="CF59" s="402"/>
      <c r="CG59" s="402"/>
      <c r="CH59" s="402"/>
      <c r="CI59" s="402"/>
      <c r="CJ59" s="402"/>
      <c r="CK59" s="402"/>
      <c r="CL59" s="402"/>
      <c r="CO59" s="304"/>
      <c r="CP59" s="390" t="s">
        <v>703</v>
      </c>
      <c r="CQ59" s="402"/>
      <c r="CR59" s="402"/>
      <c r="CS59" s="402"/>
      <c r="CT59" s="402"/>
      <c r="CU59" s="402"/>
      <c r="CV59" s="402"/>
      <c r="CW59" s="402"/>
      <c r="CX59" s="402"/>
      <c r="CY59" s="402"/>
      <c r="CZ59" s="402"/>
      <c r="DA59" s="402"/>
      <c r="DB59" s="402"/>
      <c r="DC59" s="402"/>
      <c r="DD59" s="402"/>
      <c r="DE59" s="402"/>
      <c r="DF59" s="402"/>
      <c r="DG59" s="402"/>
      <c r="DH59" s="402"/>
      <c r="DI59" s="402"/>
      <c r="DJ59" s="402"/>
      <c r="DK59" s="402"/>
      <c r="DL59" s="402"/>
      <c r="DM59" s="402"/>
      <c r="DN59" s="402"/>
      <c r="DO59" s="402"/>
      <c r="DP59" s="402"/>
      <c r="DQ59" s="402"/>
      <c r="DR59" s="402"/>
    </row>
    <row r="60" spans="1:122">
      <c r="A60" s="304" t="s">
        <v>777</v>
      </c>
      <c r="B60" s="306">
        <v>1</v>
      </c>
    </row>
    <row r="61" spans="1:122">
      <c r="A61" s="304" t="s">
        <v>672</v>
      </c>
      <c r="B61" s="306">
        <v>1</v>
      </c>
    </row>
    <row r="62" spans="1:122" ht="175.2">
      <c r="A62" s="304" t="s">
        <v>673</v>
      </c>
      <c r="B62" s="306">
        <v>1</v>
      </c>
      <c r="BI62" s="303" t="s">
        <v>641</v>
      </c>
      <c r="BJ62" s="234" t="s">
        <v>683</v>
      </c>
      <c r="BK62" s="234" t="s">
        <v>684</v>
      </c>
      <c r="BL62" s="234" t="s">
        <v>685</v>
      </c>
      <c r="BM62" s="234" t="s">
        <v>686</v>
      </c>
      <c r="BN62" s="234" t="s">
        <v>749</v>
      </c>
      <c r="BO62" s="234" t="s">
        <v>750</v>
      </c>
      <c r="BP62" s="234" t="s">
        <v>687</v>
      </c>
      <c r="BQ62" s="234" t="s">
        <v>688</v>
      </c>
      <c r="BR62" s="234" t="s">
        <v>689</v>
      </c>
      <c r="BS62" s="234" t="s">
        <v>751</v>
      </c>
      <c r="BT62" s="234" t="s">
        <v>690</v>
      </c>
      <c r="BU62" s="234" t="s">
        <v>691</v>
      </c>
      <c r="BV62" s="234" t="s">
        <v>692</v>
      </c>
      <c r="BW62" s="234" t="s">
        <v>693</v>
      </c>
      <c r="BX62" s="234" t="s">
        <v>694</v>
      </c>
      <c r="BY62" s="234" t="s">
        <v>695</v>
      </c>
      <c r="BZ62" s="234" t="s">
        <v>752</v>
      </c>
      <c r="CA62" s="234" t="s">
        <v>753</v>
      </c>
      <c r="CB62" s="234" t="s">
        <v>754</v>
      </c>
      <c r="CC62" s="234" t="s">
        <v>755</v>
      </c>
      <c r="CD62" s="234" t="s">
        <v>756</v>
      </c>
      <c r="CE62" s="234" t="s">
        <v>757</v>
      </c>
      <c r="CF62" s="234" t="s">
        <v>696</v>
      </c>
      <c r="CG62" s="234" t="s">
        <v>758</v>
      </c>
      <c r="CH62" s="234" t="s">
        <v>759</v>
      </c>
      <c r="CI62" s="234" t="s">
        <v>760</v>
      </c>
      <c r="CJ62" s="234" t="s">
        <v>761</v>
      </c>
      <c r="CK62" s="234" t="s">
        <v>697</v>
      </c>
      <c r="CL62" s="234" t="s">
        <v>762</v>
      </c>
    </row>
    <row r="63" spans="1:122">
      <c r="A63" s="304" t="s">
        <v>722</v>
      </c>
      <c r="B63" s="306">
        <v>1</v>
      </c>
      <c r="BI63" s="304" t="s">
        <v>642</v>
      </c>
      <c r="BJ63" s="306">
        <v>0</v>
      </c>
      <c r="BK63" s="306">
        <v>0</v>
      </c>
      <c r="BL63" s="306">
        <v>0</v>
      </c>
      <c r="BM63" s="306">
        <v>0</v>
      </c>
      <c r="BN63" s="306">
        <v>0</v>
      </c>
      <c r="BO63" s="306">
        <v>0</v>
      </c>
      <c r="BP63" s="306">
        <v>0</v>
      </c>
      <c r="BQ63" s="306">
        <v>0</v>
      </c>
      <c r="BR63" s="306">
        <v>0</v>
      </c>
      <c r="BS63" s="306">
        <v>0</v>
      </c>
      <c r="BT63" s="306">
        <v>0</v>
      </c>
      <c r="BU63" s="306">
        <v>0</v>
      </c>
      <c r="BV63" s="306">
        <v>0</v>
      </c>
      <c r="BW63" s="306">
        <v>0</v>
      </c>
      <c r="BX63" s="306">
        <v>0</v>
      </c>
      <c r="BY63" s="306">
        <v>0</v>
      </c>
      <c r="BZ63" s="306">
        <v>0</v>
      </c>
      <c r="CA63" s="306">
        <v>0</v>
      </c>
      <c r="CB63" s="306">
        <v>0</v>
      </c>
      <c r="CC63" s="306">
        <v>0</v>
      </c>
      <c r="CD63" s="306">
        <v>0</v>
      </c>
      <c r="CE63" s="306">
        <v>0</v>
      </c>
      <c r="CF63" s="306">
        <v>6408288.6211381704</v>
      </c>
      <c r="CG63" s="306">
        <v>0</v>
      </c>
      <c r="CH63" s="306">
        <v>0</v>
      </c>
      <c r="CI63" s="306">
        <v>0</v>
      </c>
      <c r="CJ63" s="306">
        <v>0</v>
      </c>
      <c r="CK63" s="306">
        <v>0</v>
      </c>
      <c r="CL63" s="306">
        <v>0</v>
      </c>
    </row>
    <row r="64" spans="1:122">
      <c r="A64" s="304" t="s">
        <v>723</v>
      </c>
      <c r="B64" s="306">
        <v>1</v>
      </c>
      <c r="BI64" s="304" t="s">
        <v>708</v>
      </c>
      <c r="BJ64" s="306">
        <v>0</v>
      </c>
      <c r="BK64" s="306">
        <v>0</v>
      </c>
      <c r="BL64" s="306">
        <v>0</v>
      </c>
      <c r="BM64" s="306">
        <v>0</v>
      </c>
      <c r="BN64" s="306">
        <v>0</v>
      </c>
      <c r="BO64" s="306">
        <v>45017.590801780199</v>
      </c>
      <c r="BP64" s="306">
        <v>0</v>
      </c>
      <c r="BQ64" s="306">
        <v>0</v>
      </c>
      <c r="BR64" s="306">
        <v>0</v>
      </c>
      <c r="BS64" s="306">
        <v>0</v>
      </c>
      <c r="BT64" s="306">
        <v>0</v>
      </c>
      <c r="BU64" s="306">
        <v>0</v>
      </c>
      <c r="BV64" s="306">
        <v>0</v>
      </c>
      <c r="BW64" s="306">
        <v>0</v>
      </c>
      <c r="BX64" s="306">
        <v>0</v>
      </c>
      <c r="BY64" s="306">
        <v>0</v>
      </c>
      <c r="BZ64" s="306">
        <v>0</v>
      </c>
      <c r="CA64" s="306">
        <v>0</v>
      </c>
      <c r="CB64" s="306">
        <v>0</v>
      </c>
      <c r="CC64" s="306">
        <v>0</v>
      </c>
      <c r="CD64" s="306">
        <v>0</v>
      </c>
      <c r="CE64" s="306">
        <v>0</v>
      </c>
      <c r="CF64" s="306">
        <v>0</v>
      </c>
      <c r="CG64" s="306">
        <v>0</v>
      </c>
      <c r="CH64" s="306">
        <v>0</v>
      </c>
      <c r="CI64" s="306">
        <v>0</v>
      </c>
      <c r="CJ64" s="306">
        <v>0</v>
      </c>
      <c r="CK64" s="306">
        <v>0</v>
      </c>
      <c r="CL64" s="306">
        <v>0</v>
      </c>
    </row>
    <row r="65" spans="1:90">
      <c r="A65" s="304" t="s">
        <v>674</v>
      </c>
      <c r="B65" s="306">
        <v>1</v>
      </c>
      <c r="BI65" s="304" t="s">
        <v>643</v>
      </c>
      <c r="BJ65" s="306">
        <v>0</v>
      </c>
      <c r="BK65" s="306">
        <v>0</v>
      </c>
      <c r="BL65" s="306">
        <v>0</v>
      </c>
      <c r="BM65" s="306">
        <v>0</v>
      </c>
      <c r="BN65" s="306">
        <v>0</v>
      </c>
      <c r="BO65" s="306">
        <v>0</v>
      </c>
      <c r="BP65" s="306">
        <v>0</v>
      </c>
      <c r="BQ65" s="306">
        <v>0</v>
      </c>
      <c r="BR65" s="306">
        <v>0</v>
      </c>
      <c r="BS65" s="306">
        <v>0</v>
      </c>
      <c r="BT65" s="306">
        <v>0</v>
      </c>
      <c r="BU65" s="306">
        <v>0</v>
      </c>
      <c r="BV65" s="306">
        <v>0</v>
      </c>
      <c r="BW65" s="306">
        <v>0</v>
      </c>
      <c r="BX65" s="306">
        <v>0</v>
      </c>
      <c r="BY65" s="306">
        <v>0</v>
      </c>
      <c r="BZ65" s="306">
        <v>0</v>
      </c>
      <c r="CA65" s="306">
        <v>0</v>
      </c>
      <c r="CB65" s="306">
        <v>0</v>
      </c>
      <c r="CC65" s="306">
        <v>0</v>
      </c>
      <c r="CD65" s="306">
        <v>0</v>
      </c>
      <c r="CE65" s="306">
        <v>0</v>
      </c>
      <c r="CF65" s="306">
        <v>0</v>
      </c>
      <c r="CG65" s="306">
        <v>0</v>
      </c>
      <c r="CH65" s="306">
        <v>0</v>
      </c>
      <c r="CI65" s="306">
        <v>0</v>
      </c>
      <c r="CJ65" s="306">
        <v>0</v>
      </c>
      <c r="CK65" s="306">
        <v>0</v>
      </c>
      <c r="CL65" s="306">
        <v>0</v>
      </c>
    </row>
    <row r="66" spans="1:90">
      <c r="A66" s="304" t="s">
        <v>724</v>
      </c>
      <c r="B66" s="306">
        <v>1</v>
      </c>
      <c r="BI66" s="304" t="s">
        <v>644</v>
      </c>
      <c r="BJ66" s="306">
        <v>0</v>
      </c>
      <c r="BK66" s="306">
        <v>0</v>
      </c>
      <c r="BL66" s="306">
        <v>0</v>
      </c>
      <c r="BM66" s="306">
        <v>0</v>
      </c>
      <c r="BN66" s="306">
        <v>0</v>
      </c>
      <c r="BO66" s="306">
        <v>0</v>
      </c>
      <c r="BP66" s="306">
        <v>0</v>
      </c>
      <c r="BQ66" s="306">
        <v>0</v>
      </c>
      <c r="BR66" s="306">
        <v>0</v>
      </c>
      <c r="BS66" s="306">
        <v>0</v>
      </c>
      <c r="BT66" s="306">
        <v>0</v>
      </c>
      <c r="BU66" s="306">
        <v>0</v>
      </c>
      <c r="BV66" s="306">
        <v>0</v>
      </c>
      <c r="BW66" s="306">
        <v>0</v>
      </c>
      <c r="BX66" s="306">
        <v>0</v>
      </c>
      <c r="BY66" s="306">
        <v>0</v>
      </c>
      <c r="BZ66" s="306">
        <v>0</v>
      </c>
      <c r="CA66" s="306">
        <v>0</v>
      </c>
      <c r="CB66" s="306">
        <v>0</v>
      </c>
      <c r="CC66" s="306">
        <v>0</v>
      </c>
      <c r="CD66" s="306">
        <v>0</v>
      </c>
      <c r="CE66" s="306">
        <v>0</v>
      </c>
      <c r="CF66" s="306">
        <v>0</v>
      </c>
      <c r="CG66" s="306">
        <v>0</v>
      </c>
      <c r="CH66" s="306">
        <v>0</v>
      </c>
      <c r="CI66" s="306">
        <v>0</v>
      </c>
      <c r="CJ66" s="306">
        <v>0</v>
      </c>
      <c r="CK66" s="306">
        <v>0</v>
      </c>
      <c r="CL66" s="306">
        <v>0</v>
      </c>
    </row>
    <row r="67" spans="1:90">
      <c r="A67" s="304" t="s">
        <v>725</v>
      </c>
      <c r="B67" s="306">
        <v>1</v>
      </c>
      <c r="BI67" s="304" t="s">
        <v>645</v>
      </c>
      <c r="BJ67" s="306">
        <v>6682782.3361421302</v>
      </c>
      <c r="BK67" s="306">
        <v>0</v>
      </c>
      <c r="BL67" s="306">
        <v>0</v>
      </c>
      <c r="BM67" s="306">
        <v>0</v>
      </c>
      <c r="BN67" s="306">
        <v>0</v>
      </c>
      <c r="BO67" s="306">
        <v>0</v>
      </c>
      <c r="BP67" s="306">
        <v>0</v>
      </c>
      <c r="BQ67" s="306">
        <v>0</v>
      </c>
      <c r="BR67" s="306">
        <v>0</v>
      </c>
      <c r="BS67" s="306">
        <v>0</v>
      </c>
      <c r="BT67" s="306">
        <v>0</v>
      </c>
      <c r="BU67" s="306">
        <v>0</v>
      </c>
      <c r="BV67" s="306">
        <v>0</v>
      </c>
      <c r="BW67" s="306">
        <v>0</v>
      </c>
      <c r="BX67" s="306">
        <v>0</v>
      </c>
      <c r="BY67" s="306">
        <v>0</v>
      </c>
      <c r="BZ67" s="306">
        <v>0</v>
      </c>
      <c r="CA67" s="306">
        <v>0</v>
      </c>
      <c r="CB67" s="306">
        <v>0</v>
      </c>
      <c r="CC67" s="306">
        <v>0</v>
      </c>
      <c r="CD67" s="306">
        <v>0</v>
      </c>
      <c r="CE67" s="306">
        <v>0</v>
      </c>
      <c r="CF67" s="306">
        <v>0</v>
      </c>
      <c r="CG67" s="306">
        <v>0</v>
      </c>
      <c r="CH67" s="306">
        <v>0</v>
      </c>
      <c r="CI67" s="306">
        <v>0</v>
      </c>
      <c r="CJ67" s="306">
        <v>0</v>
      </c>
      <c r="CK67" s="306">
        <v>0</v>
      </c>
      <c r="CL67" s="306">
        <v>0</v>
      </c>
    </row>
    <row r="68" spans="1:90">
      <c r="A68" s="304" t="s">
        <v>726</v>
      </c>
      <c r="B68" s="306">
        <v>1</v>
      </c>
      <c r="BI68" s="304" t="s">
        <v>646</v>
      </c>
      <c r="BJ68" s="306">
        <v>0</v>
      </c>
      <c r="BK68" s="306">
        <v>0</v>
      </c>
      <c r="BL68" s="306">
        <v>0</v>
      </c>
      <c r="BM68" s="306">
        <v>0</v>
      </c>
      <c r="BN68" s="306">
        <v>0</v>
      </c>
      <c r="BO68" s="306">
        <v>0</v>
      </c>
      <c r="BP68" s="306">
        <v>0</v>
      </c>
      <c r="BQ68" s="306">
        <v>0</v>
      </c>
      <c r="BR68" s="306">
        <v>8855804.3203369807</v>
      </c>
      <c r="BS68" s="306">
        <v>0</v>
      </c>
      <c r="BT68" s="306">
        <v>0</v>
      </c>
      <c r="BU68" s="306">
        <v>0</v>
      </c>
      <c r="BV68" s="306">
        <v>0</v>
      </c>
      <c r="BW68" s="306">
        <v>0</v>
      </c>
      <c r="BX68" s="306">
        <v>0</v>
      </c>
      <c r="BY68" s="306">
        <v>0</v>
      </c>
      <c r="BZ68" s="306">
        <v>0</v>
      </c>
      <c r="CA68" s="306">
        <v>0</v>
      </c>
      <c r="CB68" s="306">
        <v>0</v>
      </c>
      <c r="CC68" s="306">
        <v>0</v>
      </c>
      <c r="CD68" s="306">
        <v>0</v>
      </c>
      <c r="CE68" s="306">
        <v>0</v>
      </c>
      <c r="CF68" s="306">
        <v>0</v>
      </c>
      <c r="CG68" s="306">
        <v>0</v>
      </c>
      <c r="CH68" s="306">
        <v>0</v>
      </c>
      <c r="CI68" s="306">
        <v>0</v>
      </c>
      <c r="CJ68" s="306">
        <v>0</v>
      </c>
      <c r="CK68" s="306">
        <v>0</v>
      </c>
      <c r="CL68" s="306">
        <v>0</v>
      </c>
    </row>
    <row r="69" spans="1:90">
      <c r="A69" s="304" t="s">
        <v>778</v>
      </c>
      <c r="B69" s="306">
        <v>1</v>
      </c>
      <c r="BI69" s="304" t="s">
        <v>647</v>
      </c>
      <c r="BJ69" s="306">
        <v>0</v>
      </c>
      <c r="BK69" s="306">
        <v>0</v>
      </c>
      <c r="BL69" s="306">
        <v>0</v>
      </c>
      <c r="BM69" s="306">
        <v>8855804.3203369807</v>
      </c>
      <c r="BN69" s="306">
        <v>0</v>
      </c>
      <c r="BO69" s="306">
        <v>0</v>
      </c>
      <c r="BP69" s="306">
        <v>0</v>
      </c>
      <c r="BQ69" s="306">
        <v>0</v>
      </c>
      <c r="BR69" s="306">
        <v>0</v>
      </c>
      <c r="BS69" s="306">
        <v>0</v>
      </c>
      <c r="BT69" s="306">
        <v>0</v>
      </c>
      <c r="BU69" s="306">
        <v>0</v>
      </c>
      <c r="BV69" s="306">
        <v>0</v>
      </c>
      <c r="BW69" s="306">
        <v>0</v>
      </c>
      <c r="BX69" s="306">
        <v>0</v>
      </c>
      <c r="BY69" s="306">
        <v>0</v>
      </c>
      <c r="BZ69" s="306">
        <v>0</v>
      </c>
      <c r="CA69" s="306">
        <v>0</v>
      </c>
      <c r="CB69" s="306">
        <v>0</v>
      </c>
      <c r="CC69" s="306">
        <v>0</v>
      </c>
      <c r="CD69" s="306">
        <v>0</v>
      </c>
      <c r="CE69" s="306">
        <v>0</v>
      </c>
      <c r="CF69" s="306">
        <v>0</v>
      </c>
      <c r="CG69" s="306">
        <v>0</v>
      </c>
      <c r="CH69" s="306">
        <v>0</v>
      </c>
      <c r="CI69" s="306">
        <v>0</v>
      </c>
      <c r="CJ69" s="306">
        <v>0</v>
      </c>
      <c r="CK69" s="306">
        <v>0</v>
      </c>
      <c r="CL69" s="306">
        <v>0</v>
      </c>
    </row>
    <row r="70" spans="1:90">
      <c r="A70" s="304" t="s">
        <v>779</v>
      </c>
      <c r="B70" s="306">
        <v>1</v>
      </c>
      <c r="BI70" s="304" t="s">
        <v>648</v>
      </c>
      <c r="BJ70" s="306">
        <v>0</v>
      </c>
      <c r="BK70" s="306">
        <v>8855804.3203369807</v>
      </c>
      <c r="BL70" s="306">
        <v>0</v>
      </c>
      <c r="BM70" s="306">
        <v>0</v>
      </c>
      <c r="BN70" s="306">
        <v>0</v>
      </c>
      <c r="BO70" s="306">
        <v>0</v>
      </c>
      <c r="BP70" s="306">
        <v>0</v>
      </c>
      <c r="BQ70" s="306">
        <v>0</v>
      </c>
      <c r="BR70" s="306">
        <v>0</v>
      </c>
      <c r="BS70" s="306">
        <v>0</v>
      </c>
      <c r="BT70" s="306">
        <v>0</v>
      </c>
      <c r="BU70" s="306">
        <v>0</v>
      </c>
      <c r="BV70" s="306">
        <v>0</v>
      </c>
      <c r="BW70" s="306">
        <v>0</v>
      </c>
      <c r="BX70" s="306">
        <v>0</v>
      </c>
      <c r="BY70" s="306">
        <v>0</v>
      </c>
      <c r="BZ70" s="306">
        <v>0</v>
      </c>
      <c r="CA70" s="306">
        <v>0</v>
      </c>
      <c r="CB70" s="306">
        <v>0</v>
      </c>
      <c r="CC70" s="306">
        <v>0</v>
      </c>
      <c r="CD70" s="306">
        <v>0</v>
      </c>
      <c r="CE70" s="306">
        <v>0</v>
      </c>
      <c r="CF70" s="306">
        <v>0</v>
      </c>
      <c r="CG70" s="306">
        <v>0</v>
      </c>
      <c r="CH70" s="306">
        <v>0</v>
      </c>
      <c r="CI70" s="306">
        <v>0</v>
      </c>
      <c r="CJ70" s="306">
        <v>0</v>
      </c>
      <c r="CK70" s="306">
        <v>0</v>
      </c>
      <c r="CL70" s="306">
        <v>0</v>
      </c>
    </row>
    <row r="71" spans="1:90">
      <c r="A71" s="304" t="s">
        <v>675</v>
      </c>
      <c r="B71" s="306">
        <v>1</v>
      </c>
      <c r="BI71" s="304" t="s">
        <v>649</v>
      </c>
      <c r="BJ71" s="306">
        <v>0</v>
      </c>
      <c r="BK71" s="306">
        <v>0</v>
      </c>
      <c r="BL71" s="306">
        <v>8850991.3601140399</v>
      </c>
      <c r="BM71" s="306">
        <v>0</v>
      </c>
      <c r="BN71" s="306">
        <v>0</v>
      </c>
      <c r="BO71" s="306">
        <v>0</v>
      </c>
      <c r="BP71" s="306">
        <v>0</v>
      </c>
      <c r="BQ71" s="306">
        <v>0</v>
      </c>
      <c r="BR71" s="306">
        <v>0</v>
      </c>
      <c r="BS71" s="306">
        <v>0</v>
      </c>
      <c r="BT71" s="306">
        <v>0</v>
      </c>
      <c r="BU71" s="306">
        <v>0</v>
      </c>
      <c r="BV71" s="306">
        <v>0</v>
      </c>
      <c r="BW71" s="306">
        <v>0</v>
      </c>
      <c r="BX71" s="306">
        <v>0</v>
      </c>
      <c r="BY71" s="306">
        <v>0</v>
      </c>
      <c r="BZ71" s="306">
        <v>0</v>
      </c>
      <c r="CA71" s="306">
        <v>0</v>
      </c>
      <c r="CB71" s="306">
        <v>0</v>
      </c>
      <c r="CC71" s="306">
        <v>0</v>
      </c>
      <c r="CD71" s="306">
        <v>0</v>
      </c>
      <c r="CE71" s="306">
        <v>0</v>
      </c>
      <c r="CF71" s="306">
        <v>0</v>
      </c>
      <c r="CG71" s="306">
        <v>0</v>
      </c>
      <c r="CH71" s="306">
        <v>0</v>
      </c>
      <c r="CI71" s="306">
        <v>0</v>
      </c>
      <c r="CJ71" s="306">
        <v>0</v>
      </c>
      <c r="CK71" s="306">
        <v>0</v>
      </c>
      <c r="CL71" s="306">
        <v>0</v>
      </c>
    </row>
    <row r="72" spans="1:90">
      <c r="A72" s="304" t="s">
        <v>676</v>
      </c>
      <c r="B72" s="306">
        <v>1</v>
      </c>
      <c r="BI72" s="304" t="s">
        <v>650</v>
      </c>
      <c r="BJ72" s="306">
        <v>0</v>
      </c>
      <c r="BK72" s="306">
        <v>0</v>
      </c>
      <c r="BL72" s="306">
        <v>0</v>
      </c>
      <c r="BM72" s="306">
        <v>0</v>
      </c>
      <c r="BN72" s="306">
        <v>0</v>
      </c>
      <c r="BO72" s="306">
        <v>0</v>
      </c>
      <c r="BP72" s="306">
        <v>0</v>
      </c>
      <c r="BQ72" s="306">
        <v>4026178.1360752499</v>
      </c>
      <c r="BR72" s="306">
        <v>0</v>
      </c>
      <c r="BS72" s="306">
        <v>0</v>
      </c>
      <c r="BT72" s="306">
        <v>0</v>
      </c>
      <c r="BU72" s="306">
        <v>0</v>
      </c>
      <c r="BV72" s="306">
        <v>0</v>
      </c>
      <c r="BW72" s="306">
        <v>0</v>
      </c>
      <c r="BX72" s="306">
        <v>0</v>
      </c>
      <c r="BY72" s="306">
        <v>0</v>
      </c>
      <c r="BZ72" s="306">
        <v>0</v>
      </c>
      <c r="CA72" s="306">
        <v>0</v>
      </c>
      <c r="CB72" s="306">
        <v>0</v>
      </c>
      <c r="CC72" s="306">
        <v>0</v>
      </c>
      <c r="CD72" s="306">
        <v>0</v>
      </c>
      <c r="CE72" s="306">
        <v>0</v>
      </c>
      <c r="CF72" s="306">
        <v>0</v>
      </c>
      <c r="CG72" s="306">
        <v>0</v>
      </c>
      <c r="CH72" s="306">
        <v>0</v>
      </c>
      <c r="CI72" s="306">
        <v>0</v>
      </c>
      <c r="CJ72" s="306">
        <v>0</v>
      </c>
      <c r="CK72" s="306">
        <v>0</v>
      </c>
      <c r="CL72" s="306">
        <v>0</v>
      </c>
    </row>
    <row r="73" spans="1:90">
      <c r="A73" s="304" t="s">
        <v>677</v>
      </c>
      <c r="B73" s="306">
        <v>1</v>
      </c>
      <c r="BI73" s="304" t="s">
        <v>709</v>
      </c>
      <c r="BJ73" s="306">
        <v>0</v>
      </c>
      <c r="BK73" s="306">
        <v>0</v>
      </c>
      <c r="BL73" s="306">
        <v>0</v>
      </c>
      <c r="BM73" s="306">
        <v>0</v>
      </c>
      <c r="BN73" s="306">
        <v>0</v>
      </c>
      <c r="BO73" s="306">
        <v>66251.174567632304</v>
      </c>
      <c r="BP73" s="306">
        <v>0</v>
      </c>
      <c r="BQ73" s="306">
        <v>0</v>
      </c>
      <c r="BR73" s="306">
        <v>0</v>
      </c>
      <c r="BS73" s="306">
        <v>0</v>
      </c>
      <c r="BT73" s="306">
        <v>0</v>
      </c>
      <c r="BU73" s="306">
        <v>0</v>
      </c>
      <c r="BV73" s="306">
        <v>0</v>
      </c>
      <c r="BW73" s="306">
        <v>0</v>
      </c>
      <c r="BX73" s="306">
        <v>0</v>
      </c>
      <c r="BY73" s="306">
        <v>0</v>
      </c>
      <c r="BZ73" s="306">
        <v>0</v>
      </c>
      <c r="CA73" s="306">
        <v>0</v>
      </c>
      <c r="CB73" s="306">
        <v>0</v>
      </c>
      <c r="CC73" s="306">
        <v>0</v>
      </c>
      <c r="CD73" s="306">
        <v>0</v>
      </c>
      <c r="CE73" s="306">
        <v>0</v>
      </c>
      <c r="CF73" s="306">
        <v>0</v>
      </c>
      <c r="CG73" s="306">
        <v>0</v>
      </c>
      <c r="CH73" s="306">
        <v>0</v>
      </c>
      <c r="CI73" s="306">
        <v>0</v>
      </c>
      <c r="CJ73" s="306">
        <v>0</v>
      </c>
      <c r="CK73" s="306">
        <v>0</v>
      </c>
      <c r="CL73" s="306">
        <v>0</v>
      </c>
    </row>
    <row r="74" spans="1:90">
      <c r="A74" s="304" t="s">
        <v>780</v>
      </c>
      <c r="B74" s="306">
        <v>1</v>
      </c>
      <c r="BI74" s="304" t="s">
        <v>651</v>
      </c>
      <c r="BJ74" s="306">
        <v>11826.742854693801</v>
      </c>
      <c r="BK74" s="306">
        <v>0</v>
      </c>
      <c r="BL74" s="306">
        <v>30.954464502133501</v>
      </c>
      <c r="BM74" s="306">
        <v>0</v>
      </c>
      <c r="BN74" s="306">
        <v>0</v>
      </c>
      <c r="BO74" s="306">
        <v>0</v>
      </c>
      <c r="BP74" s="306">
        <v>0</v>
      </c>
      <c r="BQ74" s="306">
        <v>0</v>
      </c>
      <c r="BR74" s="306">
        <v>14491.848717543</v>
      </c>
      <c r="BS74" s="306">
        <v>0</v>
      </c>
      <c r="BT74" s="306">
        <v>0</v>
      </c>
      <c r="BU74" s="306">
        <v>125.026374728874</v>
      </c>
      <c r="BV74" s="306">
        <v>0</v>
      </c>
      <c r="BW74" s="306">
        <v>0</v>
      </c>
      <c r="BX74" s="306">
        <v>0.374842703513311</v>
      </c>
      <c r="BY74" s="306">
        <v>0</v>
      </c>
      <c r="BZ74" s="306">
        <v>0</v>
      </c>
      <c r="CA74" s="306">
        <v>0</v>
      </c>
      <c r="CB74" s="306">
        <v>0</v>
      </c>
      <c r="CC74" s="306">
        <v>0</v>
      </c>
      <c r="CD74" s="306">
        <v>0</v>
      </c>
      <c r="CE74" s="306">
        <v>0</v>
      </c>
      <c r="CF74" s="306">
        <v>0</v>
      </c>
      <c r="CG74" s="306">
        <v>0</v>
      </c>
      <c r="CH74" s="306">
        <v>0</v>
      </c>
      <c r="CI74" s="306">
        <v>0</v>
      </c>
      <c r="CJ74" s="306">
        <v>0</v>
      </c>
      <c r="CK74" s="306">
        <v>2671.5132120132398</v>
      </c>
      <c r="CL74" s="306">
        <v>0</v>
      </c>
    </row>
    <row r="75" spans="1:90">
      <c r="A75" s="304" t="s">
        <v>727</v>
      </c>
      <c r="B75" s="306">
        <v>1</v>
      </c>
      <c r="BI75" s="304" t="s">
        <v>652</v>
      </c>
      <c r="BJ75" s="306">
        <v>0</v>
      </c>
      <c r="BK75" s="306">
        <v>0</v>
      </c>
      <c r="BL75" s="306">
        <v>0</v>
      </c>
      <c r="BM75" s="306">
        <v>0</v>
      </c>
      <c r="BN75" s="306">
        <v>0</v>
      </c>
      <c r="BO75" s="306">
        <v>0</v>
      </c>
      <c r="BP75" s="306">
        <v>0</v>
      </c>
      <c r="BQ75" s="306">
        <v>0</v>
      </c>
      <c r="BR75" s="306">
        <v>0</v>
      </c>
      <c r="BS75" s="306">
        <v>0</v>
      </c>
      <c r="BT75" s="306">
        <v>0</v>
      </c>
      <c r="BU75" s="306">
        <v>0</v>
      </c>
      <c r="BV75" s="306">
        <v>0</v>
      </c>
      <c r="BW75" s="306">
        <v>0</v>
      </c>
      <c r="BX75" s="306">
        <v>0</v>
      </c>
      <c r="BY75" s="306">
        <v>0</v>
      </c>
      <c r="BZ75" s="306">
        <v>0</v>
      </c>
      <c r="CA75" s="306">
        <v>0</v>
      </c>
      <c r="CB75" s="306">
        <v>0</v>
      </c>
      <c r="CC75" s="306">
        <v>0</v>
      </c>
      <c r="CD75" s="306">
        <v>0</v>
      </c>
      <c r="CE75" s="306">
        <v>0</v>
      </c>
      <c r="CF75" s="306">
        <v>0</v>
      </c>
      <c r="CG75" s="306">
        <v>0</v>
      </c>
      <c r="CH75" s="306">
        <v>0</v>
      </c>
      <c r="CI75" s="306">
        <v>0</v>
      </c>
      <c r="CJ75" s="306">
        <v>0</v>
      </c>
      <c r="CK75" s="306">
        <v>0</v>
      </c>
      <c r="CL75" s="306">
        <v>0</v>
      </c>
    </row>
    <row r="76" spans="1:90">
      <c r="A76" s="304" t="s">
        <v>728</v>
      </c>
      <c r="B76" s="306">
        <v>1</v>
      </c>
      <c r="BI76" s="304" t="s">
        <v>653</v>
      </c>
      <c r="BJ76" s="306">
        <v>0</v>
      </c>
      <c r="BK76" s="306">
        <v>0</v>
      </c>
      <c r="BL76" s="306">
        <v>0</v>
      </c>
      <c r="BM76" s="306">
        <v>0</v>
      </c>
      <c r="BN76" s="306">
        <v>0</v>
      </c>
      <c r="BO76" s="306">
        <v>0</v>
      </c>
      <c r="BP76" s="306">
        <v>0</v>
      </c>
      <c r="BQ76" s="306">
        <v>0</v>
      </c>
      <c r="BR76" s="306">
        <v>0</v>
      </c>
      <c r="BS76" s="306">
        <v>0</v>
      </c>
      <c r="BT76" s="306">
        <v>0</v>
      </c>
      <c r="BU76" s="306">
        <v>0</v>
      </c>
      <c r="BV76" s="306">
        <v>0</v>
      </c>
      <c r="BW76" s="306">
        <v>0</v>
      </c>
      <c r="BX76" s="306">
        <v>0</v>
      </c>
      <c r="BY76" s="306">
        <v>0</v>
      </c>
      <c r="BZ76" s="306">
        <v>0</v>
      </c>
      <c r="CA76" s="306">
        <v>0</v>
      </c>
      <c r="CB76" s="306">
        <v>0</v>
      </c>
      <c r="CC76" s="306">
        <v>0</v>
      </c>
      <c r="CD76" s="306">
        <v>0</v>
      </c>
      <c r="CE76" s="306">
        <v>0</v>
      </c>
      <c r="CF76" s="306">
        <v>0</v>
      </c>
      <c r="CG76" s="306">
        <v>0</v>
      </c>
      <c r="CH76" s="306">
        <v>0</v>
      </c>
      <c r="CI76" s="306">
        <v>0</v>
      </c>
      <c r="CJ76" s="306">
        <v>0</v>
      </c>
      <c r="CK76" s="306">
        <v>0</v>
      </c>
      <c r="CL76" s="306">
        <v>0</v>
      </c>
    </row>
    <row r="77" spans="1:90">
      <c r="A77" s="304"/>
      <c r="B77" s="390" t="s">
        <v>707</v>
      </c>
      <c r="BI77" s="304" t="s">
        <v>654</v>
      </c>
      <c r="BJ77" s="306">
        <v>0</v>
      </c>
      <c r="BK77" s="306">
        <v>0</v>
      </c>
      <c r="BL77" s="306">
        <v>0</v>
      </c>
      <c r="BM77" s="306">
        <v>0</v>
      </c>
      <c r="BN77" s="306">
        <v>0</v>
      </c>
      <c r="BO77" s="306">
        <v>0</v>
      </c>
      <c r="BP77" s="306">
        <v>0</v>
      </c>
      <c r="BQ77" s="306">
        <v>0</v>
      </c>
      <c r="BR77" s="306">
        <v>0</v>
      </c>
      <c r="BS77" s="306">
        <v>0</v>
      </c>
      <c r="BT77" s="306">
        <v>0</v>
      </c>
      <c r="BU77" s="306">
        <v>0</v>
      </c>
      <c r="BV77" s="306">
        <v>0</v>
      </c>
      <c r="BW77" s="306">
        <v>0</v>
      </c>
      <c r="BX77" s="306">
        <v>0</v>
      </c>
      <c r="BY77" s="306">
        <v>0</v>
      </c>
      <c r="BZ77" s="306">
        <v>0</v>
      </c>
      <c r="CA77" s="306">
        <v>0</v>
      </c>
      <c r="CB77" s="306">
        <v>0</v>
      </c>
      <c r="CC77" s="306">
        <v>0</v>
      </c>
      <c r="CD77" s="306">
        <v>0</v>
      </c>
      <c r="CE77" s="306">
        <v>0</v>
      </c>
      <c r="CF77" s="306">
        <v>0</v>
      </c>
      <c r="CG77" s="306">
        <v>0</v>
      </c>
      <c r="CH77" s="306">
        <v>0</v>
      </c>
      <c r="CI77" s="306">
        <v>0</v>
      </c>
      <c r="CJ77" s="306">
        <v>0</v>
      </c>
      <c r="CK77" s="306">
        <v>0</v>
      </c>
      <c r="CL77" s="306">
        <v>0</v>
      </c>
    </row>
    <row r="78" spans="1:90">
      <c r="BI78" s="304" t="s">
        <v>655</v>
      </c>
      <c r="BJ78" s="306">
        <v>0</v>
      </c>
      <c r="BK78" s="306">
        <v>0</v>
      </c>
      <c r="BL78" s="306">
        <v>0</v>
      </c>
      <c r="BM78" s="306">
        <v>0</v>
      </c>
      <c r="BN78" s="306">
        <v>0</v>
      </c>
      <c r="BO78" s="306">
        <v>0</v>
      </c>
      <c r="BP78" s="306">
        <v>0</v>
      </c>
      <c r="BQ78" s="306">
        <v>0</v>
      </c>
      <c r="BR78" s="306">
        <v>0</v>
      </c>
      <c r="BS78" s="306">
        <v>0</v>
      </c>
      <c r="BT78" s="306">
        <v>0</v>
      </c>
      <c r="BU78" s="306">
        <v>0</v>
      </c>
      <c r="BV78" s="306">
        <v>0</v>
      </c>
      <c r="BW78" s="306">
        <v>0</v>
      </c>
      <c r="BX78" s="306">
        <v>0</v>
      </c>
      <c r="BY78" s="306">
        <v>0</v>
      </c>
      <c r="BZ78" s="306">
        <v>0</v>
      </c>
      <c r="CA78" s="306">
        <v>0</v>
      </c>
      <c r="CB78" s="306">
        <v>0</v>
      </c>
      <c r="CC78" s="306">
        <v>0</v>
      </c>
      <c r="CD78" s="306">
        <v>0</v>
      </c>
      <c r="CE78" s="306">
        <v>0</v>
      </c>
      <c r="CF78" s="306">
        <v>0</v>
      </c>
      <c r="CG78" s="306">
        <v>0</v>
      </c>
      <c r="CH78" s="306">
        <v>0</v>
      </c>
      <c r="CI78" s="306">
        <v>0</v>
      </c>
      <c r="CJ78" s="306">
        <v>0</v>
      </c>
      <c r="CK78" s="306">
        <v>0</v>
      </c>
      <c r="CL78" s="306">
        <v>0</v>
      </c>
    </row>
    <row r="79" spans="1:90">
      <c r="BI79" s="304" t="s">
        <v>710</v>
      </c>
      <c r="BJ79" s="306">
        <v>0</v>
      </c>
      <c r="BK79" s="306">
        <v>0</v>
      </c>
      <c r="BL79" s="306">
        <v>0</v>
      </c>
      <c r="BM79" s="306">
        <v>0</v>
      </c>
      <c r="BN79" s="306">
        <v>0</v>
      </c>
      <c r="BO79" s="306">
        <v>0</v>
      </c>
      <c r="BP79" s="306">
        <v>0</v>
      </c>
      <c r="BQ79" s="306">
        <v>0</v>
      </c>
      <c r="BR79" s="306">
        <v>0</v>
      </c>
      <c r="BS79" s="306">
        <v>0</v>
      </c>
      <c r="BT79" s="306">
        <v>0</v>
      </c>
      <c r="BU79" s="306">
        <v>0</v>
      </c>
      <c r="BV79" s="306">
        <v>0</v>
      </c>
      <c r="BW79" s="306">
        <v>0</v>
      </c>
      <c r="BX79" s="306">
        <v>0</v>
      </c>
      <c r="BY79" s="306">
        <v>0</v>
      </c>
      <c r="BZ79" s="306">
        <v>0</v>
      </c>
      <c r="CA79" s="306">
        <v>0</v>
      </c>
      <c r="CB79" s="306">
        <v>0</v>
      </c>
      <c r="CC79" s="306">
        <v>0</v>
      </c>
      <c r="CD79" s="306">
        <v>0</v>
      </c>
      <c r="CE79" s="306">
        <v>0</v>
      </c>
      <c r="CF79" s="306">
        <v>0</v>
      </c>
      <c r="CG79" s="306">
        <v>0</v>
      </c>
      <c r="CH79" s="306">
        <v>0</v>
      </c>
      <c r="CI79" s="306">
        <v>0</v>
      </c>
      <c r="CJ79" s="306">
        <v>91837.795018258301</v>
      </c>
      <c r="CK79" s="306">
        <v>0</v>
      </c>
      <c r="CL79" s="306">
        <v>0</v>
      </c>
    </row>
    <row r="80" spans="1:90">
      <c r="BI80" s="304" t="s">
        <v>711</v>
      </c>
      <c r="BJ80" s="306">
        <v>0</v>
      </c>
      <c r="BK80" s="306">
        <v>0</v>
      </c>
      <c r="BL80" s="306">
        <v>0</v>
      </c>
      <c r="BM80" s="306">
        <v>0</v>
      </c>
      <c r="BN80" s="306">
        <v>0</v>
      </c>
      <c r="BO80" s="306">
        <v>0</v>
      </c>
      <c r="BP80" s="306">
        <v>0</v>
      </c>
      <c r="BQ80" s="306">
        <v>0</v>
      </c>
      <c r="BR80" s="306">
        <v>0</v>
      </c>
      <c r="BS80" s="306">
        <v>0</v>
      </c>
      <c r="BT80" s="306">
        <v>0</v>
      </c>
      <c r="BU80" s="306">
        <v>0</v>
      </c>
      <c r="BV80" s="306">
        <v>0</v>
      </c>
      <c r="BW80" s="306">
        <v>0</v>
      </c>
      <c r="BX80" s="306">
        <v>0</v>
      </c>
      <c r="BY80" s="306">
        <v>0</v>
      </c>
      <c r="BZ80" s="306">
        <v>0</v>
      </c>
      <c r="CA80" s="306">
        <v>0</v>
      </c>
      <c r="CB80" s="306">
        <v>0</v>
      </c>
      <c r="CC80" s="306">
        <v>0</v>
      </c>
      <c r="CD80" s="306">
        <v>0</v>
      </c>
      <c r="CE80" s="306">
        <v>0</v>
      </c>
      <c r="CF80" s="306">
        <v>0</v>
      </c>
      <c r="CG80" s="306">
        <v>0</v>
      </c>
      <c r="CH80" s="306">
        <v>0</v>
      </c>
      <c r="CI80" s="306">
        <v>290.15291867903898</v>
      </c>
      <c r="CJ80" s="306">
        <v>0</v>
      </c>
      <c r="CK80" s="306">
        <v>0</v>
      </c>
      <c r="CL80" s="306">
        <v>0</v>
      </c>
    </row>
    <row r="81" spans="61:90">
      <c r="BI81" s="304" t="s">
        <v>656</v>
      </c>
      <c r="BJ81" s="306">
        <v>318930.104231745</v>
      </c>
      <c r="BK81" s="306">
        <v>50.358084153937803</v>
      </c>
      <c r="BL81" s="306">
        <v>80616.370239891301</v>
      </c>
      <c r="BM81" s="306">
        <v>282.12877103151499</v>
      </c>
      <c r="BN81" s="306">
        <v>0</v>
      </c>
      <c r="BO81" s="306">
        <v>0</v>
      </c>
      <c r="BP81" s="306">
        <v>0</v>
      </c>
      <c r="BQ81" s="306">
        <v>33191.859393697501</v>
      </c>
      <c r="BR81" s="306">
        <v>0</v>
      </c>
      <c r="BS81" s="306">
        <v>0</v>
      </c>
      <c r="BT81" s="306">
        <v>12626.098826338701</v>
      </c>
      <c r="BU81" s="306">
        <v>0</v>
      </c>
      <c r="BV81" s="306">
        <v>609792.25175934797</v>
      </c>
      <c r="BW81" s="306">
        <v>34.678095164115</v>
      </c>
      <c r="BX81" s="306">
        <v>0</v>
      </c>
      <c r="BY81" s="306">
        <v>2824.8856477449199</v>
      </c>
      <c r="BZ81" s="306">
        <v>0</v>
      </c>
      <c r="CA81" s="306">
        <v>0</v>
      </c>
      <c r="CB81" s="306">
        <v>0</v>
      </c>
      <c r="CC81" s="306">
        <v>0</v>
      </c>
      <c r="CD81" s="306">
        <v>0</v>
      </c>
      <c r="CE81" s="306">
        <v>0</v>
      </c>
      <c r="CF81" s="306">
        <v>0</v>
      </c>
      <c r="CG81" s="306">
        <v>0</v>
      </c>
      <c r="CH81" s="306">
        <v>0</v>
      </c>
      <c r="CI81" s="306">
        <v>0</v>
      </c>
      <c r="CJ81" s="306">
        <v>0</v>
      </c>
      <c r="CK81" s="306">
        <v>0</v>
      </c>
      <c r="CL81" s="306">
        <v>0</v>
      </c>
    </row>
    <row r="82" spans="61:90">
      <c r="BI82" s="304" t="s">
        <v>657</v>
      </c>
      <c r="BJ82" s="306">
        <v>29112.263489807599</v>
      </c>
      <c r="BK82" s="306">
        <v>0</v>
      </c>
      <c r="BL82" s="306">
        <v>0</v>
      </c>
      <c r="BM82" s="306">
        <v>0</v>
      </c>
      <c r="BN82" s="306">
        <v>0</v>
      </c>
      <c r="BO82" s="306">
        <v>0</v>
      </c>
      <c r="BP82" s="306">
        <v>0</v>
      </c>
      <c r="BQ82" s="306">
        <v>0</v>
      </c>
      <c r="BR82" s="306">
        <v>0</v>
      </c>
      <c r="BS82" s="306">
        <v>0</v>
      </c>
      <c r="BT82" s="306">
        <v>0</v>
      </c>
      <c r="BU82" s="306">
        <v>0</v>
      </c>
      <c r="BV82" s="306">
        <v>0</v>
      </c>
      <c r="BW82" s="306">
        <v>0</v>
      </c>
      <c r="BX82" s="306">
        <v>0</v>
      </c>
      <c r="BY82" s="306">
        <v>0</v>
      </c>
      <c r="BZ82" s="306">
        <v>0</v>
      </c>
      <c r="CA82" s="306">
        <v>0</v>
      </c>
      <c r="CB82" s="306">
        <v>0</v>
      </c>
      <c r="CC82" s="306">
        <v>0</v>
      </c>
      <c r="CD82" s="306">
        <v>0</v>
      </c>
      <c r="CE82" s="306">
        <v>0</v>
      </c>
      <c r="CF82" s="306">
        <v>0</v>
      </c>
      <c r="CG82" s="306">
        <v>0</v>
      </c>
      <c r="CH82" s="306">
        <v>0</v>
      </c>
      <c r="CI82" s="306">
        <v>0</v>
      </c>
      <c r="CJ82" s="306">
        <v>0</v>
      </c>
      <c r="CK82" s="306">
        <v>0</v>
      </c>
      <c r="CL82" s="306">
        <v>0</v>
      </c>
    </row>
    <row r="83" spans="61:90">
      <c r="BI83" s="304" t="s">
        <v>658</v>
      </c>
      <c r="BJ83" s="306">
        <v>0</v>
      </c>
      <c r="BK83" s="306">
        <v>0</v>
      </c>
      <c r="BL83" s="306">
        <v>23309.045257575199</v>
      </c>
      <c r="BM83" s="306">
        <v>0</v>
      </c>
      <c r="BN83" s="306">
        <v>0</v>
      </c>
      <c r="BO83" s="306">
        <v>0</v>
      </c>
      <c r="BP83" s="306">
        <v>0</v>
      </c>
      <c r="BQ83" s="306">
        <v>0</v>
      </c>
      <c r="BR83" s="306">
        <v>0</v>
      </c>
      <c r="BS83" s="306">
        <v>0</v>
      </c>
      <c r="BT83" s="306">
        <v>0</v>
      </c>
      <c r="BU83" s="306">
        <v>94146.207140653802</v>
      </c>
      <c r="BV83" s="306">
        <v>0</v>
      </c>
      <c r="BW83" s="306">
        <v>0</v>
      </c>
      <c r="BX83" s="306">
        <v>257.99399332425401</v>
      </c>
      <c r="BY83" s="306">
        <v>0</v>
      </c>
      <c r="BZ83" s="306">
        <v>2511.39821094118</v>
      </c>
      <c r="CA83" s="306">
        <v>0</v>
      </c>
      <c r="CB83" s="306">
        <v>0</v>
      </c>
      <c r="CC83" s="306">
        <v>0</v>
      </c>
      <c r="CD83" s="306">
        <v>0</v>
      </c>
      <c r="CE83" s="306">
        <v>0</v>
      </c>
      <c r="CF83" s="306">
        <v>0</v>
      </c>
      <c r="CG83" s="306">
        <v>0</v>
      </c>
      <c r="CH83" s="306">
        <v>0</v>
      </c>
      <c r="CI83" s="306">
        <v>0</v>
      </c>
      <c r="CJ83" s="306">
        <v>0</v>
      </c>
      <c r="CK83" s="306">
        <v>0</v>
      </c>
      <c r="CL83" s="306">
        <v>0</v>
      </c>
    </row>
    <row r="84" spans="61:90">
      <c r="BI84" s="304" t="s">
        <v>712</v>
      </c>
      <c r="BJ84" s="306">
        <v>0</v>
      </c>
      <c r="BK84" s="306">
        <v>0</v>
      </c>
      <c r="BL84" s="306">
        <v>0</v>
      </c>
      <c r="BM84" s="306">
        <v>0</v>
      </c>
      <c r="BN84" s="306">
        <v>0</v>
      </c>
      <c r="BO84" s="306">
        <v>0</v>
      </c>
      <c r="BP84" s="306">
        <v>0</v>
      </c>
      <c r="BQ84" s="306">
        <v>0</v>
      </c>
      <c r="BR84" s="306">
        <v>0</v>
      </c>
      <c r="BS84" s="306">
        <v>0</v>
      </c>
      <c r="BT84" s="306">
        <v>0</v>
      </c>
      <c r="BU84" s="306">
        <v>0</v>
      </c>
      <c r="BV84" s="306">
        <v>0</v>
      </c>
      <c r="BW84" s="306">
        <v>0</v>
      </c>
      <c r="BX84" s="306">
        <v>0</v>
      </c>
      <c r="BY84" s="306">
        <v>0</v>
      </c>
      <c r="BZ84" s="306">
        <v>4830.4442158522497</v>
      </c>
      <c r="CA84" s="306">
        <v>0</v>
      </c>
      <c r="CB84" s="306">
        <v>0</v>
      </c>
      <c r="CC84" s="306">
        <v>0</v>
      </c>
      <c r="CD84" s="306">
        <v>0</v>
      </c>
      <c r="CE84" s="306">
        <v>0</v>
      </c>
      <c r="CF84" s="306">
        <v>0</v>
      </c>
      <c r="CG84" s="306">
        <v>0</v>
      </c>
      <c r="CH84" s="306">
        <v>0</v>
      </c>
      <c r="CI84" s="306">
        <v>0</v>
      </c>
      <c r="CJ84" s="306">
        <v>0</v>
      </c>
      <c r="CK84" s="306">
        <v>0</v>
      </c>
      <c r="CL84" s="306">
        <v>0</v>
      </c>
    </row>
    <row r="85" spans="61:90">
      <c r="BI85" s="304" t="s">
        <v>713</v>
      </c>
      <c r="BJ85" s="306">
        <v>0</v>
      </c>
      <c r="BK85" s="306">
        <v>0</v>
      </c>
      <c r="BL85" s="306">
        <v>0</v>
      </c>
      <c r="BM85" s="306">
        <v>0</v>
      </c>
      <c r="BN85" s="306">
        <v>0</v>
      </c>
      <c r="BO85" s="306">
        <v>0</v>
      </c>
      <c r="BP85" s="306">
        <v>0</v>
      </c>
      <c r="BQ85" s="306">
        <v>0</v>
      </c>
      <c r="BR85" s="306">
        <v>0</v>
      </c>
      <c r="BS85" s="306">
        <v>0</v>
      </c>
      <c r="BT85" s="306">
        <v>0</v>
      </c>
      <c r="BU85" s="306">
        <v>0</v>
      </c>
      <c r="BV85" s="306">
        <v>0</v>
      </c>
      <c r="BW85" s="306">
        <v>0</v>
      </c>
      <c r="BX85" s="306">
        <v>0</v>
      </c>
      <c r="BY85" s="306">
        <v>0</v>
      </c>
      <c r="BZ85" s="306">
        <v>0</v>
      </c>
      <c r="CA85" s="306">
        <v>4830.4442158522497</v>
      </c>
      <c r="CB85" s="306">
        <v>0</v>
      </c>
      <c r="CC85" s="306">
        <v>0</v>
      </c>
      <c r="CD85" s="306">
        <v>0</v>
      </c>
      <c r="CE85" s="306">
        <v>0</v>
      </c>
      <c r="CF85" s="306">
        <v>0</v>
      </c>
      <c r="CG85" s="306">
        <v>0</v>
      </c>
      <c r="CH85" s="306">
        <v>0</v>
      </c>
      <c r="CI85" s="306">
        <v>0</v>
      </c>
      <c r="CJ85" s="306">
        <v>0</v>
      </c>
      <c r="CK85" s="306">
        <v>0</v>
      </c>
      <c r="CL85" s="306">
        <v>0</v>
      </c>
    </row>
    <row r="86" spans="61:90">
      <c r="BI86" s="304" t="s">
        <v>659</v>
      </c>
      <c r="BJ86" s="306">
        <v>0</v>
      </c>
      <c r="BK86" s="306">
        <v>0</v>
      </c>
      <c r="BL86" s="306">
        <v>0</v>
      </c>
      <c r="BM86" s="306">
        <v>0</v>
      </c>
      <c r="BN86" s="306">
        <v>0</v>
      </c>
      <c r="BO86" s="306">
        <v>0</v>
      </c>
      <c r="BP86" s="306">
        <v>0</v>
      </c>
      <c r="BQ86" s="306">
        <v>0</v>
      </c>
      <c r="BR86" s="306">
        <v>0</v>
      </c>
      <c r="BS86" s="306">
        <v>0</v>
      </c>
      <c r="BT86" s="306">
        <v>0</v>
      </c>
      <c r="BU86" s="306">
        <v>0</v>
      </c>
      <c r="BV86" s="306">
        <v>0</v>
      </c>
      <c r="BW86" s="306">
        <v>0</v>
      </c>
      <c r="BX86" s="306">
        <v>0</v>
      </c>
      <c r="BY86" s="306">
        <v>0</v>
      </c>
      <c r="BZ86" s="306">
        <v>0</v>
      </c>
      <c r="CA86" s="306">
        <v>0</v>
      </c>
      <c r="CB86" s="306">
        <v>0</v>
      </c>
      <c r="CC86" s="306">
        <v>0</v>
      </c>
      <c r="CD86" s="306">
        <v>0</v>
      </c>
      <c r="CE86" s="306">
        <v>0</v>
      </c>
      <c r="CF86" s="306">
        <v>88071.706245154506</v>
      </c>
      <c r="CG86" s="306">
        <v>0</v>
      </c>
      <c r="CH86" s="306">
        <v>0</v>
      </c>
      <c r="CI86" s="306">
        <v>0</v>
      </c>
      <c r="CJ86" s="306">
        <v>0</v>
      </c>
      <c r="CK86" s="306">
        <v>0</v>
      </c>
      <c r="CL86" s="306">
        <v>0</v>
      </c>
    </row>
    <row r="87" spans="61:90">
      <c r="BI87" s="304" t="s">
        <v>660</v>
      </c>
      <c r="BJ87" s="306">
        <v>0</v>
      </c>
      <c r="BK87" s="306">
        <v>0</v>
      </c>
      <c r="BL87" s="306">
        <v>0</v>
      </c>
      <c r="BM87" s="306">
        <v>0</v>
      </c>
      <c r="BN87" s="306">
        <v>0</v>
      </c>
      <c r="BO87" s="306">
        <v>0</v>
      </c>
      <c r="BP87" s="306">
        <v>0</v>
      </c>
      <c r="BQ87" s="306">
        <v>0</v>
      </c>
      <c r="BR87" s="306">
        <v>0</v>
      </c>
      <c r="BS87" s="306">
        <v>0</v>
      </c>
      <c r="BT87" s="306">
        <v>0</v>
      </c>
      <c r="BU87" s="306">
        <v>0</v>
      </c>
      <c r="BV87" s="306">
        <v>108184.85967288</v>
      </c>
      <c r="BW87" s="306">
        <v>0</v>
      </c>
      <c r="BX87" s="306">
        <v>0</v>
      </c>
      <c r="BY87" s="306">
        <v>0</v>
      </c>
      <c r="BZ87" s="306">
        <v>0</v>
      </c>
      <c r="CA87" s="306">
        <v>0</v>
      </c>
      <c r="CB87" s="306">
        <v>0</v>
      </c>
      <c r="CC87" s="306">
        <v>0</v>
      </c>
      <c r="CD87" s="306">
        <v>0</v>
      </c>
      <c r="CE87" s="306">
        <v>0</v>
      </c>
      <c r="CF87" s="306">
        <v>0</v>
      </c>
      <c r="CG87" s="306">
        <v>0</v>
      </c>
      <c r="CH87" s="306">
        <v>0</v>
      </c>
      <c r="CI87" s="306">
        <v>0</v>
      </c>
      <c r="CJ87" s="306">
        <v>0</v>
      </c>
      <c r="CK87" s="306">
        <v>0</v>
      </c>
      <c r="CL87" s="306">
        <v>0</v>
      </c>
    </row>
    <row r="88" spans="61:90">
      <c r="BI88" s="304" t="s">
        <v>661</v>
      </c>
      <c r="BJ88" s="306">
        <v>0</v>
      </c>
      <c r="BK88" s="306">
        <v>0</v>
      </c>
      <c r="BL88" s="306">
        <v>0</v>
      </c>
      <c r="BM88" s="306">
        <v>0</v>
      </c>
      <c r="BN88" s="306">
        <v>0</v>
      </c>
      <c r="BO88" s="306">
        <v>0</v>
      </c>
      <c r="BP88" s="306">
        <v>0</v>
      </c>
      <c r="BQ88" s="306">
        <v>0</v>
      </c>
      <c r="BR88" s="306">
        <v>0</v>
      </c>
      <c r="BS88" s="306">
        <v>0</v>
      </c>
      <c r="BT88" s="306">
        <v>108184.85967288</v>
      </c>
      <c r="BU88" s="306">
        <v>0</v>
      </c>
      <c r="BV88" s="306">
        <v>0</v>
      </c>
      <c r="BW88" s="306">
        <v>0</v>
      </c>
      <c r="BX88" s="306">
        <v>0</v>
      </c>
      <c r="BY88" s="306">
        <v>0</v>
      </c>
      <c r="BZ88" s="306">
        <v>0</v>
      </c>
      <c r="CA88" s="306">
        <v>0</v>
      </c>
      <c r="CB88" s="306">
        <v>0</v>
      </c>
      <c r="CC88" s="306">
        <v>0</v>
      </c>
      <c r="CD88" s="306">
        <v>0</v>
      </c>
      <c r="CE88" s="306">
        <v>0</v>
      </c>
      <c r="CF88" s="306">
        <v>0</v>
      </c>
      <c r="CG88" s="306">
        <v>0</v>
      </c>
      <c r="CH88" s="306">
        <v>0</v>
      </c>
      <c r="CI88" s="306">
        <v>0</v>
      </c>
      <c r="CJ88" s="306">
        <v>0</v>
      </c>
      <c r="CK88" s="306">
        <v>0</v>
      </c>
      <c r="CL88" s="306">
        <v>0</v>
      </c>
    </row>
    <row r="89" spans="61:90">
      <c r="BI89" s="304" t="s">
        <v>662</v>
      </c>
      <c r="BJ89" s="306">
        <v>0</v>
      </c>
      <c r="BK89" s="306">
        <v>0</v>
      </c>
      <c r="BL89" s="306">
        <v>0</v>
      </c>
      <c r="BM89" s="306">
        <v>0</v>
      </c>
      <c r="BN89" s="306">
        <v>0</v>
      </c>
      <c r="BO89" s="306">
        <v>0</v>
      </c>
      <c r="BP89" s="306">
        <v>0</v>
      </c>
      <c r="BQ89" s="306">
        <v>0</v>
      </c>
      <c r="BR89" s="306">
        <v>0</v>
      </c>
      <c r="BS89" s="306">
        <v>0</v>
      </c>
      <c r="BT89" s="306">
        <v>0</v>
      </c>
      <c r="BU89" s="306">
        <v>108184.85967288</v>
      </c>
      <c r="BV89" s="306">
        <v>0</v>
      </c>
      <c r="BW89" s="306">
        <v>0</v>
      </c>
      <c r="BX89" s="306">
        <v>0</v>
      </c>
      <c r="BY89" s="306">
        <v>0</v>
      </c>
      <c r="BZ89" s="306">
        <v>0</v>
      </c>
      <c r="CA89" s="306">
        <v>0</v>
      </c>
      <c r="CB89" s="306">
        <v>0</v>
      </c>
      <c r="CC89" s="306">
        <v>0</v>
      </c>
      <c r="CD89" s="306">
        <v>0</v>
      </c>
      <c r="CE89" s="306">
        <v>0</v>
      </c>
      <c r="CF89" s="306">
        <v>0</v>
      </c>
      <c r="CG89" s="306">
        <v>0</v>
      </c>
      <c r="CH89" s="306">
        <v>0</v>
      </c>
      <c r="CI89" s="306">
        <v>0</v>
      </c>
      <c r="CJ89" s="306">
        <v>0</v>
      </c>
      <c r="CK89" s="306">
        <v>0</v>
      </c>
      <c r="CL89" s="306">
        <v>0</v>
      </c>
    </row>
    <row r="90" spans="61:90">
      <c r="BI90" s="304" t="s">
        <v>663</v>
      </c>
      <c r="BJ90" s="306">
        <v>0</v>
      </c>
      <c r="BK90" s="306">
        <v>0</v>
      </c>
      <c r="BL90" s="306">
        <v>0</v>
      </c>
      <c r="BM90" s="306">
        <v>0</v>
      </c>
      <c r="BN90" s="306">
        <v>0</v>
      </c>
      <c r="BO90" s="306">
        <v>0</v>
      </c>
      <c r="BP90" s="306">
        <v>0</v>
      </c>
      <c r="BQ90" s="306">
        <v>0</v>
      </c>
      <c r="BR90" s="306">
        <v>0</v>
      </c>
      <c r="BS90" s="306">
        <v>0</v>
      </c>
      <c r="BT90" s="306">
        <v>0</v>
      </c>
      <c r="BU90" s="306">
        <v>0</v>
      </c>
      <c r="BV90" s="306">
        <v>0</v>
      </c>
      <c r="BW90" s="306">
        <v>0</v>
      </c>
      <c r="BX90" s="306">
        <v>0</v>
      </c>
      <c r="BY90" s="306">
        <v>0</v>
      </c>
      <c r="BZ90" s="306">
        <v>0</v>
      </c>
      <c r="CA90" s="306">
        <v>0</v>
      </c>
      <c r="CB90" s="306">
        <v>0</v>
      </c>
      <c r="CC90" s="306">
        <v>0</v>
      </c>
      <c r="CD90" s="306">
        <v>0</v>
      </c>
      <c r="CE90" s="306">
        <v>0</v>
      </c>
      <c r="CF90" s="306">
        <v>0</v>
      </c>
      <c r="CG90" s="306">
        <v>0</v>
      </c>
      <c r="CH90" s="306">
        <v>0</v>
      </c>
      <c r="CI90" s="306">
        <v>0</v>
      </c>
      <c r="CJ90" s="306">
        <v>0</v>
      </c>
      <c r="CK90" s="306">
        <v>0</v>
      </c>
      <c r="CL90" s="306">
        <v>0</v>
      </c>
    </row>
    <row r="91" spans="61:90">
      <c r="BI91" s="304" t="s">
        <v>664</v>
      </c>
      <c r="BJ91" s="306">
        <v>0</v>
      </c>
      <c r="BK91" s="306">
        <v>0</v>
      </c>
      <c r="BL91" s="306">
        <v>0</v>
      </c>
      <c r="BM91" s="306">
        <v>0</v>
      </c>
      <c r="BN91" s="306">
        <v>0</v>
      </c>
      <c r="BO91" s="306">
        <v>0</v>
      </c>
      <c r="BP91" s="306">
        <v>0</v>
      </c>
      <c r="BQ91" s="306">
        <v>0</v>
      </c>
      <c r="BR91" s="306">
        <v>0</v>
      </c>
      <c r="BS91" s="306">
        <v>0</v>
      </c>
      <c r="BT91" s="306">
        <v>0</v>
      </c>
      <c r="BU91" s="306">
        <v>0</v>
      </c>
      <c r="BV91" s="306">
        <v>0</v>
      </c>
      <c r="BW91" s="306">
        <v>0</v>
      </c>
      <c r="BX91" s="306">
        <v>0</v>
      </c>
      <c r="BY91" s="306">
        <v>0</v>
      </c>
      <c r="BZ91" s="306">
        <v>0</v>
      </c>
      <c r="CA91" s="306">
        <v>0</v>
      </c>
      <c r="CB91" s="306">
        <v>0</v>
      </c>
      <c r="CC91" s="306">
        <v>0</v>
      </c>
      <c r="CD91" s="306">
        <v>0</v>
      </c>
      <c r="CE91" s="306">
        <v>0</v>
      </c>
      <c r="CF91" s="306">
        <v>0</v>
      </c>
      <c r="CG91" s="306">
        <v>0</v>
      </c>
      <c r="CH91" s="306">
        <v>0</v>
      </c>
      <c r="CI91" s="306">
        <v>0</v>
      </c>
      <c r="CJ91" s="306">
        <v>0</v>
      </c>
      <c r="CK91" s="306">
        <v>0</v>
      </c>
      <c r="CL91" s="306">
        <v>0</v>
      </c>
    </row>
    <row r="92" spans="61:90">
      <c r="BI92" s="304" t="s">
        <v>665</v>
      </c>
      <c r="BJ92" s="306">
        <v>0</v>
      </c>
      <c r="BK92" s="306">
        <v>0</v>
      </c>
      <c r="BL92" s="306">
        <v>0</v>
      </c>
      <c r="BM92" s="306">
        <v>0</v>
      </c>
      <c r="BN92" s="306">
        <v>0</v>
      </c>
      <c r="BO92" s="306">
        <v>0</v>
      </c>
      <c r="BP92" s="306">
        <v>0</v>
      </c>
      <c r="BQ92" s="306">
        <v>0</v>
      </c>
      <c r="BR92" s="306">
        <v>0</v>
      </c>
      <c r="BS92" s="306">
        <v>0</v>
      </c>
      <c r="BT92" s="306">
        <v>0</v>
      </c>
      <c r="BU92" s="306">
        <v>0</v>
      </c>
      <c r="BV92" s="306">
        <v>0</v>
      </c>
      <c r="BW92" s="306">
        <v>0</v>
      </c>
      <c r="BX92" s="306">
        <v>0</v>
      </c>
      <c r="BY92" s="306">
        <v>0</v>
      </c>
      <c r="BZ92" s="306">
        <v>0</v>
      </c>
      <c r="CA92" s="306">
        <v>0</v>
      </c>
      <c r="CB92" s="306">
        <v>0</v>
      </c>
      <c r="CC92" s="306">
        <v>0</v>
      </c>
      <c r="CD92" s="306">
        <v>0</v>
      </c>
      <c r="CE92" s="306">
        <v>0</v>
      </c>
      <c r="CF92" s="306">
        <v>0</v>
      </c>
      <c r="CG92" s="306">
        <v>0</v>
      </c>
      <c r="CH92" s="306">
        <v>0</v>
      </c>
      <c r="CI92" s="306">
        <v>0</v>
      </c>
      <c r="CJ92" s="306">
        <v>0</v>
      </c>
      <c r="CK92" s="306">
        <v>25297.051877142199</v>
      </c>
      <c r="CL92" s="306">
        <v>0</v>
      </c>
    </row>
    <row r="93" spans="61:90">
      <c r="BI93" s="304" t="s">
        <v>666</v>
      </c>
      <c r="BJ93" s="306">
        <v>0</v>
      </c>
      <c r="BK93" s="306">
        <v>0</v>
      </c>
      <c r="BL93" s="306">
        <v>0</v>
      </c>
      <c r="BM93" s="306">
        <v>0</v>
      </c>
      <c r="BN93" s="306">
        <v>0</v>
      </c>
      <c r="BO93" s="306">
        <v>0</v>
      </c>
      <c r="BP93" s="306">
        <v>0</v>
      </c>
      <c r="BQ93" s="306">
        <v>0</v>
      </c>
      <c r="BR93" s="306">
        <v>0</v>
      </c>
      <c r="BS93" s="306">
        <v>0</v>
      </c>
      <c r="BT93" s="306">
        <v>0</v>
      </c>
      <c r="BU93" s="306">
        <v>0</v>
      </c>
      <c r="BV93" s="306">
        <v>0</v>
      </c>
      <c r="BW93" s="306">
        <v>0</v>
      </c>
      <c r="BX93" s="306">
        <v>0</v>
      </c>
      <c r="BY93" s="306">
        <v>25297.051877142199</v>
      </c>
      <c r="BZ93" s="306">
        <v>0</v>
      </c>
      <c r="CA93" s="306">
        <v>0</v>
      </c>
      <c r="CB93" s="306">
        <v>0</v>
      </c>
      <c r="CC93" s="306">
        <v>0</v>
      </c>
      <c r="CD93" s="306">
        <v>0</v>
      </c>
      <c r="CE93" s="306">
        <v>0</v>
      </c>
      <c r="CF93" s="306">
        <v>0</v>
      </c>
      <c r="CG93" s="306">
        <v>0</v>
      </c>
      <c r="CH93" s="306">
        <v>0</v>
      </c>
      <c r="CI93" s="306">
        <v>0</v>
      </c>
      <c r="CJ93" s="306">
        <v>0</v>
      </c>
      <c r="CK93" s="306">
        <v>0</v>
      </c>
      <c r="CL93" s="306">
        <v>0</v>
      </c>
    </row>
    <row r="94" spans="61:90">
      <c r="BI94" s="304" t="s">
        <v>667</v>
      </c>
      <c r="BJ94" s="306">
        <v>0</v>
      </c>
      <c r="BK94" s="306">
        <v>0</v>
      </c>
      <c r="BL94" s="306">
        <v>0</v>
      </c>
      <c r="BM94" s="306">
        <v>0</v>
      </c>
      <c r="BN94" s="306">
        <v>0</v>
      </c>
      <c r="BO94" s="306">
        <v>0</v>
      </c>
      <c r="BP94" s="306">
        <v>0</v>
      </c>
      <c r="BQ94" s="306">
        <v>0</v>
      </c>
      <c r="BR94" s="306">
        <v>0</v>
      </c>
      <c r="BS94" s="306">
        <v>0</v>
      </c>
      <c r="BT94" s="306">
        <v>0</v>
      </c>
      <c r="BU94" s="306">
        <v>0</v>
      </c>
      <c r="BV94" s="306">
        <v>0</v>
      </c>
      <c r="BW94" s="306">
        <v>25297.051877142199</v>
      </c>
      <c r="BX94" s="306">
        <v>0</v>
      </c>
      <c r="BY94" s="306">
        <v>0</v>
      </c>
      <c r="BZ94" s="306">
        <v>0</v>
      </c>
      <c r="CA94" s="306">
        <v>0</v>
      </c>
      <c r="CB94" s="306">
        <v>0</v>
      </c>
      <c r="CC94" s="306">
        <v>0</v>
      </c>
      <c r="CD94" s="306">
        <v>0</v>
      </c>
      <c r="CE94" s="306">
        <v>0</v>
      </c>
      <c r="CF94" s="306">
        <v>0</v>
      </c>
      <c r="CG94" s="306">
        <v>0</v>
      </c>
      <c r="CH94" s="306">
        <v>0</v>
      </c>
      <c r="CI94" s="306">
        <v>0</v>
      </c>
      <c r="CJ94" s="306">
        <v>0</v>
      </c>
      <c r="CK94" s="306">
        <v>0</v>
      </c>
      <c r="CL94" s="306">
        <v>0</v>
      </c>
    </row>
    <row r="95" spans="61:90">
      <c r="BI95" s="304" t="s">
        <v>668</v>
      </c>
      <c r="BJ95" s="306">
        <v>0</v>
      </c>
      <c r="BK95" s="306">
        <v>0</v>
      </c>
      <c r="BL95" s="306">
        <v>0</v>
      </c>
      <c r="BM95" s="306">
        <v>0</v>
      </c>
      <c r="BN95" s="306">
        <v>0</v>
      </c>
      <c r="BO95" s="306">
        <v>0</v>
      </c>
      <c r="BP95" s="306">
        <v>0</v>
      </c>
      <c r="BQ95" s="306">
        <v>0</v>
      </c>
      <c r="BR95" s="306">
        <v>0</v>
      </c>
      <c r="BS95" s="306">
        <v>0</v>
      </c>
      <c r="BT95" s="306">
        <v>0</v>
      </c>
      <c r="BU95" s="306">
        <v>0</v>
      </c>
      <c r="BV95" s="306">
        <v>0</v>
      </c>
      <c r="BW95" s="306">
        <v>0</v>
      </c>
      <c r="BX95" s="306">
        <v>25297.051877142199</v>
      </c>
      <c r="BY95" s="306">
        <v>0</v>
      </c>
      <c r="BZ95" s="306">
        <v>0</v>
      </c>
      <c r="CA95" s="306">
        <v>0</v>
      </c>
      <c r="CB95" s="306">
        <v>0</v>
      </c>
      <c r="CC95" s="306">
        <v>0</v>
      </c>
      <c r="CD95" s="306">
        <v>0</v>
      </c>
      <c r="CE95" s="306">
        <v>0</v>
      </c>
      <c r="CF95" s="306">
        <v>0</v>
      </c>
      <c r="CG95" s="306">
        <v>0</v>
      </c>
      <c r="CH95" s="306">
        <v>0</v>
      </c>
      <c r="CI95" s="306">
        <v>0</v>
      </c>
      <c r="CJ95" s="306">
        <v>0</v>
      </c>
      <c r="CK95" s="306">
        <v>0</v>
      </c>
      <c r="CL95" s="306">
        <v>0</v>
      </c>
    </row>
    <row r="96" spans="61:90">
      <c r="BI96" s="304" t="s">
        <v>669</v>
      </c>
      <c r="BJ96" s="306">
        <v>0</v>
      </c>
      <c r="BK96" s="306">
        <v>0</v>
      </c>
      <c r="BL96" s="306">
        <v>0</v>
      </c>
      <c r="BM96" s="306">
        <v>0</v>
      </c>
      <c r="BN96" s="306">
        <v>0</v>
      </c>
      <c r="BO96" s="306">
        <v>0</v>
      </c>
      <c r="BP96" s="306">
        <v>0</v>
      </c>
      <c r="BQ96" s="306">
        <v>0</v>
      </c>
      <c r="BR96" s="306">
        <v>0</v>
      </c>
      <c r="BS96" s="306">
        <v>0</v>
      </c>
      <c r="BT96" s="306">
        <v>0</v>
      </c>
      <c r="BU96" s="306">
        <v>0</v>
      </c>
      <c r="BV96" s="306">
        <v>0</v>
      </c>
      <c r="BW96" s="306">
        <v>0</v>
      </c>
      <c r="BX96" s="306">
        <v>0</v>
      </c>
      <c r="BY96" s="306">
        <v>0</v>
      </c>
      <c r="BZ96" s="306">
        <v>0</v>
      </c>
      <c r="CA96" s="306">
        <v>0</v>
      </c>
      <c r="CB96" s="306">
        <v>0</v>
      </c>
      <c r="CC96" s="306">
        <v>0</v>
      </c>
      <c r="CD96" s="306">
        <v>0</v>
      </c>
      <c r="CE96" s="306">
        <v>0</v>
      </c>
      <c r="CF96" s="306">
        <v>0</v>
      </c>
      <c r="CG96" s="306">
        <v>0</v>
      </c>
      <c r="CH96" s="306">
        <v>0</v>
      </c>
      <c r="CI96" s="306">
        <v>0</v>
      </c>
      <c r="CJ96" s="306">
        <v>0</v>
      </c>
      <c r="CK96" s="306">
        <v>0</v>
      </c>
      <c r="CL96" s="306">
        <v>0</v>
      </c>
    </row>
    <row r="97" spans="61:90">
      <c r="BI97" s="304" t="s">
        <v>670</v>
      </c>
      <c r="BJ97" s="306">
        <v>0</v>
      </c>
      <c r="BK97" s="306">
        <v>0</v>
      </c>
      <c r="BL97" s="306">
        <v>0</v>
      </c>
      <c r="BM97" s="306">
        <v>0</v>
      </c>
      <c r="BN97" s="306">
        <v>0</v>
      </c>
      <c r="BO97" s="306">
        <v>0</v>
      </c>
      <c r="BP97" s="306">
        <v>0</v>
      </c>
      <c r="BQ97" s="306">
        <v>0</v>
      </c>
      <c r="BR97" s="306">
        <v>0</v>
      </c>
      <c r="BS97" s="306">
        <v>0</v>
      </c>
      <c r="BT97" s="306">
        <v>0</v>
      </c>
      <c r="BU97" s="306">
        <v>0</v>
      </c>
      <c r="BV97" s="306">
        <v>0</v>
      </c>
      <c r="BW97" s="306">
        <v>0</v>
      </c>
      <c r="BX97" s="306">
        <v>24.076233417548501</v>
      </c>
      <c r="BY97" s="306">
        <v>0</v>
      </c>
      <c r="BZ97" s="306">
        <v>0</v>
      </c>
      <c r="CA97" s="306">
        <v>0</v>
      </c>
      <c r="CB97" s="306">
        <v>0</v>
      </c>
      <c r="CC97" s="306">
        <v>0</v>
      </c>
      <c r="CD97" s="306">
        <v>0</v>
      </c>
      <c r="CE97" s="306">
        <v>0</v>
      </c>
      <c r="CF97" s="306">
        <v>0</v>
      </c>
      <c r="CG97" s="306">
        <v>0</v>
      </c>
      <c r="CH97" s="306">
        <v>0</v>
      </c>
      <c r="CI97" s="306">
        <v>0</v>
      </c>
      <c r="CJ97" s="306">
        <v>0</v>
      </c>
      <c r="CK97" s="306">
        <v>0</v>
      </c>
      <c r="CL97" s="306">
        <v>0</v>
      </c>
    </row>
    <row r="98" spans="61:90">
      <c r="BI98" s="304" t="s">
        <v>671</v>
      </c>
      <c r="BJ98" s="306">
        <v>2329445.30922601</v>
      </c>
      <c r="BK98" s="306">
        <v>0</v>
      </c>
      <c r="BL98" s="306">
        <v>0</v>
      </c>
      <c r="BM98" s="306">
        <v>0</v>
      </c>
      <c r="BN98" s="306">
        <v>0</v>
      </c>
      <c r="BO98" s="306">
        <v>0</v>
      </c>
      <c r="BP98" s="306">
        <v>0</v>
      </c>
      <c r="BQ98" s="306">
        <v>0</v>
      </c>
      <c r="BR98" s="306">
        <v>10583778.883576799</v>
      </c>
      <c r="BS98" s="306">
        <v>10407.5335702297</v>
      </c>
      <c r="BT98" s="306">
        <v>0</v>
      </c>
      <c r="BU98" s="306">
        <v>0</v>
      </c>
      <c r="BV98" s="306">
        <v>0</v>
      </c>
      <c r="BW98" s="306">
        <v>0</v>
      </c>
      <c r="BX98" s="306">
        <v>0</v>
      </c>
      <c r="BY98" s="306">
        <v>0</v>
      </c>
      <c r="BZ98" s="306">
        <v>0</v>
      </c>
      <c r="CA98" s="306">
        <v>0</v>
      </c>
      <c r="CB98" s="306">
        <v>0</v>
      </c>
      <c r="CC98" s="306">
        <v>0</v>
      </c>
      <c r="CD98" s="306">
        <v>0</v>
      </c>
      <c r="CE98" s="306">
        <v>0</v>
      </c>
      <c r="CF98" s="306">
        <v>0</v>
      </c>
      <c r="CG98" s="306">
        <v>0</v>
      </c>
      <c r="CH98" s="306">
        <v>0</v>
      </c>
      <c r="CI98" s="306">
        <v>0</v>
      </c>
      <c r="CJ98" s="306">
        <v>0</v>
      </c>
      <c r="CK98" s="306">
        <v>1951076.47558275</v>
      </c>
      <c r="CL98" s="306">
        <v>0</v>
      </c>
    </row>
    <row r="99" spans="61:90">
      <c r="BI99" s="304" t="s">
        <v>714</v>
      </c>
      <c r="BJ99" s="306">
        <v>0</v>
      </c>
      <c r="BK99" s="306">
        <v>0</v>
      </c>
      <c r="BL99" s="306">
        <v>0</v>
      </c>
      <c r="BM99" s="306">
        <v>0</v>
      </c>
      <c r="BN99" s="306">
        <v>0</v>
      </c>
      <c r="BO99" s="306">
        <v>0</v>
      </c>
      <c r="BP99" s="306">
        <v>0</v>
      </c>
      <c r="BQ99" s="306">
        <v>0</v>
      </c>
      <c r="BR99" s="306">
        <v>0</v>
      </c>
      <c r="BS99" s="306">
        <v>0</v>
      </c>
      <c r="BT99" s="306">
        <v>0</v>
      </c>
      <c r="BU99" s="306">
        <v>0</v>
      </c>
      <c r="BV99" s="306">
        <v>0</v>
      </c>
      <c r="BW99" s="306">
        <v>0</v>
      </c>
      <c r="BX99" s="306">
        <v>0</v>
      </c>
      <c r="BY99" s="306">
        <v>0</v>
      </c>
      <c r="BZ99" s="306">
        <v>0</v>
      </c>
      <c r="CA99" s="306">
        <v>0</v>
      </c>
      <c r="CB99" s="306">
        <v>0</v>
      </c>
      <c r="CC99" s="306">
        <v>0</v>
      </c>
      <c r="CD99" s="306">
        <v>0</v>
      </c>
      <c r="CE99" s="306">
        <v>0</v>
      </c>
      <c r="CF99" s="306">
        <v>0</v>
      </c>
      <c r="CG99" s="306">
        <v>3749358.3680556798</v>
      </c>
      <c r="CH99" s="306">
        <v>0</v>
      </c>
      <c r="CI99" s="306">
        <v>0</v>
      </c>
      <c r="CJ99" s="306">
        <v>0</v>
      </c>
      <c r="CK99" s="306">
        <v>0</v>
      </c>
      <c r="CL99" s="306">
        <v>0</v>
      </c>
    </row>
    <row r="100" spans="61:90">
      <c r="BI100" s="304" t="s">
        <v>715</v>
      </c>
      <c r="BJ100" s="306">
        <v>0</v>
      </c>
      <c r="BK100" s="306">
        <v>0</v>
      </c>
      <c r="BL100" s="306">
        <v>0</v>
      </c>
      <c r="BM100" s="306">
        <v>0</v>
      </c>
      <c r="BN100" s="306">
        <v>0</v>
      </c>
      <c r="BO100" s="306">
        <v>0</v>
      </c>
      <c r="BP100" s="306">
        <v>0</v>
      </c>
      <c r="BQ100" s="306">
        <v>0</v>
      </c>
      <c r="BR100" s="306">
        <v>0</v>
      </c>
      <c r="BS100" s="306">
        <v>0</v>
      </c>
      <c r="BT100" s="306">
        <v>0</v>
      </c>
      <c r="BU100" s="306">
        <v>0</v>
      </c>
      <c r="BV100" s="306">
        <v>0</v>
      </c>
      <c r="BW100" s="306">
        <v>0</v>
      </c>
      <c r="BX100" s="306">
        <v>0</v>
      </c>
      <c r="BY100" s="306">
        <v>0</v>
      </c>
      <c r="BZ100" s="306">
        <v>0</v>
      </c>
      <c r="CA100" s="306">
        <v>0</v>
      </c>
      <c r="CB100" s="306">
        <v>0</v>
      </c>
      <c r="CC100" s="306">
        <v>0</v>
      </c>
      <c r="CD100" s="306">
        <v>0</v>
      </c>
      <c r="CE100" s="306">
        <v>0</v>
      </c>
      <c r="CF100" s="306">
        <v>0</v>
      </c>
      <c r="CG100" s="306">
        <v>0</v>
      </c>
      <c r="CH100" s="306">
        <v>0</v>
      </c>
      <c r="CI100" s="306">
        <v>0</v>
      </c>
      <c r="CJ100" s="306">
        <v>668.84165319492104</v>
      </c>
      <c r="CK100" s="306">
        <v>0</v>
      </c>
      <c r="CL100" s="306">
        <v>0</v>
      </c>
    </row>
    <row r="101" spans="61:90">
      <c r="BI101" s="304" t="s">
        <v>716</v>
      </c>
      <c r="BJ101" s="306">
        <v>0</v>
      </c>
      <c r="BK101" s="306">
        <v>0</v>
      </c>
      <c r="BL101" s="306">
        <v>0</v>
      </c>
      <c r="BM101" s="306">
        <v>0</v>
      </c>
      <c r="BN101" s="306">
        <v>0</v>
      </c>
      <c r="BO101" s="306">
        <v>0</v>
      </c>
      <c r="BP101" s="306">
        <v>0</v>
      </c>
      <c r="BQ101" s="306">
        <v>0</v>
      </c>
      <c r="BR101" s="306">
        <v>0</v>
      </c>
      <c r="BS101" s="306">
        <v>0</v>
      </c>
      <c r="BT101" s="306">
        <v>0</v>
      </c>
      <c r="BU101" s="306">
        <v>0</v>
      </c>
      <c r="BV101" s="306">
        <v>0</v>
      </c>
      <c r="BW101" s="306">
        <v>0</v>
      </c>
      <c r="BX101" s="306">
        <v>0</v>
      </c>
      <c r="BY101" s="306">
        <v>0</v>
      </c>
      <c r="BZ101" s="306">
        <v>0</v>
      </c>
      <c r="CA101" s="306">
        <v>0</v>
      </c>
      <c r="CB101" s="306">
        <v>0</v>
      </c>
      <c r="CC101" s="306">
        <v>0</v>
      </c>
      <c r="CD101" s="306">
        <v>0</v>
      </c>
      <c r="CE101" s="306">
        <v>0</v>
      </c>
      <c r="CF101" s="306">
        <v>0</v>
      </c>
      <c r="CG101" s="306">
        <v>0</v>
      </c>
      <c r="CH101" s="306">
        <v>0</v>
      </c>
      <c r="CI101" s="306">
        <v>668.84165319492104</v>
      </c>
      <c r="CJ101" s="306">
        <v>0</v>
      </c>
      <c r="CK101" s="306">
        <v>0</v>
      </c>
      <c r="CL101" s="306">
        <v>0</v>
      </c>
    </row>
    <row r="102" spans="61:90">
      <c r="BI102" s="304" t="s">
        <v>717</v>
      </c>
      <c r="BJ102" s="306">
        <v>0</v>
      </c>
      <c r="BK102" s="306">
        <v>0</v>
      </c>
      <c r="BL102" s="306">
        <v>0</v>
      </c>
      <c r="BM102" s="306">
        <v>0</v>
      </c>
      <c r="BN102" s="306">
        <v>0</v>
      </c>
      <c r="BO102" s="306">
        <v>0</v>
      </c>
      <c r="BP102" s="306">
        <v>0</v>
      </c>
      <c r="BQ102" s="306">
        <v>0</v>
      </c>
      <c r="BR102" s="306">
        <v>0</v>
      </c>
      <c r="BS102" s="306">
        <v>0</v>
      </c>
      <c r="BT102" s="306">
        <v>0</v>
      </c>
      <c r="BU102" s="306">
        <v>0</v>
      </c>
      <c r="BV102" s="306">
        <v>0</v>
      </c>
      <c r="BW102" s="306">
        <v>0</v>
      </c>
      <c r="BX102" s="306">
        <v>0</v>
      </c>
      <c r="BY102" s="306">
        <v>0</v>
      </c>
      <c r="BZ102" s="306">
        <v>0</v>
      </c>
      <c r="CA102" s="306">
        <v>0</v>
      </c>
      <c r="CB102" s="306">
        <v>0</v>
      </c>
      <c r="CC102" s="306">
        <v>0</v>
      </c>
      <c r="CD102" s="306">
        <v>0</v>
      </c>
      <c r="CE102" s="306">
        <v>0</v>
      </c>
      <c r="CF102" s="306">
        <v>0</v>
      </c>
      <c r="CG102" s="306">
        <v>0</v>
      </c>
      <c r="CH102" s="306">
        <v>184686.52821315001</v>
      </c>
      <c r="CI102" s="306">
        <v>0</v>
      </c>
      <c r="CJ102" s="306">
        <v>0</v>
      </c>
      <c r="CK102" s="306">
        <v>0</v>
      </c>
      <c r="CL102" s="306">
        <v>0</v>
      </c>
    </row>
    <row r="103" spans="61:90">
      <c r="BI103" s="304" t="s">
        <v>718</v>
      </c>
      <c r="BJ103" s="306">
        <v>0</v>
      </c>
      <c r="BK103" s="306">
        <v>0</v>
      </c>
      <c r="BL103" s="306">
        <v>0</v>
      </c>
      <c r="BM103" s="306">
        <v>0</v>
      </c>
      <c r="BN103" s="306">
        <v>0</v>
      </c>
      <c r="BO103" s="306">
        <v>0</v>
      </c>
      <c r="BP103" s="306">
        <v>0</v>
      </c>
      <c r="BQ103" s="306">
        <v>0</v>
      </c>
      <c r="BR103" s="306">
        <v>0</v>
      </c>
      <c r="BS103" s="306">
        <v>0</v>
      </c>
      <c r="BT103" s="306">
        <v>0</v>
      </c>
      <c r="BU103" s="306">
        <v>0</v>
      </c>
      <c r="BV103" s="306">
        <v>0</v>
      </c>
      <c r="BW103" s="306">
        <v>0</v>
      </c>
      <c r="BX103" s="306">
        <v>0</v>
      </c>
      <c r="BY103" s="306">
        <v>0</v>
      </c>
      <c r="BZ103" s="306">
        <v>0</v>
      </c>
      <c r="CA103" s="306">
        <v>0</v>
      </c>
      <c r="CB103" s="306">
        <v>184686.52821315001</v>
      </c>
      <c r="CC103" s="306">
        <v>0</v>
      </c>
      <c r="CD103" s="306">
        <v>0</v>
      </c>
      <c r="CE103" s="306">
        <v>0</v>
      </c>
      <c r="CF103" s="306">
        <v>0</v>
      </c>
      <c r="CG103" s="306">
        <v>0</v>
      </c>
      <c r="CH103" s="306">
        <v>0</v>
      </c>
      <c r="CI103" s="306">
        <v>0</v>
      </c>
      <c r="CJ103" s="306">
        <v>0</v>
      </c>
      <c r="CK103" s="306">
        <v>0</v>
      </c>
      <c r="CL103" s="306">
        <v>0</v>
      </c>
    </row>
    <row r="104" spans="61:90">
      <c r="BI104" s="304" t="s">
        <v>719</v>
      </c>
      <c r="BJ104" s="306">
        <v>0</v>
      </c>
      <c r="BK104" s="306">
        <v>0</v>
      </c>
      <c r="BL104" s="306">
        <v>0</v>
      </c>
      <c r="BM104" s="306">
        <v>0</v>
      </c>
      <c r="BN104" s="306">
        <v>22059.242005331998</v>
      </c>
      <c r="BO104" s="306">
        <v>0</v>
      </c>
      <c r="BP104" s="306">
        <v>0</v>
      </c>
      <c r="BQ104" s="306">
        <v>0</v>
      </c>
      <c r="BR104" s="306">
        <v>0</v>
      </c>
      <c r="BS104" s="306">
        <v>0</v>
      </c>
      <c r="BT104" s="306">
        <v>0</v>
      </c>
      <c r="BU104" s="306">
        <v>0</v>
      </c>
      <c r="BV104" s="306">
        <v>0</v>
      </c>
      <c r="BW104" s="306">
        <v>0</v>
      </c>
      <c r="BX104" s="306">
        <v>0</v>
      </c>
      <c r="BY104" s="306">
        <v>0</v>
      </c>
      <c r="BZ104" s="306">
        <v>3204496.1178020099</v>
      </c>
      <c r="CA104" s="306">
        <v>0</v>
      </c>
      <c r="CB104" s="306">
        <v>0</v>
      </c>
      <c r="CC104" s="306">
        <v>0</v>
      </c>
      <c r="CD104" s="306">
        <v>0</v>
      </c>
      <c r="CE104" s="306">
        <v>0</v>
      </c>
      <c r="CF104" s="306">
        <v>0</v>
      </c>
      <c r="CG104" s="306">
        <v>0</v>
      </c>
      <c r="CH104" s="306">
        <v>0</v>
      </c>
      <c r="CI104" s="306">
        <v>0</v>
      </c>
      <c r="CJ104" s="306">
        <v>0</v>
      </c>
      <c r="CK104" s="306">
        <v>0</v>
      </c>
      <c r="CL104" s="306">
        <v>0</v>
      </c>
    </row>
    <row r="105" spans="61:90">
      <c r="BI105" s="304" t="s">
        <v>720</v>
      </c>
      <c r="BJ105" s="306">
        <v>0</v>
      </c>
      <c r="BK105" s="306">
        <v>0</v>
      </c>
      <c r="BL105" s="306">
        <v>0</v>
      </c>
      <c r="BM105" s="306">
        <v>0</v>
      </c>
      <c r="BN105" s="306">
        <v>0</v>
      </c>
      <c r="BO105" s="306">
        <v>3090735.3644190198</v>
      </c>
      <c r="BP105" s="306">
        <v>0</v>
      </c>
      <c r="BQ105" s="306">
        <v>0</v>
      </c>
      <c r="BR105" s="306">
        <v>0</v>
      </c>
      <c r="BS105" s="306">
        <v>0</v>
      </c>
      <c r="BT105" s="306">
        <v>0</v>
      </c>
      <c r="BU105" s="306">
        <v>0</v>
      </c>
      <c r="BV105" s="306">
        <v>0</v>
      </c>
      <c r="BW105" s="306">
        <v>0</v>
      </c>
      <c r="BX105" s="306">
        <v>0</v>
      </c>
      <c r="BY105" s="306">
        <v>0</v>
      </c>
      <c r="BZ105" s="306">
        <v>0</v>
      </c>
      <c r="CA105" s="306">
        <v>0</v>
      </c>
      <c r="CB105" s="306">
        <v>0</v>
      </c>
      <c r="CC105" s="306">
        <v>0</v>
      </c>
      <c r="CD105" s="306">
        <v>0</v>
      </c>
      <c r="CE105" s="306">
        <v>0</v>
      </c>
      <c r="CF105" s="306">
        <v>0</v>
      </c>
      <c r="CG105" s="306">
        <v>0</v>
      </c>
      <c r="CH105" s="306">
        <v>0</v>
      </c>
      <c r="CI105" s="306">
        <v>0</v>
      </c>
      <c r="CJ105" s="306">
        <v>0</v>
      </c>
      <c r="CK105" s="306">
        <v>0</v>
      </c>
      <c r="CL105" s="306">
        <v>0</v>
      </c>
    </row>
    <row r="106" spans="61:90">
      <c r="BI106" s="304" t="s">
        <v>721</v>
      </c>
      <c r="BJ106" s="306">
        <v>0</v>
      </c>
      <c r="BK106" s="306">
        <v>0</v>
      </c>
      <c r="BL106" s="306">
        <v>0</v>
      </c>
      <c r="BM106" s="306">
        <v>0</v>
      </c>
      <c r="BN106" s="306">
        <v>0</v>
      </c>
      <c r="BO106" s="306">
        <v>0</v>
      </c>
      <c r="BP106" s="306">
        <v>0</v>
      </c>
      <c r="BQ106" s="306">
        <v>0</v>
      </c>
      <c r="BR106" s="306">
        <v>0</v>
      </c>
      <c r="BS106" s="306">
        <v>0</v>
      </c>
      <c r="BT106" s="306">
        <v>0</v>
      </c>
      <c r="BU106" s="306">
        <v>0</v>
      </c>
      <c r="BV106" s="306">
        <v>0</v>
      </c>
      <c r="BW106" s="306">
        <v>0</v>
      </c>
      <c r="BX106" s="306">
        <v>0</v>
      </c>
      <c r="BY106" s="306">
        <v>0</v>
      </c>
      <c r="BZ106" s="306">
        <v>0</v>
      </c>
      <c r="CA106" s="306">
        <v>0</v>
      </c>
      <c r="CB106" s="306">
        <v>0</v>
      </c>
      <c r="CC106" s="306">
        <v>0</v>
      </c>
      <c r="CD106" s="306">
        <v>0</v>
      </c>
      <c r="CE106" s="306">
        <v>0</v>
      </c>
      <c r="CF106" s="306">
        <v>0</v>
      </c>
      <c r="CG106" s="306">
        <v>0</v>
      </c>
      <c r="CH106" s="306">
        <v>0</v>
      </c>
      <c r="CI106" s="306">
        <v>0</v>
      </c>
      <c r="CJ106" s="306">
        <v>0</v>
      </c>
      <c r="CK106" s="306">
        <v>0</v>
      </c>
      <c r="CL106" s="306">
        <v>21683.690906267198</v>
      </c>
    </row>
    <row r="107" spans="61:90">
      <c r="BI107" s="304" t="s">
        <v>672</v>
      </c>
      <c r="BJ107" s="306">
        <v>0</v>
      </c>
      <c r="BK107" s="306">
        <v>0</v>
      </c>
      <c r="BL107" s="306">
        <v>0</v>
      </c>
      <c r="BM107" s="306">
        <v>0</v>
      </c>
      <c r="BN107" s="306">
        <v>0</v>
      </c>
      <c r="BO107" s="306">
        <v>0</v>
      </c>
      <c r="BP107" s="306">
        <v>0</v>
      </c>
      <c r="BQ107" s="306">
        <v>0</v>
      </c>
      <c r="BR107" s="306">
        <v>0</v>
      </c>
      <c r="BS107" s="306">
        <v>0</v>
      </c>
      <c r="BT107" s="306">
        <v>0</v>
      </c>
      <c r="BU107" s="306">
        <v>0</v>
      </c>
      <c r="BV107" s="306">
        <v>0</v>
      </c>
      <c r="BW107" s="306">
        <v>0</v>
      </c>
      <c r="BX107" s="306">
        <v>0</v>
      </c>
      <c r="BY107" s="306">
        <v>0</v>
      </c>
      <c r="BZ107" s="306">
        <v>0</v>
      </c>
      <c r="CA107" s="306">
        <v>0</v>
      </c>
      <c r="CB107" s="306">
        <v>0</v>
      </c>
      <c r="CC107" s="306">
        <v>0</v>
      </c>
      <c r="CD107" s="306">
        <v>0</v>
      </c>
      <c r="CE107" s="306">
        <v>0</v>
      </c>
      <c r="CF107" s="306">
        <v>0</v>
      </c>
      <c r="CG107" s="306">
        <v>0</v>
      </c>
      <c r="CH107" s="306">
        <v>0</v>
      </c>
      <c r="CI107" s="306">
        <v>0</v>
      </c>
      <c r="CJ107" s="306">
        <v>0</v>
      </c>
      <c r="CK107" s="306">
        <v>0</v>
      </c>
      <c r="CL107" s="306">
        <v>0</v>
      </c>
    </row>
    <row r="108" spans="61:90">
      <c r="BI108" s="304" t="s">
        <v>673</v>
      </c>
      <c r="BJ108" s="306">
        <v>0</v>
      </c>
      <c r="BK108" s="306">
        <v>0</v>
      </c>
      <c r="BL108" s="306">
        <v>0</v>
      </c>
      <c r="BM108" s="306">
        <v>0</v>
      </c>
      <c r="BN108" s="306">
        <v>0</v>
      </c>
      <c r="BO108" s="306">
        <v>0</v>
      </c>
      <c r="BP108" s="306">
        <v>0</v>
      </c>
      <c r="BQ108" s="306">
        <v>0</v>
      </c>
      <c r="BR108" s="306">
        <v>0</v>
      </c>
      <c r="BS108" s="306">
        <v>0</v>
      </c>
      <c r="BT108" s="306">
        <v>0</v>
      </c>
      <c r="BU108" s="306">
        <v>0</v>
      </c>
      <c r="BV108" s="306">
        <v>0</v>
      </c>
      <c r="BW108" s="306">
        <v>0</v>
      </c>
      <c r="BX108" s="306">
        <v>0</v>
      </c>
      <c r="BY108" s="306">
        <v>0</v>
      </c>
      <c r="BZ108" s="306">
        <v>0</v>
      </c>
      <c r="CA108" s="306">
        <v>0</v>
      </c>
      <c r="CB108" s="306">
        <v>0</v>
      </c>
      <c r="CC108" s="306">
        <v>0</v>
      </c>
      <c r="CD108" s="306">
        <v>0</v>
      </c>
      <c r="CE108" s="306">
        <v>0</v>
      </c>
      <c r="CF108" s="306">
        <v>0</v>
      </c>
      <c r="CG108" s="306">
        <v>0</v>
      </c>
      <c r="CH108" s="306">
        <v>0</v>
      </c>
      <c r="CI108" s="306">
        <v>0</v>
      </c>
      <c r="CJ108" s="306">
        <v>0</v>
      </c>
      <c r="CK108" s="306">
        <v>0</v>
      </c>
      <c r="CL108" s="306">
        <v>0</v>
      </c>
    </row>
    <row r="109" spans="61:90">
      <c r="BI109" s="304" t="s">
        <v>722</v>
      </c>
      <c r="BJ109" s="306">
        <v>0</v>
      </c>
      <c r="BK109" s="306">
        <v>0</v>
      </c>
      <c r="BL109" s="306">
        <v>0</v>
      </c>
      <c r="BM109" s="306">
        <v>0</v>
      </c>
      <c r="BN109" s="306">
        <v>0</v>
      </c>
      <c r="BO109" s="306">
        <v>0</v>
      </c>
      <c r="BP109" s="306">
        <v>0</v>
      </c>
      <c r="BQ109" s="306">
        <v>0</v>
      </c>
      <c r="BR109" s="306">
        <v>0</v>
      </c>
      <c r="BS109" s="306">
        <v>0</v>
      </c>
      <c r="BT109" s="306">
        <v>0</v>
      </c>
      <c r="BU109" s="306">
        <v>0</v>
      </c>
      <c r="BV109" s="306">
        <v>0</v>
      </c>
      <c r="BW109" s="306">
        <v>0</v>
      </c>
      <c r="BX109" s="306">
        <v>0</v>
      </c>
      <c r="BY109" s="306">
        <v>0</v>
      </c>
      <c r="BZ109" s="306">
        <v>5048.7551388456604</v>
      </c>
      <c r="CA109" s="306">
        <v>0</v>
      </c>
      <c r="CB109" s="306">
        <v>0</v>
      </c>
      <c r="CC109" s="306">
        <v>0</v>
      </c>
      <c r="CD109" s="306">
        <v>0</v>
      </c>
      <c r="CE109" s="306">
        <v>0</v>
      </c>
      <c r="CF109" s="306">
        <v>0</v>
      </c>
      <c r="CG109" s="306">
        <v>0</v>
      </c>
      <c r="CH109" s="306">
        <v>0</v>
      </c>
      <c r="CI109" s="306">
        <v>0</v>
      </c>
      <c r="CJ109" s="306">
        <v>0</v>
      </c>
      <c r="CK109" s="306">
        <v>0</v>
      </c>
      <c r="CL109" s="306">
        <v>0</v>
      </c>
    </row>
    <row r="110" spans="61:90">
      <c r="BI110" s="304" t="s">
        <v>723</v>
      </c>
      <c r="BJ110" s="306">
        <v>0</v>
      </c>
      <c r="BK110" s="306">
        <v>0</v>
      </c>
      <c r="BL110" s="306">
        <v>0</v>
      </c>
      <c r="BM110" s="306">
        <v>0</v>
      </c>
      <c r="BN110" s="306">
        <v>0</v>
      </c>
      <c r="BO110" s="306">
        <v>0</v>
      </c>
      <c r="BP110" s="306">
        <v>0</v>
      </c>
      <c r="BQ110" s="306">
        <v>0</v>
      </c>
      <c r="BR110" s="306">
        <v>0</v>
      </c>
      <c r="BS110" s="306">
        <v>0</v>
      </c>
      <c r="BT110" s="306">
        <v>0</v>
      </c>
      <c r="BU110" s="306">
        <v>0</v>
      </c>
      <c r="BV110" s="306">
        <v>0</v>
      </c>
      <c r="BW110" s="306">
        <v>0</v>
      </c>
      <c r="BX110" s="306">
        <v>0</v>
      </c>
      <c r="BY110" s="306">
        <v>0</v>
      </c>
      <c r="BZ110" s="306">
        <v>0</v>
      </c>
      <c r="CA110" s="306">
        <v>0</v>
      </c>
      <c r="CB110" s="306">
        <v>0</v>
      </c>
      <c r="CC110" s="306">
        <v>5023.7890204089899</v>
      </c>
      <c r="CD110" s="306">
        <v>0</v>
      </c>
      <c r="CE110" s="306">
        <v>0</v>
      </c>
      <c r="CF110" s="306">
        <v>0</v>
      </c>
      <c r="CG110" s="306">
        <v>0</v>
      </c>
      <c r="CH110" s="306">
        <v>0</v>
      </c>
      <c r="CI110" s="306">
        <v>0</v>
      </c>
      <c r="CJ110" s="306">
        <v>0</v>
      </c>
      <c r="CK110" s="306">
        <v>0</v>
      </c>
      <c r="CL110" s="306">
        <v>0</v>
      </c>
    </row>
    <row r="111" spans="61:90">
      <c r="BI111" s="304" t="s">
        <v>674</v>
      </c>
      <c r="BJ111" s="306">
        <v>0</v>
      </c>
      <c r="BK111" s="306">
        <v>0</v>
      </c>
      <c r="BL111" s="306">
        <v>0</v>
      </c>
      <c r="BM111" s="306">
        <v>0</v>
      </c>
      <c r="BN111" s="306">
        <v>0</v>
      </c>
      <c r="BO111" s="306">
        <v>0</v>
      </c>
      <c r="BP111" s="306">
        <v>0</v>
      </c>
      <c r="BQ111" s="306">
        <v>0</v>
      </c>
      <c r="BR111" s="306">
        <v>0</v>
      </c>
      <c r="BS111" s="306">
        <v>0</v>
      </c>
      <c r="BT111" s="306">
        <v>0</v>
      </c>
      <c r="BU111" s="306">
        <v>0</v>
      </c>
      <c r="BV111" s="306">
        <v>0</v>
      </c>
      <c r="BW111" s="306">
        <v>0</v>
      </c>
      <c r="BX111" s="306">
        <v>0</v>
      </c>
      <c r="BY111" s="306">
        <v>0</v>
      </c>
      <c r="BZ111" s="306">
        <v>0</v>
      </c>
      <c r="CA111" s="306">
        <v>0</v>
      </c>
      <c r="CB111" s="306">
        <v>0</v>
      </c>
      <c r="CC111" s="306">
        <v>0</v>
      </c>
      <c r="CD111" s="306">
        <v>0</v>
      </c>
      <c r="CE111" s="306">
        <v>0</v>
      </c>
      <c r="CF111" s="306">
        <v>242016.07607977401</v>
      </c>
      <c r="CG111" s="306">
        <v>0</v>
      </c>
      <c r="CH111" s="306">
        <v>0</v>
      </c>
      <c r="CI111" s="306">
        <v>0</v>
      </c>
      <c r="CJ111" s="306">
        <v>0</v>
      </c>
      <c r="CK111" s="306">
        <v>0</v>
      </c>
      <c r="CL111" s="306">
        <v>0</v>
      </c>
    </row>
    <row r="112" spans="61:90">
      <c r="BI112" s="304" t="s">
        <v>724</v>
      </c>
      <c r="BJ112" s="306">
        <v>0</v>
      </c>
      <c r="BK112" s="306">
        <v>0</v>
      </c>
      <c r="BL112" s="306">
        <v>0</v>
      </c>
      <c r="BM112" s="306">
        <v>0</v>
      </c>
      <c r="BN112" s="306">
        <v>0</v>
      </c>
      <c r="BO112" s="306">
        <v>0</v>
      </c>
      <c r="BP112" s="306">
        <v>0</v>
      </c>
      <c r="BQ112" s="306">
        <v>0</v>
      </c>
      <c r="BR112" s="306">
        <v>0</v>
      </c>
      <c r="BS112" s="306">
        <v>0</v>
      </c>
      <c r="BT112" s="306">
        <v>0</v>
      </c>
      <c r="BU112" s="306">
        <v>0</v>
      </c>
      <c r="BV112" s="306">
        <v>0</v>
      </c>
      <c r="BW112" s="306">
        <v>0</v>
      </c>
      <c r="BX112" s="306">
        <v>0</v>
      </c>
      <c r="BY112" s="306">
        <v>0</v>
      </c>
      <c r="BZ112" s="306">
        <v>0</v>
      </c>
      <c r="CA112" s="306">
        <v>0</v>
      </c>
      <c r="CB112" s="306">
        <v>0</v>
      </c>
      <c r="CC112" s="306">
        <v>0</v>
      </c>
      <c r="CD112" s="306">
        <v>0</v>
      </c>
      <c r="CE112" s="306">
        <v>0</v>
      </c>
      <c r="CF112" s="306">
        <v>0</v>
      </c>
      <c r="CG112" s="306">
        <v>0</v>
      </c>
      <c r="CH112" s="306">
        <v>0</v>
      </c>
      <c r="CI112" s="306">
        <v>0</v>
      </c>
      <c r="CJ112" s="306">
        <v>0</v>
      </c>
      <c r="CK112" s="306">
        <v>0</v>
      </c>
      <c r="CL112" s="306">
        <v>0</v>
      </c>
    </row>
    <row r="113" spans="61:95">
      <c r="BI113" s="304" t="s">
        <v>725</v>
      </c>
      <c r="BJ113" s="306">
        <v>0</v>
      </c>
      <c r="BK113" s="306">
        <v>0</v>
      </c>
      <c r="BL113" s="306">
        <v>0</v>
      </c>
      <c r="BM113" s="306">
        <v>0</v>
      </c>
      <c r="BN113" s="306">
        <v>0</v>
      </c>
      <c r="BO113" s="306">
        <v>0</v>
      </c>
      <c r="BP113" s="306">
        <v>0</v>
      </c>
      <c r="BQ113" s="306">
        <v>0</v>
      </c>
      <c r="BR113" s="306">
        <v>0</v>
      </c>
      <c r="BS113" s="306">
        <v>0</v>
      </c>
      <c r="BT113" s="306">
        <v>0</v>
      </c>
      <c r="BU113" s="306">
        <v>0</v>
      </c>
      <c r="BV113" s="306">
        <v>0</v>
      </c>
      <c r="BW113" s="306">
        <v>0</v>
      </c>
      <c r="BX113" s="306">
        <v>0</v>
      </c>
      <c r="BY113" s="306">
        <v>0</v>
      </c>
      <c r="BZ113" s="306">
        <v>82.091627997489695</v>
      </c>
      <c r="CA113" s="306">
        <v>0</v>
      </c>
      <c r="CB113" s="306">
        <v>0</v>
      </c>
      <c r="CC113" s="306">
        <v>0</v>
      </c>
      <c r="CD113" s="306">
        <v>0</v>
      </c>
      <c r="CE113" s="306">
        <v>0</v>
      </c>
      <c r="CF113" s="306">
        <v>0</v>
      </c>
      <c r="CG113" s="306">
        <v>0</v>
      </c>
      <c r="CH113" s="306">
        <v>0</v>
      </c>
      <c r="CI113" s="306">
        <v>0</v>
      </c>
      <c r="CJ113" s="306">
        <v>0</v>
      </c>
      <c r="CK113" s="306">
        <v>0</v>
      </c>
      <c r="CL113" s="306">
        <v>0</v>
      </c>
    </row>
    <row r="114" spans="61:95">
      <c r="BI114" s="304" t="s">
        <v>726</v>
      </c>
      <c r="BJ114" s="306">
        <v>0</v>
      </c>
      <c r="BK114" s="306">
        <v>0</v>
      </c>
      <c r="BL114" s="306">
        <v>0</v>
      </c>
      <c r="BM114" s="306">
        <v>0</v>
      </c>
      <c r="BN114" s="306">
        <v>0</v>
      </c>
      <c r="BO114" s="306">
        <v>0</v>
      </c>
      <c r="BP114" s="306">
        <v>0</v>
      </c>
      <c r="BQ114" s="306">
        <v>0</v>
      </c>
      <c r="BR114" s="306">
        <v>0</v>
      </c>
      <c r="BS114" s="306">
        <v>0</v>
      </c>
      <c r="BT114" s="306">
        <v>0</v>
      </c>
      <c r="BU114" s="306">
        <v>0</v>
      </c>
      <c r="BV114" s="306">
        <v>0</v>
      </c>
      <c r="BW114" s="306">
        <v>0</v>
      </c>
      <c r="BX114" s="306">
        <v>0</v>
      </c>
      <c r="BY114" s="306">
        <v>0</v>
      </c>
      <c r="BZ114" s="306">
        <v>0</v>
      </c>
      <c r="CA114" s="306">
        <v>0</v>
      </c>
      <c r="CB114" s="306">
        <v>0</v>
      </c>
      <c r="CC114" s="306">
        <v>0</v>
      </c>
      <c r="CD114" s="306">
        <v>82.091627997489695</v>
      </c>
      <c r="CE114" s="306">
        <v>0</v>
      </c>
      <c r="CF114" s="306">
        <v>0</v>
      </c>
      <c r="CG114" s="306">
        <v>0</v>
      </c>
      <c r="CH114" s="306">
        <v>0</v>
      </c>
      <c r="CI114" s="306">
        <v>0</v>
      </c>
      <c r="CJ114" s="306">
        <v>0</v>
      </c>
      <c r="CK114" s="306">
        <v>0</v>
      </c>
      <c r="CL114" s="306">
        <v>0</v>
      </c>
    </row>
    <row r="115" spans="61:95">
      <c r="BI115" s="304" t="s">
        <v>675</v>
      </c>
      <c r="BJ115" s="306">
        <v>0</v>
      </c>
      <c r="BK115" s="306">
        <v>0</v>
      </c>
      <c r="BL115" s="306">
        <v>0</v>
      </c>
      <c r="BM115" s="306">
        <v>0</v>
      </c>
      <c r="BN115" s="306">
        <v>0</v>
      </c>
      <c r="BO115" s="306">
        <v>0</v>
      </c>
      <c r="BP115" s="306">
        <v>0</v>
      </c>
      <c r="BQ115" s="306">
        <v>0</v>
      </c>
      <c r="BR115" s="306">
        <v>0</v>
      </c>
      <c r="BS115" s="306">
        <v>0</v>
      </c>
      <c r="BT115" s="306">
        <v>0</v>
      </c>
      <c r="BU115" s="306">
        <v>0</v>
      </c>
      <c r="BV115" s="306">
        <v>0</v>
      </c>
      <c r="BW115" s="306">
        <v>0</v>
      </c>
      <c r="BX115" s="306">
        <v>0</v>
      </c>
      <c r="BY115" s="306">
        <v>0</v>
      </c>
      <c r="BZ115" s="306">
        <v>0</v>
      </c>
      <c r="CA115" s="306">
        <v>0</v>
      </c>
      <c r="CB115" s="306">
        <v>0</v>
      </c>
      <c r="CC115" s="306">
        <v>0</v>
      </c>
      <c r="CD115" s="306">
        <v>0</v>
      </c>
      <c r="CE115" s="306">
        <v>0</v>
      </c>
      <c r="CF115" s="306">
        <v>0</v>
      </c>
      <c r="CG115" s="306">
        <v>0</v>
      </c>
      <c r="CH115" s="306">
        <v>0</v>
      </c>
      <c r="CI115" s="306">
        <v>0</v>
      </c>
      <c r="CJ115" s="306">
        <v>0</v>
      </c>
      <c r="CK115" s="306">
        <v>0</v>
      </c>
      <c r="CL115" s="306">
        <v>0</v>
      </c>
    </row>
    <row r="116" spans="61:95">
      <c r="BI116" s="304" t="s">
        <v>676</v>
      </c>
      <c r="BJ116" s="306">
        <v>2830357.1263978099</v>
      </c>
      <c r="BK116" s="306">
        <v>0</v>
      </c>
      <c r="BL116" s="306">
        <v>0</v>
      </c>
      <c r="BM116" s="306">
        <v>0</v>
      </c>
      <c r="BN116" s="306">
        <v>0</v>
      </c>
      <c r="BO116" s="306">
        <v>0</v>
      </c>
      <c r="BP116" s="306">
        <v>0</v>
      </c>
      <c r="BQ116" s="306">
        <v>0</v>
      </c>
      <c r="BR116" s="306">
        <v>0</v>
      </c>
      <c r="BS116" s="306">
        <v>0</v>
      </c>
      <c r="BT116" s="306">
        <v>0</v>
      </c>
      <c r="BU116" s="306">
        <v>0</v>
      </c>
      <c r="BV116" s="306">
        <v>0</v>
      </c>
      <c r="BW116" s="306">
        <v>0</v>
      </c>
      <c r="BX116" s="306">
        <v>0</v>
      </c>
      <c r="BY116" s="306">
        <v>0</v>
      </c>
      <c r="BZ116" s="306">
        <v>0</v>
      </c>
      <c r="CA116" s="306">
        <v>0</v>
      </c>
      <c r="CB116" s="306">
        <v>0</v>
      </c>
      <c r="CC116" s="306">
        <v>0</v>
      </c>
      <c r="CD116" s="306">
        <v>0</v>
      </c>
      <c r="CE116" s="306">
        <v>0</v>
      </c>
      <c r="CF116" s="306">
        <v>0</v>
      </c>
      <c r="CG116" s="306">
        <v>0</v>
      </c>
      <c r="CH116" s="306">
        <v>0</v>
      </c>
      <c r="CI116" s="306">
        <v>0</v>
      </c>
      <c r="CJ116" s="306">
        <v>0</v>
      </c>
      <c r="CK116" s="306">
        <v>0</v>
      </c>
      <c r="CL116" s="306">
        <v>0</v>
      </c>
    </row>
    <row r="117" spans="61:95">
      <c r="BI117" s="304" t="s">
        <v>677</v>
      </c>
      <c r="BJ117" s="306">
        <v>0</v>
      </c>
      <c r="BK117" s="306">
        <v>0</v>
      </c>
      <c r="BL117" s="306">
        <v>0</v>
      </c>
      <c r="BM117" s="306">
        <v>0</v>
      </c>
      <c r="BN117" s="306">
        <v>0</v>
      </c>
      <c r="BO117" s="306">
        <v>0</v>
      </c>
      <c r="BP117" s="306">
        <v>4043367.3234254499</v>
      </c>
      <c r="BQ117" s="306">
        <v>0</v>
      </c>
      <c r="BR117" s="306">
        <v>0</v>
      </c>
      <c r="BS117" s="306">
        <v>0</v>
      </c>
      <c r="BT117" s="306">
        <v>0</v>
      </c>
      <c r="BU117" s="306">
        <v>0</v>
      </c>
      <c r="BV117" s="306">
        <v>0</v>
      </c>
      <c r="BW117" s="306">
        <v>0</v>
      </c>
      <c r="BX117" s="306">
        <v>0</v>
      </c>
      <c r="BY117" s="306">
        <v>0</v>
      </c>
      <c r="BZ117" s="306">
        <v>0</v>
      </c>
      <c r="CA117" s="306">
        <v>0</v>
      </c>
      <c r="CB117" s="306">
        <v>0</v>
      </c>
      <c r="CC117" s="306">
        <v>0</v>
      </c>
      <c r="CD117" s="306">
        <v>0</v>
      </c>
      <c r="CE117" s="306">
        <v>0</v>
      </c>
      <c r="CF117" s="306">
        <v>0</v>
      </c>
      <c r="CG117" s="306">
        <v>0</v>
      </c>
      <c r="CH117" s="306">
        <v>0</v>
      </c>
      <c r="CI117" s="306">
        <v>0</v>
      </c>
      <c r="CJ117" s="306">
        <v>0</v>
      </c>
      <c r="CK117" s="306">
        <v>0</v>
      </c>
      <c r="CL117" s="306">
        <v>0</v>
      </c>
    </row>
    <row r="118" spans="61:95">
      <c r="BI118" s="304" t="s">
        <v>727</v>
      </c>
      <c r="BJ118" s="306">
        <v>0</v>
      </c>
      <c r="BK118" s="306">
        <v>0</v>
      </c>
      <c r="BL118" s="306">
        <v>0</v>
      </c>
      <c r="BM118" s="306">
        <v>0</v>
      </c>
      <c r="BN118" s="306">
        <v>0</v>
      </c>
      <c r="BO118" s="306">
        <v>0</v>
      </c>
      <c r="BP118" s="306">
        <v>0</v>
      </c>
      <c r="BQ118" s="306">
        <v>0</v>
      </c>
      <c r="BR118" s="306">
        <v>0</v>
      </c>
      <c r="BS118" s="306">
        <v>0</v>
      </c>
      <c r="BT118" s="306">
        <v>0</v>
      </c>
      <c r="BU118" s="306">
        <v>0</v>
      </c>
      <c r="BV118" s="306">
        <v>0</v>
      </c>
      <c r="BW118" s="306">
        <v>0</v>
      </c>
      <c r="BX118" s="306">
        <v>0</v>
      </c>
      <c r="BY118" s="306">
        <v>0</v>
      </c>
      <c r="BZ118" s="306">
        <v>43.206119998678503</v>
      </c>
      <c r="CA118" s="306">
        <v>0</v>
      </c>
      <c r="CB118" s="306">
        <v>0</v>
      </c>
      <c r="CC118" s="306">
        <v>0</v>
      </c>
      <c r="CD118" s="306">
        <v>0</v>
      </c>
      <c r="CE118" s="306">
        <v>0</v>
      </c>
      <c r="CF118" s="306">
        <v>0</v>
      </c>
      <c r="CG118" s="306">
        <v>0</v>
      </c>
      <c r="CH118" s="306">
        <v>0</v>
      </c>
      <c r="CI118" s="306">
        <v>0</v>
      </c>
      <c r="CJ118" s="306">
        <v>0</v>
      </c>
      <c r="CK118" s="306">
        <v>0</v>
      </c>
      <c r="CL118" s="306">
        <v>0</v>
      </c>
    </row>
    <row r="119" spans="61:95">
      <c r="BI119" s="304" t="s">
        <v>728</v>
      </c>
      <c r="BJ119" s="306">
        <v>0</v>
      </c>
      <c r="BK119" s="306">
        <v>0</v>
      </c>
      <c r="BL119" s="306">
        <v>0</v>
      </c>
      <c r="BM119" s="306">
        <v>0</v>
      </c>
      <c r="BN119" s="306">
        <v>0</v>
      </c>
      <c r="BO119" s="306">
        <v>0</v>
      </c>
      <c r="BP119" s="306">
        <v>0</v>
      </c>
      <c r="BQ119" s="306">
        <v>0</v>
      </c>
      <c r="BR119" s="306">
        <v>0</v>
      </c>
      <c r="BS119" s="306">
        <v>0</v>
      </c>
      <c r="BT119" s="306">
        <v>0</v>
      </c>
      <c r="BU119" s="306">
        <v>0</v>
      </c>
      <c r="BV119" s="306">
        <v>0</v>
      </c>
      <c r="BW119" s="306">
        <v>0</v>
      </c>
      <c r="BX119" s="306">
        <v>0</v>
      </c>
      <c r="BY119" s="306">
        <v>0</v>
      </c>
      <c r="BZ119" s="306">
        <v>0</v>
      </c>
      <c r="CA119" s="306">
        <v>0</v>
      </c>
      <c r="CB119" s="306">
        <v>0</v>
      </c>
      <c r="CC119" s="306">
        <v>0</v>
      </c>
      <c r="CD119" s="306">
        <v>0</v>
      </c>
      <c r="CE119" s="306">
        <v>43.206119998678503</v>
      </c>
      <c r="CF119" s="306">
        <v>0</v>
      </c>
      <c r="CG119" s="306">
        <v>0</v>
      </c>
      <c r="CH119" s="306">
        <v>0</v>
      </c>
      <c r="CI119" s="306">
        <v>0</v>
      </c>
      <c r="CJ119" s="306">
        <v>0</v>
      </c>
      <c r="CK119" s="306">
        <v>0</v>
      </c>
      <c r="CL119" s="306">
        <v>0</v>
      </c>
    </row>
    <row r="120" spans="61:95">
      <c r="BI120" s="304"/>
      <c r="BJ120" s="390" t="s">
        <v>705</v>
      </c>
      <c r="BK120" s="402"/>
      <c r="BL120" s="402"/>
      <c r="BM120" s="402"/>
      <c r="BN120" s="402"/>
      <c r="BO120" s="402"/>
      <c r="BP120" s="402"/>
      <c r="BQ120" s="402"/>
      <c r="BR120" s="402"/>
      <c r="BS120" s="402"/>
      <c r="BT120" s="402"/>
      <c r="BU120" s="402"/>
      <c r="BV120" s="402"/>
      <c r="BW120" s="402"/>
      <c r="BX120" s="402"/>
      <c r="BY120" s="402"/>
      <c r="BZ120" s="402"/>
      <c r="CA120" s="402"/>
      <c r="CB120" s="402"/>
      <c r="CC120" s="402"/>
      <c r="CD120" s="402"/>
      <c r="CE120" s="402"/>
      <c r="CF120" s="402"/>
      <c r="CG120" s="402"/>
      <c r="CH120" s="402"/>
      <c r="CI120" s="402"/>
      <c r="CJ120" s="402"/>
      <c r="CK120" s="402"/>
      <c r="CL120" s="402"/>
    </row>
    <row r="123" spans="61:95" ht="175.2">
      <c r="BI123" s="303" t="s">
        <v>641</v>
      </c>
      <c r="BJ123" s="234" t="s">
        <v>683</v>
      </c>
      <c r="BK123" s="234" t="s">
        <v>684</v>
      </c>
      <c r="BL123" s="234" t="s">
        <v>685</v>
      </c>
      <c r="BM123" s="234" t="s">
        <v>686</v>
      </c>
      <c r="BN123" s="234" t="s">
        <v>749</v>
      </c>
      <c r="BO123" s="234" t="s">
        <v>750</v>
      </c>
      <c r="BP123" s="234" t="s">
        <v>687</v>
      </c>
      <c r="BQ123" s="234" t="s">
        <v>688</v>
      </c>
      <c r="BR123" s="234" t="s">
        <v>689</v>
      </c>
      <c r="BS123" s="234" t="s">
        <v>751</v>
      </c>
      <c r="BT123" s="234" t="s">
        <v>690</v>
      </c>
      <c r="BU123" s="234" t="s">
        <v>691</v>
      </c>
      <c r="BV123" s="234" t="s">
        <v>692</v>
      </c>
      <c r="BW123" s="234" t="s">
        <v>693</v>
      </c>
      <c r="BX123" s="234" t="s">
        <v>694</v>
      </c>
      <c r="BY123" s="234" t="s">
        <v>695</v>
      </c>
      <c r="BZ123" s="234" t="s">
        <v>752</v>
      </c>
      <c r="CA123" s="234" t="s">
        <v>753</v>
      </c>
      <c r="CB123" s="234" t="s">
        <v>754</v>
      </c>
      <c r="CC123" s="234" t="s">
        <v>755</v>
      </c>
      <c r="CD123" s="234" t="s">
        <v>756</v>
      </c>
      <c r="CE123" s="234" t="s">
        <v>757</v>
      </c>
      <c r="CF123" s="234" t="s">
        <v>696</v>
      </c>
      <c r="CG123" s="234" t="s">
        <v>758</v>
      </c>
      <c r="CH123" s="234" t="s">
        <v>759</v>
      </c>
      <c r="CI123" s="234" t="s">
        <v>760</v>
      </c>
      <c r="CJ123" s="234" t="s">
        <v>761</v>
      </c>
      <c r="CK123" s="234" t="s">
        <v>697</v>
      </c>
      <c r="CL123" s="234" t="s">
        <v>762</v>
      </c>
      <c r="CO123" s="303" t="s">
        <v>641</v>
      </c>
      <c r="CP123" s="234" t="s">
        <v>700</v>
      </c>
      <c r="CQ123" s="234" t="s">
        <v>701</v>
      </c>
    </row>
    <row r="124" spans="61:95">
      <c r="BI124" s="304" t="s">
        <v>642</v>
      </c>
      <c r="BJ124" s="305">
        <v>0</v>
      </c>
      <c r="BK124" s="305">
        <v>0</v>
      </c>
      <c r="BL124" s="305">
        <v>0</v>
      </c>
      <c r="BM124" s="305">
        <v>0</v>
      </c>
      <c r="BN124" s="305">
        <v>0</v>
      </c>
      <c r="BO124" s="305">
        <v>0</v>
      </c>
      <c r="BP124" s="305">
        <v>0</v>
      </c>
      <c r="BQ124" s="305">
        <v>0</v>
      </c>
      <c r="BR124" s="305">
        <v>0</v>
      </c>
      <c r="BS124" s="305">
        <v>0</v>
      </c>
      <c r="BT124" s="305">
        <v>0</v>
      </c>
      <c r="BU124" s="305">
        <v>0</v>
      </c>
      <c r="BV124" s="305">
        <v>0</v>
      </c>
      <c r="BW124" s="305">
        <v>0</v>
      </c>
      <c r="BX124" s="305">
        <v>0</v>
      </c>
      <c r="BY124" s="305">
        <v>0</v>
      </c>
      <c r="BZ124" s="305">
        <v>0</v>
      </c>
      <c r="CA124" s="305">
        <v>0</v>
      </c>
      <c r="CB124" s="305">
        <v>0</v>
      </c>
      <c r="CC124" s="305">
        <v>0</v>
      </c>
      <c r="CD124" s="305">
        <v>0</v>
      </c>
      <c r="CE124" s="305">
        <v>0</v>
      </c>
      <c r="CF124" s="305">
        <v>6408288.6211381704</v>
      </c>
      <c r="CG124" s="305">
        <v>0</v>
      </c>
      <c r="CH124" s="305">
        <v>0</v>
      </c>
      <c r="CI124" s="305">
        <v>0</v>
      </c>
      <c r="CJ124" s="305">
        <v>0</v>
      </c>
      <c r="CK124" s="305">
        <v>0</v>
      </c>
      <c r="CL124" s="305">
        <v>0</v>
      </c>
      <c r="CO124" s="304" t="s">
        <v>642</v>
      </c>
      <c r="CP124" s="302">
        <v>0</v>
      </c>
      <c r="CQ124" s="302">
        <v>0</v>
      </c>
    </row>
    <row r="125" spans="61:95">
      <c r="BI125" s="304" t="s">
        <v>708</v>
      </c>
      <c r="BJ125" s="305">
        <v>0</v>
      </c>
      <c r="BK125" s="305">
        <v>0</v>
      </c>
      <c r="BL125" s="305">
        <v>0</v>
      </c>
      <c r="BM125" s="305">
        <v>0</v>
      </c>
      <c r="BN125" s="305">
        <v>0</v>
      </c>
      <c r="BO125" s="305">
        <v>45017.590801780199</v>
      </c>
      <c r="BP125" s="305">
        <v>0</v>
      </c>
      <c r="BQ125" s="305">
        <v>0</v>
      </c>
      <c r="BR125" s="305">
        <v>0</v>
      </c>
      <c r="BS125" s="305">
        <v>0</v>
      </c>
      <c r="BT125" s="305">
        <v>0</v>
      </c>
      <c r="BU125" s="305">
        <v>0</v>
      </c>
      <c r="BV125" s="305">
        <v>0</v>
      </c>
      <c r="BW125" s="305">
        <v>0</v>
      </c>
      <c r="BX125" s="305">
        <v>0</v>
      </c>
      <c r="BY125" s="305">
        <v>0</v>
      </c>
      <c r="BZ125" s="305">
        <v>0</v>
      </c>
      <c r="CA125" s="305">
        <v>0</v>
      </c>
      <c r="CB125" s="305">
        <v>0</v>
      </c>
      <c r="CC125" s="305">
        <v>0</v>
      </c>
      <c r="CD125" s="305">
        <v>0</v>
      </c>
      <c r="CE125" s="305">
        <v>0</v>
      </c>
      <c r="CF125" s="305">
        <v>0</v>
      </c>
      <c r="CG125" s="305">
        <v>0</v>
      </c>
      <c r="CH125" s="305">
        <v>0</v>
      </c>
      <c r="CI125" s="305">
        <v>0</v>
      </c>
      <c r="CJ125" s="305">
        <v>0</v>
      </c>
      <c r="CK125" s="305">
        <v>0</v>
      </c>
      <c r="CL125" s="305">
        <v>0</v>
      </c>
      <c r="CO125" s="304" t="s">
        <v>708</v>
      </c>
      <c r="CP125" s="302">
        <v>0</v>
      </c>
      <c r="CQ125" s="302">
        <v>0</v>
      </c>
    </row>
    <row r="126" spans="61:95">
      <c r="BI126" s="304" t="s">
        <v>643</v>
      </c>
      <c r="BJ126" s="305">
        <v>0</v>
      </c>
      <c r="BK126" s="305">
        <v>0</v>
      </c>
      <c r="BL126" s="305">
        <v>0</v>
      </c>
      <c r="BM126" s="305">
        <v>0</v>
      </c>
      <c r="BN126" s="305">
        <v>0</v>
      </c>
      <c r="BO126" s="305">
        <v>0</v>
      </c>
      <c r="BP126" s="305">
        <v>0</v>
      </c>
      <c r="BQ126" s="305">
        <v>0</v>
      </c>
      <c r="BR126" s="305">
        <v>0</v>
      </c>
      <c r="BS126" s="305">
        <v>0</v>
      </c>
      <c r="BT126" s="305">
        <v>0</v>
      </c>
      <c r="BU126" s="305">
        <v>0</v>
      </c>
      <c r="BV126" s="305">
        <v>0</v>
      </c>
      <c r="BW126" s="305">
        <v>0</v>
      </c>
      <c r="BX126" s="305">
        <v>0</v>
      </c>
      <c r="BY126" s="305">
        <v>0</v>
      </c>
      <c r="BZ126" s="305">
        <v>0</v>
      </c>
      <c r="CA126" s="305">
        <v>0</v>
      </c>
      <c r="CB126" s="305">
        <v>0</v>
      </c>
      <c r="CC126" s="305">
        <v>0</v>
      </c>
      <c r="CD126" s="305">
        <v>0</v>
      </c>
      <c r="CE126" s="305">
        <v>0</v>
      </c>
      <c r="CF126" s="305">
        <v>0</v>
      </c>
      <c r="CG126" s="305">
        <v>0</v>
      </c>
      <c r="CH126" s="305">
        <v>0</v>
      </c>
      <c r="CI126" s="305">
        <v>0</v>
      </c>
      <c r="CJ126" s="305">
        <v>0</v>
      </c>
      <c r="CK126" s="305">
        <v>0</v>
      </c>
      <c r="CL126" s="305">
        <v>0</v>
      </c>
      <c r="CO126" s="304" t="s">
        <v>643</v>
      </c>
      <c r="CP126" s="302">
        <v>0</v>
      </c>
      <c r="CQ126" s="302">
        <v>8991.6203231094005</v>
      </c>
    </row>
    <row r="127" spans="61:95">
      <c r="BI127" s="304" t="s">
        <v>644</v>
      </c>
      <c r="BJ127" s="305">
        <v>0</v>
      </c>
      <c r="BK127" s="305">
        <v>0</v>
      </c>
      <c r="BL127" s="305">
        <v>0</v>
      </c>
      <c r="BM127" s="305">
        <v>0</v>
      </c>
      <c r="BN127" s="305">
        <v>0</v>
      </c>
      <c r="BO127" s="305">
        <v>0</v>
      </c>
      <c r="BP127" s="305">
        <v>0</v>
      </c>
      <c r="BQ127" s="305">
        <v>0</v>
      </c>
      <c r="BR127" s="305">
        <v>0</v>
      </c>
      <c r="BS127" s="305">
        <v>0</v>
      </c>
      <c r="BT127" s="305">
        <v>0</v>
      </c>
      <c r="BU127" s="305">
        <v>0</v>
      </c>
      <c r="BV127" s="305">
        <v>0</v>
      </c>
      <c r="BW127" s="305">
        <v>0</v>
      </c>
      <c r="BX127" s="305">
        <v>0</v>
      </c>
      <c r="BY127" s="305">
        <v>0</v>
      </c>
      <c r="BZ127" s="305">
        <v>0</v>
      </c>
      <c r="CA127" s="305">
        <v>0</v>
      </c>
      <c r="CB127" s="305">
        <v>0</v>
      </c>
      <c r="CC127" s="305">
        <v>0</v>
      </c>
      <c r="CD127" s="305">
        <v>0</v>
      </c>
      <c r="CE127" s="305">
        <v>0</v>
      </c>
      <c r="CF127" s="305">
        <v>0</v>
      </c>
      <c r="CG127" s="305">
        <v>0</v>
      </c>
      <c r="CH127" s="305">
        <v>0</v>
      </c>
      <c r="CI127" s="305">
        <v>0</v>
      </c>
      <c r="CJ127" s="305">
        <v>0</v>
      </c>
      <c r="CK127" s="305">
        <v>0</v>
      </c>
      <c r="CL127" s="305">
        <v>0</v>
      </c>
      <c r="CO127" s="304" t="s">
        <v>644</v>
      </c>
      <c r="CP127" s="302">
        <v>0</v>
      </c>
      <c r="CQ127" s="302">
        <v>404209.15818875801</v>
      </c>
    </row>
    <row r="128" spans="61:95">
      <c r="BI128" s="304" t="s">
        <v>645</v>
      </c>
      <c r="BJ128" s="305">
        <v>6682782.3361421302</v>
      </c>
      <c r="BK128" s="305">
        <v>0</v>
      </c>
      <c r="BL128" s="305">
        <v>0</v>
      </c>
      <c r="BM128" s="305">
        <v>0</v>
      </c>
      <c r="BN128" s="305">
        <v>0</v>
      </c>
      <c r="BO128" s="305">
        <v>0</v>
      </c>
      <c r="BP128" s="305">
        <v>0</v>
      </c>
      <c r="BQ128" s="305">
        <v>0</v>
      </c>
      <c r="BR128" s="305">
        <v>0</v>
      </c>
      <c r="BS128" s="305">
        <v>0</v>
      </c>
      <c r="BT128" s="305">
        <v>0</v>
      </c>
      <c r="BU128" s="305">
        <v>0</v>
      </c>
      <c r="BV128" s="305">
        <v>0</v>
      </c>
      <c r="BW128" s="305">
        <v>0</v>
      </c>
      <c r="BX128" s="305">
        <v>0</v>
      </c>
      <c r="BY128" s="305">
        <v>0</v>
      </c>
      <c r="BZ128" s="305">
        <v>0</v>
      </c>
      <c r="CA128" s="305">
        <v>0</v>
      </c>
      <c r="CB128" s="305">
        <v>0</v>
      </c>
      <c r="CC128" s="305">
        <v>0</v>
      </c>
      <c r="CD128" s="305">
        <v>0</v>
      </c>
      <c r="CE128" s="305">
        <v>0</v>
      </c>
      <c r="CF128" s="305">
        <v>0</v>
      </c>
      <c r="CG128" s="305">
        <v>0</v>
      </c>
      <c r="CH128" s="305">
        <v>0</v>
      </c>
      <c r="CI128" s="305">
        <v>0</v>
      </c>
      <c r="CJ128" s="305">
        <v>0</v>
      </c>
      <c r="CK128" s="305">
        <v>0</v>
      </c>
      <c r="CL128" s="305">
        <v>0</v>
      </c>
      <c r="CO128" s="304" t="s">
        <v>645</v>
      </c>
      <c r="CP128" s="302">
        <v>0</v>
      </c>
      <c r="CQ128" s="302">
        <v>0</v>
      </c>
    </row>
    <row r="129" spans="61:95">
      <c r="BI129" s="304" t="s">
        <v>646</v>
      </c>
      <c r="BJ129" s="305">
        <v>0</v>
      </c>
      <c r="BK129" s="305">
        <v>0</v>
      </c>
      <c r="BL129" s="305">
        <v>0</v>
      </c>
      <c r="BM129" s="305">
        <v>0</v>
      </c>
      <c r="BN129" s="305">
        <v>0</v>
      </c>
      <c r="BO129" s="305">
        <v>0</v>
      </c>
      <c r="BP129" s="305">
        <v>0</v>
      </c>
      <c r="BQ129" s="305">
        <v>0</v>
      </c>
      <c r="BR129" s="305">
        <v>8855804.3203369807</v>
      </c>
      <c r="BS129" s="305">
        <v>0</v>
      </c>
      <c r="BT129" s="305">
        <v>0</v>
      </c>
      <c r="BU129" s="305">
        <v>0</v>
      </c>
      <c r="BV129" s="305">
        <v>0</v>
      </c>
      <c r="BW129" s="305">
        <v>0</v>
      </c>
      <c r="BX129" s="305">
        <v>0</v>
      </c>
      <c r="BY129" s="305">
        <v>0</v>
      </c>
      <c r="BZ129" s="305">
        <v>0</v>
      </c>
      <c r="CA129" s="305">
        <v>0</v>
      </c>
      <c r="CB129" s="305">
        <v>0</v>
      </c>
      <c r="CC129" s="305">
        <v>0</v>
      </c>
      <c r="CD129" s="305">
        <v>0</v>
      </c>
      <c r="CE129" s="305">
        <v>0</v>
      </c>
      <c r="CF129" s="305">
        <v>0</v>
      </c>
      <c r="CG129" s="305">
        <v>0</v>
      </c>
      <c r="CH129" s="305">
        <v>0</v>
      </c>
      <c r="CI129" s="305">
        <v>0</v>
      </c>
      <c r="CJ129" s="305">
        <v>0</v>
      </c>
      <c r="CK129" s="305">
        <v>0</v>
      </c>
      <c r="CL129" s="305">
        <v>0</v>
      </c>
      <c r="CO129" s="304" t="s">
        <v>646</v>
      </c>
      <c r="CP129" s="302">
        <v>0</v>
      </c>
      <c r="CQ129" s="302">
        <v>0</v>
      </c>
    </row>
    <row r="130" spans="61:95">
      <c r="BI130" s="304" t="s">
        <v>647</v>
      </c>
      <c r="BJ130" s="305">
        <v>0</v>
      </c>
      <c r="BK130" s="305">
        <v>0</v>
      </c>
      <c r="BL130" s="305">
        <v>0</v>
      </c>
      <c r="BM130" s="305">
        <v>8855804.3203369807</v>
      </c>
      <c r="BN130" s="305">
        <v>0</v>
      </c>
      <c r="BO130" s="305">
        <v>0</v>
      </c>
      <c r="BP130" s="305">
        <v>0</v>
      </c>
      <c r="BQ130" s="305">
        <v>0</v>
      </c>
      <c r="BR130" s="305">
        <v>0</v>
      </c>
      <c r="BS130" s="305">
        <v>0</v>
      </c>
      <c r="BT130" s="305">
        <v>0</v>
      </c>
      <c r="BU130" s="305">
        <v>0</v>
      </c>
      <c r="BV130" s="305">
        <v>0</v>
      </c>
      <c r="BW130" s="305">
        <v>0</v>
      </c>
      <c r="BX130" s="305">
        <v>0</v>
      </c>
      <c r="BY130" s="305">
        <v>0</v>
      </c>
      <c r="BZ130" s="305">
        <v>0</v>
      </c>
      <c r="CA130" s="305">
        <v>0</v>
      </c>
      <c r="CB130" s="305">
        <v>0</v>
      </c>
      <c r="CC130" s="305">
        <v>0</v>
      </c>
      <c r="CD130" s="305">
        <v>0</v>
      </c>
      <c r="CE130" s="305">
        <v>0</v>
      </c>
      <c r="CF130" s="305">
        <v>0</v>
      </c>
      <c r="CG130" s="305">
        <v>0</v>
      </c>
      <c r="CH130" s="305">
        <v>0</v>
      </c>
      <c r="CI130" s="305">
        <v>0</v>
      </c>
      <c r="CJ130" s="305">
        <v>0</v>
      </c>
      <c r="CK130" s="305">
        <v>0</v>
      </c>
      <c r="CL130" s="305">
        <v>0</v>
      </c>
      <c r="CO130" s="304" t="s">
        <v>647</v>
      </c>
      <c r="CP130" s="302">
        <v>0</v>
      </c>
      <c r="CQ130" s="302">
        <v>0</v>
      </c>
    </row>
    <row r="131" spans="61:95">
      <c r="BI131" s="304" t="s">
        <v>648</v>
      </c>
      <c r="BJ131" s="305">
        <v>0</v>
      </c>
      <c r="BK131" s="305">
        <v>8855804.3203369807</v>
      </c>
      <c r="BL131" s="305">
        <v>0</v>
      </c>
      <c r="BM131" s="305">
        <v>0</v>
      </c>
      <c r="BN131" s="305">
        <v>0</v>
      </c>
      <c r="BO131" s="305">
        <v>0</v>
      </c>
      <c r="BP131" s="305">
        <v>0</v>
      </c>
      <c r="BQ131" s="305">
        <v>0</v>
      </c>
      <c r="BR131" s="305">
        <v>0</v>
      </c>
      <c r="BS131" s="305">
        <v>0</v>
      </c>
      <c r="BT131" s="305">
        <v>0</v>
      </c>
      <c r="BU131" s="305">
        <v>0</v>
      </c>
      <c r="BV131" s="305">
        <v>0</v>
      </c>
      <c r="BW131" s="305">
        <v>0</v>
      </c>
      <c r="BX131" s="305">
        <v>0</v>
      </c>
      <c r="BY131" s="305">
        <v>0</v>
      </c>
      <c r="BZ131" s="305">
        <v>0</v>
      </c>
      <c r="CA131" s="305">
        <v>0</v>
      </c>
      <c r="CB131" s="305">
        <v>0</v>
      </c>
      <c r="CC131" s="305">
        <v>0</v>
      </c>
      <c r="CD131" s="305">
        <v>0</v>
      </c>
      <c r="CE131" s="305">
        <v>0</v>
      </c>
      <c r="CF131" s="305">
        <v>0</v>
      </c>
      <c r="CG131" s="305">
        <v>0</v>
      </c>
      <c r="CH131" s="305">
        <v>0</v>
      </c>
      <c r="CI131" s="305">
        <v>0</v>
      </c>
      <c r="CJ131" s="305">
        <v>0</v>
      </c>
      <c r="CK131" s="305">
        <v>0</v>
      </c>
      <c r="CL131" s="305">
        <v>0</v>
      </c>
      <c r="CO131" s="304" t="s">
        <v>648</v>
      </c>
      <c r="CP131" s="302">
        <v>0</v>
      </c>
      <c r="CQ131" s="302">
        <v>0</v>
      </c>
    </row>
    <row r="132" spans="61:95">
      <c r="BI132" s="304" t="s">
        <v>649</v>
      </c>
      <c r="BJ132" s="305">
        <v>0</v>
      </c>
      <c r="BK132" s="305">
        <v>0</v>
      </c>
      <c r="BL132" s="305">
        <v>8850991.3601140399</v>
      </c>
      <c r="BM132" s="305">
        <v>0</v>
      </c>
      <c r="BN132" s="305">
        <v>0</v>
      </c>
      <c r="BO132" s="305">
        <v>0</v>
      </c>
      <c r="BP132" s="305">
        <v>0</v>
      </c>
      <c r="BQ132" s="305">
        <v>0</v>
      </c>
      <c r="BR132" s="305">
        <v>0</v>
      </c>
      <c r="BS132" s="305">
        <v>0</v>
      </c>
      <c r="BT132" s="305">
        <v>0</v>
      </c>
      <c r="BU132" s="305">
        <v>0</v>
      </c>
      <c r="BV132" s="305">
        <v>0</v>
      </c>
      <c r="BW132" s="305">
        <v>0</v>
      </c>
      <c r="BX132" s="305">
        <v>0</v>
      </c>
      <c r="BY132" s="305">
        <v>0</v>
      </c>
      <c r="BZ132" s="305">
        <v>0</v>
      </c>
      <c r="CA132" s="305">
        <v>0</v>
      </c>
      <c r="CB132" s="305">
        <v>0</v>
      </c>
      <c r="CC132" s="305">
        <v>0</v>
      </c>
      <c r="CD132" s="305">
        <v>0</v>
      </c>
      <c r="CE132" s="305">
        <v>0</v>
      </c>
      <c r="CF132" s="305">
        <v>0</v>
      </c>
      <c r="CG132" s="305">
        <v>0</v>
      </c>
      <c r="CH132" s="305">
        <v>0</v>
      </c>
      <c r="CI132" s="305">
        <v>0</v>
      </c>
      <c r="CJ132" s="305">
        <v>0</v>
      </c>
      <c r="CK132" s="305">
        <v>0</v>
      </c>
      <c r="CL132" s="305">
        <v>0</v>
      </c>
      <c r="CO132" s="304" t="s">
        <v>649</v>
      </c>
      <c r="CP132" s="302">
        <v>0</v>
      </c>
      <c r="CQ132" s="302">
        <v>0</v>
      </c>
    </row>
    <row r="133" spans="61:95">
      <c r="BI133" s="304" t="s">
        <v>650</v>
      </c>
      <c r="BJ133" s="305">
        <v>0</v>
      </c>
      <c r="BK133" s="305">
        <v>0</v>
      </c>
      <c r="BL133" s="305">
        <v>0</v>
      </c>
      <c r="BM133" s="305">
        <v>0</v>
      </c>
      <c r="BN133" s="305">
        <v>0</v>
      </c>
      <c r="BO133" s="305">
        <v>0</v>
      </c>
      <c r="BP133" s="305">
        <v>0</v>
      </c>
      <c r="BQ133" s="305">
        <v>4026178.1360752499</v>
      </c>
      <c r="BR133" s="305">
        <v>0</v>
      </c>
      <c r="BS133" s="305">
        <v>0</v>
      </c>
      <c r="BT133" s="305">
        <v>0</v>
      </c>
      <c r="BU133" s="305">
        <v>0</v>
      </c>
      <c r="BV133" s="305">
        <v>0</v>
      </c>
      <c r="BW133" s="305">
        <v>0</v>
      </c>
      <c r="BX133" s="305">
        <v>0</v>
      </c>
      <c r="BY133" s="305">
        <v>0</v>
      </c>
      <c r="BZ133" s="305">
        <v>0</v>
      </c>
      <c r="CA133" s="305">
        <v>0</v>
      </c>
      <c r="CB133" s="305">
        <v>0</v>
      </c>
      <c r="CC133" s="305">
        <v>0</v>
      </c>
      <c r="CD133" s="305">
        <v>0</v>
      </c>
      <c r="CE133" s="305">
        <v>0</v>
      </c>
      <c r="CF133" s="305">
        <v>0</v>
      </c>
      <c r="CG133" s="305">
        <v>0</v>
      </c>
      <c r="CH133" s="305">
        <v>0</v>
      </c>
      <c r="CI133" s="305">
        <v>0</v>
      </c>
      <c r="CJ133" s="305">
        <v>0</v>
      </c>
      <c r="CK133" s="305">
        <v>0</v>
      </c>
      <c r="CL133" s="305">
        <v>0</v>
      </c>
      <c r="CO133" s="304" t="s">
        <v>650</v>
      </c>
      <c r="CP133" s="302">
        <v>0</v>
      </c>
      <c r="CQ133" s="302">
        <v>0</v>
      </c>
    </row>
    <row r="134" spans="61:95">
      <c r="BI134" s="304" t="s">
        <v>709</v>
      </c>
      <c r="BJ134" s="305">
        <v>0</v>
      </c>
      <c r="BK134" s="305">
        <v>0</v>
      </c>
      <c r="BL134" s="305">
        <v>0</v>
      </c>
      <c r="BM134" s="305">
        <v>0</v>
      </c>
      <c r="BN134" s="305">
        <v>0</v>
      </c>
      <c r="BO134" s="305">
        <v>66251.174567632304</v>
      </c>
      <c r="BP134" s="305">
        <v>0</v>
      </c>
      <c r="BQ134" s="305">
        <v>0</v>
      </c>
      <c r="BR134" s="305">
        <v>0</v>
      </c>
      <c r="BS134" s="305">
        <v>0</v>
      </c>
      <c r="BT134" s="305">
        <v>0</v>
      </c>
      <c r="BU134" s="305">
        <v>0</v>
      </c>
      <c r="BV134" s="305">
        <v>0</v>
      </c>
      <c r="BW134" s="305">
        <v>0</v>
      </c>
      <c r="BX134" s="305">
        <v>0</v>
      </c>
      <c r="BY134" s="305">
        <v>0</v>
      </c>
      <c r="BZ134" s="305">
        <v>0</v>
      </c>
      <c r="CA134" s="305">
        <v>0</v>
      </c>
      <c r="CB134" s="305">
        <v>0</v>
      </c>
      <c r="CC134" s="305">
        <v>0</v>
      </c>
      <c r="CD134" s="305">
        <v>0</v>
      </c>
      <c r="CE134" s="305">
        <v>0</v>
      </c>
      <c r="CF134" s="305">
        <v>0</v>
      </c>
      <c r="CG134" s="305">
        <v>0</v>
      </c>
      <c r="CH134" s="305">
        <v>0</v>
      </c>
      <c r="CI134" s="305">
        <v>0</v>
      </c>
      <c r="CJ134" s="305">
        <v>0</v>
      </c>
      <c r="CK134" s="305">
        <v>0</v>
      </c>
      <c r="CL134" s="305">
        <v>0</v>
      </c>
      <c r="CO134" s="304" t="s">
        <v>709</v>
      </c>
      <c r="CP134" s="302">
        <v>0</v>
      </c>
      <c r="CQ134" s="302">
        <v>0</v>
      </c>
    </row>
    <row r="135" spans="61:95">
      <c r="BI135" s="304" t="s">
        <v>651</v>
      </c>
      <c r="BJ135" s="305">
        <v>11826.742854693801</v>
      </c>
      <c r="BK135" s="305">
        <v>0</v>
      </c>
      <c r="BL135" s="305">
        <v>30.954464502133501</v>
      </c>
      <c r="BM135" s="305">
        <v>0</v>
      </c>
      <c r="BN135" s="305">
        <v>0</v>
      </c>
      <c r="BO135" s="305">
        <v>0</v>
      </c>
      <c r="BP135" s="305">
        <v>0</v>
      </c>
      <c r="BQ135" s="305">
        <v>0</v>
      </c>
      <c r="BR135" s="305">
        <v>14491.848717543</v>
      </c>
      <c r="BS135" s="305">
        <v>0</v>
      </c>
      <c r="BT135" s="305">
        <v>0</v>
      </c>
      <c r="BU135" s="305">
        <v>125.026374728874</v>
      </c>
      <c r="BV135" s="305">
        <v>0</v>
      </c>
      <c r="BW135" s="305">
        <v>0</v>
      </c>
      <c r="BX135" s="305">
        <v>0.374842703513311</v>
      </c>
      <c r="BY135" s="305">
        <v>0</v>
      </c>
      <c r="BZ135" s="305">
        <v>0</v>
      </c>
      <c r="CA135" s="305">
        <v>0</v>
      </c>
      <c r="CB135" s="305">
        <v>0</v>
      </c>
      <c r="CC135" s="305">
        <v>0</v>
      </c>
      <c r="CD135" s="305">
        <v>0</v>
      </c>
      <c r="CE135" s="305">
        <v>0</v>
      </c>
      <c r="CF135" s="305">
        <v>0</v>
      </c>
      <c r="CG135" s="305">
        <v>0</v>
      </c>
      <c r="CH135" s="305">
        <v>0</v>
      </c>
      <c r="CI135" s="305">
        <v>0</v>
      </c>
      <c r="CJ135" s="305">
        <v>0</v>
      </c>
      <c r="CK135" s="305">
        <v>2671.5132120132398</v>
      </c>
      <c r="CL135" s="305">
        <v>0</v>
      </c>
      <c r="CO135" s="304" t="s">
        <v>651</v>
      </c>
      <c r="CP135" s="302">
        <v>0</v>
      </c>
      <c r="CQ135" s="302">
        <v>0</v>
      </c>
    </row>
    <row r="136" spans="61:95">
      <c r="BI136" s="304" t="s">
        <v>652</v>
      </c>
      <c r="BJ136" s="305">
        <v>0</v>
      </c>
      <c r="BK136" s="305">
        <v>0</v>
      </c>
      <c r="BL136" s="305">
        <v>0</v>
      </c>
      <c r="BM136" s="305">
        <v>0</v>
      </c>
      <c r="BN136" s="305">
        <v>0</v>
      </c>
      <c r="BO136" s="305">
        <v>0</v>
      </c>
      <c r="BP136" s="305">
        <v>0</v>
      </c>
      <c r="BQ136" s="305">
        <v>0</v>
      </c>
      <c r="BR136" s="305">
        <v>0</v>
      </c>
      <c r="BS136" s="305">
        <v>0</v>
      </c>
      <c r="BT136" s="305">
        <v>0</v>
      </c>
      <c r="BU136" s="305">
        <v>0</v>
      </c>
      <c r="BV136" s="305">
        <v>0</v>
      </c>
      <c r="BW136" s="305">
        <v>0</v>
      </c>
      <c r="BX136" s="305">
        <v>0</v>
      </c>
      <c r="BY136" s="305">
        <v>0</v>
      </c>
      <c r="BZ136" s="305">
        <v>0</v>
      </c>
      <c r="CA136" s="305">
        <v>0</v>
      </c>
      <c r="CB136" s="305">
        <v>0</v>
      </c>
      <c r="CC136" s="305">
        <v>0</v>
      </c>
      <c r="CD136" s="305">
        <v>0</v>
      </c>
      <c r="CE136" s="305">
        <v>0</v>
      </c>
      <c r="CF136" s="305">
        <v>0</v>
      </c>
      <c r="CG136" s="305">
        <v>0</v>
      </c>
      <c r="CH136" s="305">
        <v>0</v>
      </c>
      <c r="CI136" s="305">
        <v>0</v>
      </c>
      <c r="CJ136" s="305">
        <v>0</v>
      </c>
      <c r="CK136" s="305">
        <v>0</v>
      </c>
      <c r="CL136" s="305">
        <v>0</v>
      </c>
      <c r="CO136" s="304" t="s">
        <v>652</v>
      </c>
      <c r="CP136" s="302">
        <v>0</v>
      </c>
      <c r="CQ136" s="302">
        <v>555.77441893806395</v>
      </c>
    </row>
    <row r="137" spans="61:95">
      <c r="BI137" s="304" t="s">
        <v>653</v>
      </c>
      <c r="BJ137" s="305">
        <v>0</v>
      </c>
      <c r="BK137" s="305">
        <v>0</v>
      </c>
      <c r="BL137" s="305">
        <v>0</v>
      </c>
      <c r="BM137" s="305">
        <v>0</v>
      </c>
      <c r="BN137" s="305">
        <v>0</v>
      </c>
      <c r="BO137" s="305">
        <v>0</v>
      </c>
      <c r="BP137" s="305">
        <v>0</v>
      </c>
      <c r="BQ137" s="305">
        <v>0</v>
      </c>
      <c r="BR137" s="305">
        <v>0</v>
      </c>
      <c r="BS137" s="305">
        <v>0</v>
      </c>
      <c r="BT137" s="305">
        <v>0</v>
      </c>
      <c r="BU137" s="305">
        <v>0</v>
      </c>
      <c r="BV137" s="305">
        <v>0</v>
      </c>
      <c r="BW137" s="305">
        <v>0</v>
      </c>
      <c r="BX137" s="305">
        <v>0</v>
      </c>
      <c r="BY137" s="305">
        <v>0</v>
      </c>
      <c r="BZ137" s="305">
        <v>0</v>
      </c>
      <c r="CA137" s="305">
        <v>0</v>
      </c>
      <c r="CB137" s="305">
        <v>0</v>
      </c>
      <c r="CC137" s="305">
        <v>0</v>
      </c>
      <c r="CD137" s="305">
        <v>0</v>
      </c>
      <c r="CE137" s="305">
        <v>0</v>
      </c>
      <c r="CF137" s="305">
        <v>0</v>
      </c>
      <c r="CG137" s="305">
        <v>0</v>
      </c>
      <c r="CH137" s="305">
        <v>0</v>
      </c>
      <c r="CI137" s="305">
        <v>0</v>
      </c>
      <c r="CJ137" s="305">
        <v>0</v>
      </c>
      <c r="CK137" s="305">
        <v>0</v>
      </c>
      <c r="CL137" s="305">
        <v>0</v>
      </c>
      <c r="CO137" s="304" t="s">
        <v>653</v>
      </c>
      <c r="CP137" s="302">
        <v>0</v>
      </c>
      <c r="CQ137" s="302">
        <v>303788.26554911397</v>
      </c>
    </row>
    <row r="138" spans="61:95">
      <c r="BI138" s="304" t="s">
        <v>654</v>
      </c>
      <c r="BJ138" s="305">
        <v>0</v>
      </c>
      <c r="BK138" s="305">
        <v>0</v>
      </c>
      <c r="BL138" s="305">
        <v>0</v>
      </c>
      <c r="BM138" s="305">
        <v>0</v>
      </c>
      <c r="BN138" s="305">
        <v>0</v>
      </c>
      <c r="BO138" s="305">
        <v>0</v>
      </c>
      <c r="BP138" s="305">
        <v>0</v>
      </c>
      <c r="BQ138" s="305">
        <v>0</v>
      </c>
      <c r="BR138" s="305">
        <v>0</v>
      </c>
      <c r="BS138" s="305">
        <v>0</v>
      </c>
      <c r="BT138" s="305">
        <v>0</v>
      </c>
      <c r="BU138" s="305">
        <v>0</v>
      </c>
      <c r="BV138" s="305">
        <v>0</v>
      </c>
      <c r="BW138" s="305">
        <v>0</v>
      </c>
      <c r="BX138" s="305">
        <v>0</v>
      </c>
      <c r="BY138" s="305">
        <v>0</v>
      </c>
      <c r="BZ138" s="305">
        <v>0</v>
      </c>
      <c r="CA138" s="305">
        <v>0</v>
      </c>
      <c r="CB138" s="305">
        <v>0</v>
      </c>
      <c r="CC138" s="305">
        <v>0</v>
      </c>
      <c r="CD138" s="305">
        <v>0</v>
      </c>
      <c r="CE138" s="305">
        <v>0</v>
      </c>
      <c r="CF138" s="305">
        <v>0</v>
      </c>
      <c r="CG138" s="305">
        <v>0</v>
      </c>
      <c r="CH138" s="305">
        <v>0</v>
      </c>
      <c r="CI138" s="305">
        <v>0</v>
      </c>
      <c r="CJ138" s="305">
        <v>0</v>
      </c>
      <c r="CK138" s="305">
        <v>0</v>
      </c>
      <c r="CL138" s="305">
        <v>0</v>
      </c>
      <c r="CO138" s="304" t="s">
        <v>654</v>
      </c>
      <c r="CP138" s="302">
        <v>0</v>
      </c>
      <c r="CQ138" s="302">
        <v>2244.7960862667501</v>
      </c>
    </row>
    <row r="139" spans="61:95">
      <c r="BI139" s="304" t="s">
        <v>655</v>
      </c>
      <c r="BJ139" s="305">
        <v>0</v>
      </c>
      <c r="BK139" s="305">
        <v>0</v>
      </c>
      <c r="BL139" s="305">
        <v>0</v>
      </c>
      <c r="BM139" s="305">
        <v>0</v>
      </c>
      <c r="BN139" s="305">
        <v>0</v>
      </c>
      <c r="BO139" s="305">
        <v>0</v>
      </c>
      <c r="BP139" s="305">
        <v>0</v>
      </c>
      <c r="BQ139" s="305">
        <v>0</v>
      </c>
      <c r="BR139" s="305">
        <v>0</v>
      </c>
      <c r="BS139" s="305">
        <v>0</v>
      </c>
      <c r="BT139" s="305">
        <v>0</v>
      </c>
      <c r="BU139" s="305">
        <v>0</v>
      </c>
      <c r="BV139" s="305">
        <v>0</v>
      </c>
      <c r="BW139" s="305">
        <v>0</v>
      </c>
      <c r="BX139" s="305">
        <v>0</v>
      </c>
      <c r="BY139" s="305">
        <v>0</v>
      </c>
      <c r="BZ139" s="305">
        <v>0</v>
      </c>
      <c r="CA139" s="305">
        <v>0</v>
      </c>
      <c r="CB139" s="305">
        <v>0</v>
      </c>
      <c r="CC139" s="305">
        <v>0</v>
      </c>
      <c r="CD139" s="305">
        <v>0</v>
      </c>
      <c r="CE139" s="305">
        <v>0</v>
      </c>
      <c r="CF139" s="305">
        <v>0</v>
      </c>
      <c r="CG139" s="305">
        <v>0</v>
      </c>
      <c r="CH139" s="305">
        <v>0</v>
      </c>
      <c r="CI139" s="305">
        <v>0</v>
      </c>
      <c r="CJ139" s="305">
        <v>0</v>
      </c>
      <c r="CK139" s="305">
        <v>0</v>
      </c>
      <c r="CL139" s="305">
        <v>0</v>
      </c>
      <c r="CO139" s="304" t="s">
        <v>655</v>
      </c>
      <c r="CP139" s="302">
        <v>0</v>
      </c>
      <c r="CQ139" s="302">
        <v>6.7177820097776797</v>
      </c>
    </row>
    <row r="140" spans="61:95">
      <c r="BI140" s="304" t="s">
        <v>710</v>
      </c>
      <c r="BJ140" s="305">
        <v>0</v>
      </c>
      <c r="BK140" s="305">
        <v>0</v>
      </c>
      <c r="BL140" s="305">
        <v>0</v>
      </c>
      <c r="BM140" s="305">
        <v>0</v>
      </c>
      <c r="BN140" s="305">
        <v>0</v>
      </c>
      <c r="BO140" s="305">
        <v>0</v>
      </c>
      <c r="BP140" s="305">
        <v>0</v>
      </c>
      <c r="BQ140" s="305">
        <v>0</v>
      </c>
      <c r="BR140" s="305">
        <v>0</v>
      </c>
      <c r="BS140" s="305">
        <v>0</v>
      </c>
      <c r="BT140" s="305">
        <v>0</v>
      </c>
      <c r="BU140" s="305">
        <v>0</v>
      </c>
      <c r="BV140" s="305">
        <v>0</v>
      </c>
      <c r="BW140" s="305">
        <v>0</v>
      </c>
      <c r="BX140" s="305">
        <v>0</v>
      </c>
      <c r="BY140" s="305">
        <v>0</v>
      </c>
      <c r="BZ140" s="305">
        <v>0</v>
      </c>
      <c r="CA140" s="305">
        <v>0</v>
      </c>
      <c r="CB140" s="305">
        <v>0</v>
      </c>
      <c r="CC140" s="305">
        <v>0</v>
      </c>
      <c r="CD140" s="305">
        <v>0</v>
      </c>
      <c r="CE140" s="305">
        <v>0</v>
      </c>
      <c r="CF140" s="305">
        <v>0</v>
      </c>
      <c r="CG140" s="305">
        <v>0</v>
      </c>
      <c r="CH140" s="305">
        <v>0</v>
      </c>
      <c r="CI140" s="305">
        <v>0</v>
      </c>
      <c r="CJ140" s="305">
        <v>91837.795018258301</v>
      </c>
      <c r="CK140" s="305">
        <v>0</v>
      </c>
      <c r="CL140" s="305">
        <v>0</v>
      </c>
      <c r="CO140" s="304" t="s">
        <v>710</v>
      </c>
      <c r="CP140" s="302">
        <v>0</v>
      </c>
      <c r="CQ140" s="302">
        <v>0</v>
      </c>
    </row>
    <row r="141" spans="61:95">
      <c r="BI141" s="304" t="s">
        <v>711</v>
      </c>
      <c r="BJ141" s="305">
        <v>0</v>
      </c>
      <c r="BK141" s="305">
        <v>0</v>
      </c>
      <c r="BL141" s="305">
        <v>0</v>
      </c>
      <c r="BM141" s="305">
        <v>0</v>
      </c>
      <c r="BN141" s="305">
        <v>0</v>
      </c>
      <c r="BO141" s="305">
        <v>0</v>
      </c>
      <c r="BP141" s="305">
        <v>0</v>
      </c>
      <c r="BQ141" s="305">
        <v>0</v>
      </c>
      <c r="BR141" s="305">
        <v>0</v>
      </c>
      <c r="BS141" s="305">
        <v>0</v>
      </c>
      <c r="BT141" s="305">
        <v>0</v>
      </c>
      <c r="BU141" s="305">
        <v>0</v>
      </c>
      <c r="BV141" s="305">
        <v>0</v>
      </c>
      <c r="BW141" s="305">
        <v>0</v>
      </c>
      <c r="BX141" s="305">
        <v>0</v>
      </c>
      <c r="BY141" s="305">
        <v>0</v>
      </c>
      <c r="BZ141" s="305">
        <v>0</v>
      </c>
      <c r="CA141" s="305">
        <v>0</v>
      </c>
      <c r="CB141" s="305">
        <v>0</v>
      </c>
      <c r="CC141" s="305">
        <v>0</v>
      </c>
      <c r="CD141" s="305">
        <v>0</v>
      </c>
      <c r="CE141" s="305">
        <v>0</v>
      </c>
      <c r="CF141" s="305">
        <v>0</v>
      </c>
      <c r="CG141" s="305">
        <v>0</v>
      </c>
      <c r="CH141" s="305">
        <v>0</v>
      </c>
      <c r="CI141" s="305">
        <v>290.15291867903898</v>
      </c>
      <c r="CJ141" s="305">
        <v>0</v>
      </c>
      <c r="CK141" s="305">
        <v>0</v>
      </c>
      <c r="CL141" s="305">
        <v>0</v>
      </c>
      <c r="CO141" s="304" t="s">
        <v>711</v>
      </c>
      <c r="CP141" s="302">
        <v>0</v>
      </c>
      <c r="CQ141" s="302">
        <v>0</v>
      </c>
    </row>
    <row r="142" spans="61:95">
      <c r="BI142" s="304" t="s">
        <v>656</v>
      </c>
      <c r="BJ142" s="305">
        <v>318930.104231745</v>
      </c>
      <c r="BK142" s="305">
        <v>50.358084153937803</v>
      </c>
      <c r="BL142" s="305">
        <v>80616.370239891301</v>
      </c>
      <c r="BM142" s="305">
        <v>282.12877103151499</v>
      </c>
      <c r="BN142" s="305">
        <v>0</v>
      </c>
      <c r="BO142" s="305">
        <v>5820.7321553561396</v>
      </c>
      <c r="BP142" s="305">
        <v>0</v>
      </c>
      <c r="BQ142" s="305">
        <v>33191.859393697501</v>
      </c>
      <c r="BR142" s="305">
        <v>0</v>
      </c>
      <c r="BS142" s="305">
        <v>0</v>
      </c>
      <c r="BT142" s="305">
        <v>12626.098826338701</v>
      </c>
      <c r="BU142" s="305">
        <v>0</v>
      </c>
      <c r="BV142" s="305">
        <v>609792.25175934797</v>
      </c>
      <c r="BW142" s="305">
        <v>34.678095164115</v>
      </c>
      <c r="BX142" s="305">
        <v>0</v>
      </c>
      <c r="BY142" s="305">
        <v>2824.8856477449199</v>
      </c>
      <c r="BZ142" s="305">
        <v>67354.020465940004</v>
      </c>
      <c r="CA142" s="305">
        <v>0</v>
      </c>
      <c r="CB142" s="305">
        <v>0</v>
      </c>
      <c r="CC142" s="305">
        <v>0</v>
      </c>
      <c r="CD142" s="305">
        <v>0</v>
      </c>
      <c r="CE142" s="305">
        <v>0</v>
      </c>
      <c r="CF142" s="305">
        <v>0</v>
      </c>
      <c r="CG142" s="305">
        <v>0</v>
      </c>
      <c r="CH142" s="305">
        <v>0</v>
      </c>
      <c r="CI142" s="305">
        <v>0</v>
      </c>
      <c r="CJ142" s="305">
        <v>3155.63573488975</v>
      </c>
      <c r="CK142" s="305">
        <v>0</v>
      </c>
      <c r="CL142" s="305">
        <v>0</v>
      </c>
      <c r="CO142" s="304" t="s">
        <v>656</v>
      </c>
      <c r="CP142" s="302">
        <v>0</v>
      </c>
      <c r="CQ142" s="302">
        <v>0</v>
      </c>
    </row>
    <row r="143" spans="61:95">
      <c r="BI143" s="304" t="s">
        <v>657</v>
      </c>
      <c r="BJ143" s="305">
        <v>29112.263489807599</v>
      </c>
      <c r="BK143" s="305">
        <v>0</v>
      </c>
      <c r="BL143" s="305">
        <v>0</v>
      </c>
      <c r="BM143" s="305">
        <v>0</v>
      </c>
      <c r="BN143" s="305">
        <v>0</v>
      </c>
      <c r="BO143" s="305">
        <v>0</v>
      </c>
      <c r="BP143" s="305">
        <v>0</v>
      </c>
      <c r="BQ143" s="305">
        <v>0</v>
      </c>
      <c r="BR143" s="305">
        <v>0</v>
      </c>
      <c r="BS143" s="305">
        <v>0</v>
      </c>
      <c r="BT143" s="305">
        <v>0</v>
      </c>
      <c r="BU143" s="305">
        <v>0</v>
      </c>
      <c r="BV143" s="305">
        <v>0</v>
      </c>
      <c r="BW143" s="305">
        <v>0</v>
      </c>
      <c r="BX143" s="305">
        <v>0</v>
      </c>
      <c r="BY143" s="305">
        <v>0</v>
      </c>
      <c r="BZ143" s="305">
        <v>0</v>
      </c>
      <c r="CA143" s="305">
        <v>0</v>
      </c>
      <c r="CB143" s="305">
        <v>0</v>
      </c>
      <c r="CC143" s="305">
        <v>0</v>
      </c>
      <c r="CD143" s="305">
        <v>0</v>
      </c>
      <c r="CE143" s="305">
        <v>0</v>
      </c>
      <c r="CF143" s="305">
        <v>0</v>
      </c>
      <c r="CG143" s="305">
        <v>0</v>
      </c>
      <c r="CH143" s="305">
        <v>0</v>
      </c>
      <c r="CI143" s="305">
        <v>0</v>
      </c>
      <c r="CJ143" s="305">
        <v>0</v>
      </c>
      <c r="CK143" s="305">
        <v>0</v>
      </c>
      <c r="CL143" s="305">
        <v>0</v>
      </c>
      <c r="CO143" s="304" t="s">
        <v>657</v>
      </c>
      <c r="CP143" s="302">
        <v>0</v>
      </c>
      <c r="CQ143" s="302">
        <v>0</v>
      </c>
    </row>
    <row r="144" spans="61:95">
      <c r="BI144" s="304" t="s">
        <v>658</v>
      </c>
      <c r="BJ144" s="305">
        <v>0</v>
      </c>
      <c r="BK144" s="305">
        <v>0</v>
      </c>
      <c r="BL144" s="305">
        <v>23309.045257575199</v>
      </c>
      <c r="BM144" s="305">
        <v>0</v>
      </c>
      <c r="BN144" s="305">
        <v>0</v>
      </c>
      <c r="BO144" s="305">
        <v>0</v>
      </c>
      <c r="BP144" s="305">
        <v>0</v>
      </c>
      <c r="BQ144" s="305">
        <v>0</v>
      </c>
      <c r="BR144" s="305">
        <v>0</v>
      </c>
      <c r="BS144" s="305">
        <v>0</v>
      </c>
      <c r="BT144" s="305">
        <v>0</v>
      </c>
      <c r="BU144" s="305">
        <v>94146.207140653802</v>
      </c>
      <c r="BV144" s="305">
        <v>0</v>
      </c>
      <c r="BW144" s="305">
        <v>0</v>
      </c>
      <c r="BX144" s="305">
        <v>257.99399332425401</v>
      </c>
      <c r="BY144" s="305">
        <v>0</v>
      </c>
      <c r="BZ144" s="305">
        <v>2511.39821094118</v>
      </c>
      <c r="CA144" s="305">
        <v>0</v>
      </c>
      <c r="CB144" s="305">
        <v>0</v>
      </c>
      <c r="CC144" s="305">
        <v>0</v>
      </c>
      <c r="CD144" s="305">
        <v>0</v>
      </c>
      <c r="CE144" s="305">
        <v>0</v>
      </c>
      <c r="CF144" s="305">
        <v>0</v>
      </c>
      <c r="CG144" s="305">
        <v>0</v>
      </c>
      <c r="CH144" s="305">
        <v>0</v>
      </c>
      <c r="CI144" s="305">
        <v>0</v>
      </c>
      <c r="CJ144" s="305">
        <v>0</v>
      </c>
      <c r="CK144" s="305">
        <v>0</v>
      </c>
      <c r="CL144" s="305">
        <v>0</v>
      </c>
      <c r="CO144" s="304" t="s">
        <v>658</v>
      </c>
      <c r="CP144" s="302">
        <v>0</v>
      </c>
      <c r="CQ144" s="302">
        <v>0</v>
      </c>
    </row>
    <row r="145" spans="61:95">
      <c r="BI145" s="304" t="s">
        <v>712</v>
      </c>
      <c r="BJ145" s="305">
        <v>0</v>
      </c>
      <c r="BK145" s="305">
        <v>0</v>
      </c>
      <c r="BL145" s="305">
        <v>0</v>
      </c>
      <c r="BM145" s="305">
        <v>0</v>
      </c>
      <c r="BN145" s="305">
        <v>0</v>
      </c>
      <c r="BO145" s="305">
        <v>0</v>
      </c>
      <c r="BP145" s="305">
        <v>0</v>
      </c>
      <c r="BQ145" s="305">
        <v>0</v>
      </c>
      <c r="BR145" s="305">
        <v>0</v>
      </c>
      <c r="BS145" s="305">
        <v>0</v>
      </c>
      <c r="BT145" s="305">
        <v>0</v>
      </c>
      <c r="BU145" s="305">
        <v>0</v>
      </c>
      <c r="BV145" s="305">
        <v>0</v>
      </c>
      <c r="BW145" s="305">
        <v>0</v>
      </c>
      <c r="BX145" s="305">
        <v>0</v>
      </c>
      <c r="BY145" s="305">
        <v>0</v>
      </c>
      <c r="BZ145" s="305">
        <v>4830.4442158522497</v>
      </c>
      <c r="CA145" s="305">
        <v>0</v>
      </c>
      <c r="CB145" s="305">
        <v>0</v>
      </c>
      <c r="CC145" s="305">
        <v>0</v>
      </c>
      <c r="CD145" s="305">
        <v>0</v>
      </c>
      <c r="CE145" s="305">
        <v>0</v>
      </c>
      <c r="CF145" s="305">
        <v>0</v>
      </c>
      <c r="CG145" s="305">
        <v>0</v>
      </c>
      <c r="CH145" s="305">
        <v>0</v>
      </c>
      <c r="CI145" s="305">
        <v>0</v>
      </c>
      <c r="CJ145" s="305">
        <v>0</v>
      </c>
      <c r="CK145" s="305">
        <v>0</v>
      </c>
      <c r="CL145" s="305">
        <v>0</v>
      </c>
      <c r="CO145" s="304" t="s">
        <v>712</v>
      </c>
      <c r="CP145" s="302">
        <v>0</v>
      </c>
      <c r="CQ145" s="302">
        <v>0</v>
      </c>
    </row>
    <row r="146" spans="61:95">
      <c r="BI146" s="304" t="s">
        <v>713</v>
      </c>
      <c r="BJ146" s="305">
        <v>0</v>
      </c>
      <c r="BK146" s="305">
        <v>0</v>
      </c>
      <c r="BL146" s="305">
        <v>0</v>
      </c>
      <c r="BM146" s="305">
        <v>0</v>
      </c>
      <c r="BN146" s="305">
        <v>0</v>
      </c>
      <c r="BO146" s="305">
        <v>0</v>
      </c>
      <c r="BP146" s="305">
        <v>0</v>
      </c>
      <c r="BQ146" s="305">
        <v>0</v>
      </c>
      <c r="BR146" s="305">
        <v>0</v>
      </c>
      <c r="BS146" s="305">
        <v>0</v>
      </c>
      <c r="BT146" s="305">
        <v>0</v>
      </c>
      <c r="BU146" s="305">
        <v>0</v>
      </c>
      <c r="BV146" s="305">
        <v>0</v>
      </c>
      <c r="BW146" s="305">
        <v>0</v>
      </c>
      <c r="BX146" s="305">
        <v>0</v>
      </c>
      <c r="BY146" s="305">
        <v>0</v>
      </c>
      <c r="BZ146" s="305">
        <v>0</v>
      </c>
      <c r="CA146" s="305">
        <v>4830.4442158522497</v>
      </c>
      <c r="CB146" s="305">
        <v>0</v>
      </c>
      <c r="CC146" s="305">
        <v>0</v>
      </c>
      <c r="CD146" s="305">
        <v>0</v>
      </c>
      <c r="CE146" s="305">
        <v>0</v>
      </c>
      <c r="CF146" s="305">
        <v>0</v>
      </c>
      <c r="CG146" s="305">
        <v>0</v>
      </c>
      <c r="CH146" s="305">
        <v>0</v>
      </c>
      <c r="CI146" s="305">
        <v>0</v>
      </c>
      <c r="CJ146" s="305">
        <v>0</v>
      </c>
      <c r="CK146" s="305">
        <v>0</v>
      </c>
      <c r="CL146" s="305">
        <v>0</v>
      </c>
      <c r="CO146" s="304" t="s">
        <v>713</v>
      </c>
      <c r="CP146" s="302">
        <v>0</v>
      </c>
      <c r="CQ146" s="302">
        <v>0</v>
      </c>
    </row>
    <row r="147" spans="61:95">
      <c r="BI147" s="304" t="s">
        <v>659</v>
      </c>
      <c r="BJ147" s="305">
        <v>0</v>
      </c>
      <c r="BK147" s="305">
        <v>0</v>
      </c>
      <c r="BL147" s="305">
        <v>0</v>
      </c>
      <c r="BM147" s="305">
        <v>0</v>
      </c>
      <c r="BN147" s="305">
        <v>0</v>
      </c>
      <c r="BO147" s="305">
        <v>0</v>
      </c>
      <c r="BP147" s="305">
        <v>0</v>
      </c>
      <c r="BQ147" s="305">
        <v>0</v>
      </c>
      <c r="BR147" s="305">
        <v>0</v>
      </c>
      <c r="BS147" s="305">
        <v>0</v>
      </c>
      <c r="BT147" s="305">
        <v>0</v>
      </c>
      <c r="BU147" s="305">
        <v>0</v>
      </c>
      <c r="BV147" s="305">
        <v>0</v>
      </c>
      <c r="BW147" s="305">
        <v>0</v>
      </c>
      <c r="BX147" s="305">
        <v>0</v>
      </c>
      <c r="BY147" s="305">
        <v>0</v>
      </c>
      <c r="BZ147" s="305">
        <v>0</v>
      </c>
      <c r="CA147" s="305">
        <v>0</v>
      </c>
      <c r="CB147" s="305">
        <v>0</v>
      </c>
      <c r="CC147" s="305">
        <v>0</v>
      </c>
      <c r="CD147" s="305">
        <v>0</v>
      </c>
      <c r="CE147" s="305">
        <v>0</v>
      </c>
      <c r="CF147" s="305">
        <v>88071.706245154506</v>
      </c>
      <c r="CG147" s="305">
        <v>0</v>
      </c>
      <c r="CH147" s="305">
        <v>0</v>
      </c>
      <c r="CI147" s="305">
        <v>0</v>
      </c>
      <c r="CJ147" s="305">
        <v>0</v>
      </c>
      <c r="CK147" s="305">
        <v>0</v>
      </c>
      <c r="CL147" s="305">
        <v>0</v>
      </c>
      <c r="CO147" s="304" t="s">
        <v>659</v>
      </c>
      <c r="CP147" s="302">
        <v>0</v>
      </c>
      <c r="CQ147" s="302">
        <v>0</v>
      </c>
    </row>
    <row r="148" spans="61:95">
      <c r="BI148" s="304" t="s">
        <v>660</v>
      </c>
      <c r="BJ148" s="305">
        <v>0</v>
      </c>
      <c r="BK148" s="305">
        <v>0</v>
      </c>
      <c r="BL148" s="305">
        <v>0</v>
      </c>
      <c r="BM148" s="305">
        <v>0</v>
      </c>
      <c r="BN148" s="305">
        <v>0</v>
      </c>
      <c r="BO148" s="305">
        <v>0</v>
      </c>
      <c r="BP148" s="305">
        <v>0</v>
      </c>
      <c r="BQ148" s="305">
        <v>0</v>
      </c>
      <c r="BR148" s="305">
        <v>0</v>
      </c>
      <c r="BS148" s="305">
        <v>0</v>
      </c>
      <c r="BT148" s="305">
        <v>0</v>
      </c>
      <c r="BU148" s="305">
        <v>0</v>
      </c>
      <c r="BV148" s="305">
        <v>108184.85967288</v>
      </c>
      <c r="BW148" s="305">
        <v>0</v>
      </c>
      <c r="BX148" s="305">
        <v>0</v>
      </c>
      <c r="BY148" s="305">
        <v>0</v>
      </c>
      <c r="BZ148" s="305">
        <v>0</v>
      </c>
      <c r="CA148" s="305">
        <v>0</v>
      </c>
      <c r="CB148" s="305">
        <v>0</v>
      </c>
      <c r="CC148" s="305">
        <v>0</v>
      </c>
      <c r="CD148" s="305">
        <v>0</v>
      </c>
      <c r="CE148" s="305">
        <v>0</v>
      </c>
      <c r="CF148" s="305">
        <v>0</v>
      </c>
      <c r="CG148" s="305">
        <v>0</v>
      </c>
      <c r="CH148" s="305">
        <v>0</v>
      </c>
      <c r="CI148" s="305">
        <v>0</v>
      </c>
      <c r="CJ148" s="305">
        <v>0</v>
      </c>
      <c r="CK148" s="305">
        <v>0</v>
      </c>
      <c r="CL148" s="305">
        <v>0</v>
      </c>
      <c r="CO148" s="304" t="s">
        <v>660</v>
      </c>
      <c r="CP148" s="302">
        <v>0</v>
      </c>
      <c r="CQ148" s="302">
        <v>0</v>
      </c>
    </row>
    <row r="149" spans="61:95">
      <c r="BI149" s="304" t="s">
        <v>661</v>
      </c>
      <c r="BJ149" s="305">
        <v>0</v>
      </c>
      <c r="BK149" s="305">
        <v>0</v>
      </c>
      <c r="BL149" s="305">
        <v>0</v>
      </c>
      <c r="BM149" s="305">
        <v>0</v>
      </c>
      <c r="BN149" s="305">
        <v>0</v>
      </c>
      <c r="BO149" s="305">
        <v>0</v>
      </c>
      <c r="BP149" s="305">
        <v>0</v>
      </c>
      <c r="BQ149" s="305">
        <v>0</v>
      </c>
      <c r="BR149" s="305">
        <v>0</v>
      </c>
      <c r="BS149" s="305">
        <v>0</v>
      </c>
      <c r="BT149" s="305">
        <v>108184.85967288</v>
      </c>
      <c r="BU149" s="305">
        <v>0</v>
      </c>
      <c r="BV149" s="305">
        <v>0</v>
      </c>
      <c r="BW149" s="305">
        <v>0</v>
      </c>
      <c r="BX149" s="305">
        <v>0</v>
      </c>
      <c r="BY149" s="305">
        <v>0</v>
      </c>
      <c r="BZ149" s="305">
        <v>0</v>
      </c>
      <c r="CA149" s="305">
        <v>0</v>
      </c>
      <c r="CB149" s="305">
        <v>0</v>
      </c>
      <c r="CC149" s="305">
        <v>0</v>
      </c>
      <c r="CD149" s="305">
        <v>0</v>
      </c>
      <c r="CE149" s="305">
        <v>0</v>
      </c>
      <c r="CF149" s="305">
        <v>0</v>
      </c>
      <c r="CG149" s="305">
        <v>0</v>
      </c>
      <c r="CH149" s="305">
        <v>0</v>
      </c>
      <c r="CI149" s="305">
        <v>0</v>
      </c>
      <c r="CJ149" s="305">
        <v>0</v>
      </c>
      <c r="CK149" s="305">
        <v>0</v>
      </c>
      <c r="CL149" s="305">
        <v>0</v>
      </c>
      <c r="CO149" s="304" t="s">
        <v>661</v>
      </c>
      <c r="CP149" s="302">
        <v>0</v>
      </c>
      <c r="CQ149" s="302">
        <v>0</v>
      </c>
    </row>
    <row r="150" spans="61:95">
      <c r="BI150" s="304" t="s">
        <v>662</v>
      </c>
      <c r="BJ150" s="305">
        <v>0</v>
      </c>
      <c r="BK150" s="305">
        <v>0</v>
      </c>
      <c r="BL150" s="305">
        <v>0</v>
      </c>
      <c r="BM150" s="305">
        <v>0</v>
      </c>
      <c r="BN150" s="305">
        <v>0</v>
      </c>
      <c r="BO150" s="305">
        <v>0</v>
      </c>
      <c r="BP150" s="305">
        <v>0</v>
      </c>
      <c r="BQ150" s="305">
        <v>0</v>
      </c>
      <c r="BR150" s="305">
        <v>0</v>
      </c>
      <c r="BS150" s="305">
        <v>0</v>
      </c>
      <c r="BT150" s="305">
        <v>0</v>
      </c>
      <c r="BU150" s="305">
        <v>108184.85967288</v>
      </c>
      <c r="BV150" s="305">
        <v>0</v>
      </c>
      <c r="BW150" s="305">
        <v>0</v>
      </c>
      <c r="BX150" s="305">
        <v>0</v>
      </c>
      <c r="BY150" s="305">
        <v>0</v>
      </c>
      <c r="BZ150" s="305">
        <v>0</v>
      </c>
      <c r="CA150" s="305">
        <v>0</v>
      </c>
      <c r="CB150" s="305">
        <v>0</v>
      </c>
      <c r="CC150" s="305">
        <v>0</v>
      </c>
      <c r="CD150" s="305">
        <v>0</v>
      </c>
      <c r="CE150" s="305">
        <v>0</v>
      </c>
      <c r="CF150" s="305">
        <v>0</v>
      </c>
      <c r="CG150" s="305">
        <v>0</v>
      </c>
      <c r="CH150" s="305">
        <v>0</v>
      </c>
      <c r="CI150" s="305">
        <v>0</v>
      </c>
      <c r="CJ150" s="305">
        <v>0</v>
      </c>
      <c r="CK150" s="305">
        <v>0</v>
      </c>
      <c r="CL150" s="305">
        <v>0</v>
      </c>
      <c r="CO150" s="304" t="s">
        <v>662</v>
      </c>
      <c r="CP150" s="302">
        <v>0</v>
      </c>
      <c r="CQ150" s="302">
        <v>0</v>
      </c>
    </row>
    <row r="151" spans="61:95">
      <c r="BI151" s="304" t="s">
        <v>663</v>
      </c>
      <c r="BJ151" s="305">
        <v>0</v>
      </c>
      <c r="BK151" s="305">
        <v>0</v>
      </c>
      <c r="BL151" s="305">
        <v>0</v>
      </c>
      <c r="BM151" s="305">
        <v>0</v>
      </c>
      <c r="BN151" s="305">
        <v>0</v>
      </c>
      <c r="BO151" s="305">
        <v>0</v>
      </c>
      <c r="BP151" s="305">
        <v>0</v>
      </c>
      <c r="BQ151" s="305">
        <v>0</v>
      </c>
      <c r="BR151" s="305">
        <v>0</v>
      </c>
      <c r="BS151" s="305">
        <v>0</v>
      </c>
      <c r="BT151" s="305">
        <v>0</v>
      </c>
      <c r="BU151" s="305">
        <v>0</v>
      </c>
      <c r="BV151" s="305">
        <v>0</v>
      </c>
      <c r="BW151" s="305">
        <v>0</v>
      </c>
      <c r="BX151" s="305">
        <v>0</v>
      </c>
      <c r="BY151" s="305">
        <v>0</v>
      </c>
      <c r="BZ151" s="305">
        <v>0</v>
      </c>
      <c r="CA151" s="305">
        <v>0</v>
      </c>
      <c r="CB151" s="305">
        <v>0</v>
      </c>
      <c r="CC151" s="305">
        <v>0</v>
      </c>
      <c r="CD151" s="305">
        <v>0</v>
      </c>
      <c r="CE151" s="305">
        <v>0</v>
      </c>
      <c r="CF151" s="305">
        <v>0</v>
      </c>
      <c r="CG151" s="305">
        <v>0</v>
      </c>
      <c r="CH151" s="305">
        <v>0</v>
      </c>
      <c r="CI151" s="305">
        <v>0</v>
      </c>
      <c r="CJ151" s="305">
        <v>0</v>
      </c>
      <c r="CK151" s="305">
        <v>0</v>
      </c>
      <c r="CL151" s="305">
        <v>0</v>
      </c>
      <c r="CO151" s="304" t="s">
        <v>663</v>
      </c>
      <c r="CP151" s="302">
        <v>0</v>
      </c>
      <c r="CQ151" s="302">
        <v>21722.892325740399</v>
      </c>
    </row>
    <row r="152" spans="61:95">
      <c r="BI152" s="304" t="s">
        <v>664</v>
      </c>
      <c r="BJ152" s="305">
        <v>0</v>
      </c>
      <c r="BK152" s="305">
        <v>0</v>
      </c>
      <c r="BL152" s="305">
        <v>0</v>
      </c>
      <c r="BM152" s="305">
        <v>0</v>
      </c>
      <c r="BN152" s="305">
        <v>0</v>
      </c>
      <c r="BO152" s="305">
        <v>0</v>
      </c>
      <c r="BP152" s="305">
        <v>0</v>
      </c>
      <c r="BQ152" s="305">
        <v>0</v>
      </c>
      <c r="BR152" s="305">
        <v>0</v>
      </c>
      <c r="BS152" s="305">
        <v>0</v>
      </c>
      <c r="BT152" s="305">
        <v>0</v>
      </c>
      <c r="BU152" s="305">
        <v>0</v>
      </c>
      <c r="BV152" s="305">
        <v>0</v>
      </c>
      <c r="BW152" s="305">
        <v>0</v>
      </c>
      <c r="BX152" s="305">
        <v>0</v>
      </c>
      <c r="BY152" s="305">
        <v>0</v>
      </c>
      <c r="BZ152" s="305">
        <v>0</v>
      </c>
      <c r="CA152" s="305">
        <v>0</v>
      </c>
      <c r="CB152" s="305">
        <v>0</v>
      </c>
      <c r="CC152" s="305">
        <v>0</v>
      </c>
      <c r="CD152" s="305">
        <v>0</v>
      </c>
      <c r="CE152" s="305">
        <v>0</v>
      </c>
      <c r="CF152" s="305">
        <v>0</v>
      </c>
      <c r="CG152" s="305">
        <v>0</v>
      </c>
      <c r="CH152" s="305">
        <v>0</v>
      </c>
      <c r="CI152" s="305">
        <v>0</v>
      </c>
      <c r="CJ152" s="305">
        <v>0</v>
      </c>
      <c r="CK152" s="305">
        <v>0</v>
      </c>
      <c r="CL152" s="305">
        <v>0</v>
      </c>
      <c r="CO152" s="304" t="s">
        <v>664</v>
      </c>
      <c r="CP152" s="302">
        <v>0</v>
      </c>
      <c r="CQ152" s="302">
        <v>87222.135331413898</v>
      </c>
    </row>
    <row r="153" spans="61:95">
      <c r="BI153" s="304" t="s">
        <v>665</v>
      </c>
      <c r="BJ153" s="305">
        <v>0</v>
      </c>
      <c r="BK153" s="305">
        <v>0</v>
      </c>
      <c r="BL153" s="305">
        <v>0</v>
      </c>
      <c r="BM153" s="305">
        <v>0</v>
      </c>
      <c r="BN153" s="305">
        <v>0</v>
      </c>
      <c r="BO153" s="305">
        <v>0</v>
      </c>
      <c r="BP153" s="305">
        <v>0</v>
      </c>
      <c r="BQ153" s="305">
        <v>0</v>
      </c>
      <c r="BR153" s="305">
        <v>0</v>
      </c>
      <c r="BS153" s="305">
        <v>0</v>
      </c>
      <c r="BT153" s="305">
        <v>0</v>
      </c>
      <c r="BU153" s="305">
        <v>0</v>
      </c>
      <c r="BV153" s="305">
        <v>0</v>
      </c>
      <c r="BW153" s="305">
        <v>0</v>
      </c>
      <c r="BX153" s="305">
        <v>0</v>
      </c>
      <c r="BY153" s="305">
        <v>0</v>
      </c>
      <c r="BZ153" s="305">
        <v>0</v>
      </c>
      <c r="CA153" s="305">
        <v>0</v>
      </c>
      <c r="CB153" s="305">
        <v>0</v>
      </c>
      <c r="CC153" s="305">
        <v>0</v>
      </c>
      <c r="CD153" s="305">
        <v>0</v>
      </c>
      <c r="CE153" s="305">
        <v>0</v>
      </c>
      <c r="CF153" s="305">
        <v>0</v>
      </c>
      <c r="CG153" s="305">
        <v>0</v>
      </c>
      <c r="CH153" s="305">
        <v>0</v>
      </c>
      <c r="CI153" s="305">
        <v>0</v>
      </c>
      <c r="CJ153" s="305">
        <v>0</v>
      </c>
      <c r="CK153" s="305">
        <v>25297.051877142199</v>
      </c>
      <c r="CL153" s="305">
        <v>0</v>
      </c>
      <c r="CO153" s="304" t="s">
        <v>665</v>
      </c>
      <c r="CP153" s="302">
        <v>0</v>
      </c>
      <c r="CQ153" s="302">
        <v>0</v>
      </c>
    </row>
    <row r="154" spans="61:95">
      <c r="BI154" s="304" t="s">
        <v>666</v>
      </c>
      <c r="BJ154" s="305">
        <v>0</v>
      </c>
      <c r="BK154" s="305">
        <v>0</v>
      </c>
      <c r="BL154" s="305">
        <v>0</v>
      </c>
      <c r="BM154" s="305">
        <v>0</v>
      </c>
      <c r="BN154" s="305">
        <v>0</v>
      </c>
      <c r="BO154" s="305">
        <v>0</v>
      </c>
      <c r="BP154" s="305">
        <v>0</v>
      </c>
      <c r="BQ154" s="305">
        <v>0</v>
      </c>
      <c r="BR154" s="305">
        <v>0</v>
      </c>
      <c r="BS154" s="305">
        <v>0</v>
      </c>
      <c r="BT154" s="305">
        <v>0</v>
      </c>
      <c r="BU154" s="305">
        <v>0</v>
      </c>
      <c r="BV154" s="305">
        <v>0</v>
      </c>
      <c r="BW154" s="305">
        <v>0</v>
      </c>
      <c r="BX154" s="305">
        <v>0</v>
      </c>
      <c r="BY154" s="305">
        <v>25297.051877142199</v>
      </c>
      <c r="BZ154" s="305">
        <v>0</v>
      </c>
      <c r="CA154" s="305">
        <v>0</v>
      </c>
      <c r="CB154" s="305">
        <v>0</v>
      </c>
      <c r="CC154" s="305">
        <v>0</v>
      </c>
      <c r="CD154" s="305">
        <v>0</v>
      </c>
      <c r="CE154" s="305">
        <v>0</v>
      </c>
      <c r="CF154" s="305">
        <v>0</v>
      </c>
      <c r="CG154" s="305">
        <v>0</v>
      </c>
      <c r="CH154" s="305">
        <v>0</v>
      </c>
      <c r="CI154" s="305">
        <v>0</v>
      </c>
      <c r="CJ154" s="305">
        <v>0</v>
      </c>
      <c r="CK154" s="305">
        <v>0</v>
      </c>
      <c r="CL154" s="305">
        <v>0</v>
      </c>
      <c r="CO154" s="304" t="s">
        <v>666</v>
      </c>
      <c r="CP154" s="302">
        <v>0</v>
      </c>
      <c r="CQ154" s="302">
        <v>0</v>
      </c>
    </row>
    <row r="155" spans="61:95">
      <c r="BI155" s="304" t="s">
        <v>667</v>
      </c>
      <c r="BJ155" s="305">
        <v>0</v>
      </c>
      <c r="BK155" s="305">
        <v>0</v>
      </c>
      <c r="BL155" s="305">
        <v>0</v>
      </c>
      <c r="BM155" s="305">
        <v>0</v>
      </c>
      <c r="BN155" s="305">
        <v>0</v>
      </c>
      <c r="BO155" s="305">
        <v>0</v>
      </c>
      <c r="BP155" s="305">
        <v>0</v>
      </c>
      <c r="BQ155" s="305">
        <v>0</v>
      </c>
      <c r="BR155" s="305">
        <v>0</v>
      </c>
      <c r="BS155" s="305">
        <v>0</v>
      </c>
      <c r="BT155" s="305">
        <v>0</v>
      </c>
      <c r="BU155" s="305">
        <v>0</v>
      </c>
      <c r="BV155" s="305">
        <v>0</v>
      </c>
      <c r="BW155" s="305">
        <v>25297.051877142199</v>
      </c>
      <c r="BX155" s="305">
        <v>0</v>
      </c>
      <c r="BY155" s="305">
        <v>0</v>
      </c>
      <c r="BZ155" s="305">
        <v>0</v>
      </c>
      <c r="CA155" s="305">
        <v>0</v>
      </c>
      <c r="CB155" s="305">
        <v>0</v>
      </c>
      <c r="CC155" s="305">
        <v>0</v>
      </c>
      <c r="CD155" s="305">
        <v>0</v>
      </c>
      <c r="CE155" s="305">
        <v>0</v>
      </c>
      <c r="CF155" s="305">
        <v>0</v>
      </c>
      <c r="CG155" s="305">
        <v>0</v>
      </c>
      <c r="CH155" s="305">
        <v>0</v>
      </c>
      <c r="CI155" s="305">
        <v>0</v>
      </c>
      <c r="CJ155" s="305">
        <v>0</v>
      </c>
      <c r="CK155" s="305">
        <v>0</v>
      </c>
      <c r="CL155" s="305">
        <v>0</v>
      </c>
      <c r="CO155" s="304" t="s">
        <v>667</v>
      </c>
      <c r="CP155" s="302">
        <v>0</v>
      </c>
      <c r="CQ155" s="302">
        <v>0</v>
      </c>
    </row>
    <row r="156" spans="61:95">
      <c r="BI156" s="304" t="s">
        <v>668</v>
      </c>
      <c r="BJ156" s="305">
        <v>0</v>
      </c>
      <c r="BK156" s="305">
        <v>0</v>
      </c>
      <c r="BL156" s="305">
        <v>0</v>
      </c>
      <c r="BM156" s="305">
        <v>0</v>
      </c>
      <c r="BN156" s="305">
        <v>0</v>
      </c>
      <c r="BO156" s="305">
        <v>0</v>
      </c>
      <c r="BP156" s="305">
        <v>0</v>
      </c>
      <c r="BQ156" s="305">
        <v>0</v>
      </c>
      <c r="BR156" s="305">
        <v>0</v>
      </c>
      <c r="BS156" s="305">
        <v>0</v>
      </c>
      <c r="BT156" s="305">
        <v>0</v>
      </c>
      <c r="BU156" s="305">
        <v>0</v>
      </c>
      <c r="BV156" s="305">
        <v>0</v>
      </c>
      <c r="BW156" s="305">
        <v>0</v>
      </c>
      <c r="BX156" s="305">
        <v>25297.051877142199</v>
      </c>
      <c r="BY156" s="305">
        <v>0</v>
      </c>
      <c r="BZ156" s="305">
        <v>0</v>
      </c>
      <c r="CA156" s="305">
        <v>0</v>
      </c>
      <c r="CB156" s="305">
        <v>0</v>
      </c>
      <c r="CC156" s="305">
        <v>0</v>
      </c>
      <c r="CD156" s="305">
        <v>0</v>
      </c>
      <c r="CE156" s="305">
        <v>0</v>
      </c>
      <c r="CF156" s="305">
        <v>0</v>
      </c>
      <c r="CG156" s="305">
        <v>0</v>
      </c>
      <c r="CH156" s="305">
        <v>0</v>
      </c>
      <c r="CI156" s="305">
        <v>0</v>
      </c>
      <c r="CJ156" s="305">
        <v>0</v>
      </c>
      <c r="CK156" s="305">
        <v>0</v>
      </c>
      <c r="CL156" s="305">
        <v>0</v>
      </c>
      <c r="CO156" s="304" t="s">
        <v>668</v>
      </c>
      <c r="CP156" s="302">
        <v>0</v>
      </c>
      <c r="CQ156" s="302">
        <v>0</v>
      </c>
    </row>
    <row r="157" spans="61:95">
      <c r="BI157" s="304" t="s">
        <v>669</v>
      </c>
      <c r="BJ157" s="305">
        <v>0</v>
      </c>
      <c r="BK157" s="305">
        <v>0</v>
      </c>
      <c r="BL157" s="305">
        <v>0</v>
      </c>
      <c r="BM157" s="305">
        <v>0</v>
      </c>
      <c r="BN157" s="305">
        <v>0</v>
      </c>
      <c r="BO157" s="305">
        <v>0</v>
      </c>
      <c r="BP157" s="305">
        <v>0</v>
      </c>
      <c r="BQ157" s="305">
        <v>0</v>
      </c>
      <c r="BR157" s="305">
        <v>0</v>
      </c>
      <c r="BS157" s="305">
        <v>0</v>
      </c>
      <c r="BT157" s="305">
        <v>0</v>
      </c>
      <c r="BU157" s="305">
        <v>0</v>
      </c>
      <c r="BV157" s="305">
        <v>0</v>
      </c>
      <c r="BW157" s="305">
        <v>0</v>
      </c>
      <c r="BX157" s="305">
        <v>0</v>
      </c>
      <c r="BY157" s="305">
        <v>0</v>
      </c>
      <c r="BZ157" s="305">
        <v>0</v>
      </c>
      <c r="CA157" s="305">
        <v>0</v>
      </c>
      <c r="CB157" s="305">
        <v>0</v>
      </c>
      <c r="CC157" s="305">
        <v>0</v>
      </c>
      <c r="CD157" s="305">
        <v>0</v>
      </c>
      <c r="CE157" s="305">
        <v>0</v>
      </c>
      <c r="CF157" s="305">
        <v>0</v>
      </c>
      <c r="CG157" s="305">
        <v>0</v>
      </c>
      <c r="CH157" s="305">
        <v>0</v>
      </c>
      <c r="CI157" s="305">
        <v>0</v>
      </c>
      <c r="CJ157" s="305">
        <v>0</v>
      </c>
      <c r="CK157" s="305">
        <v>0</v>
      </c>
      <c r="CL157" s="305">
        <v>0</v>
      </c>
      <c r="CO157" s="304" t="s">
        <v>669</v>
      </c>
      <c r="CP157" s="302">
        <v>0</v>
      </c>
      <c r="CQ157" s="302">
        <v>7739.25118007116</v>
      </c>
    </row>
    <row r="158" spans="61:95">
      <c r="BI158" s="304" t="s">
        <v>670</v>
      </c>
      <c r="BJ158" s="305">
        <v>0</v>
      </c>
      <c r="BK158" s="305">
        <v>0</v>
      </c>
      <c r="BL158" s="305">
        <v>0</v>
      </c>
      <c r="BM158" s="305">
        <v>0</v>
      </c>
      <c r="BN158" s="305">
        <v>0</v>
      </c>
      <c r="BO158" s="305">
        <v>0</v>
      </c>
      <c r="BP158" s="305">
        <v>0</v>
      </c>
      <c r="BQ158" s="305">
        <v>0</v>
      </c>
      <c r="BR158" s="305">
        <v>0</v>
      </c>
      <c r="BS158" s="305">
        <v>0</v>
      </c>
      <c r="BT158" s="305">
        <v>0</v>
      </c>
      <c r="BU158" s="305">
        <v>0</v>
      </c>
      <c r="BV158" s="305">
        <v>0</v>
      </c>
      <c r="BW158" s="305">
        <v>0</v>
      </c>
      <c r="BX158" s="305">
        <v>24.076233417548501</v>
      </c>
      <c r="BY158" s="305">
        <v>0</v>
      </c>
      <c r="BZ158" s="305">
        <v>0</v>
      </c>
      <c r="CA158" s="305">
        <v>0</v>
      </c>
      <c r="CB158" s="305">
        <v>0</v>
      </c>
      <c r="CC158" s="305">
        <v>0</v>
      </c>
      <c r="CD158" s="305">
        <v>0</v>
      </c>
      <c r="CE158" s="305">
        <v>0</v>
      </c>
      <c r="CF158" s="305">
        <v>0</v>
      </c>
      <c r="CG158" s="305">
        <v>0</v>
      </c>
      <c r="CH158" s="305">
        <v>0</v>
      </c>
      <c r="CI158" s="305">
        <v>0</v>
      </c>
      <c r="CJ158" s="305">
        <v>0</v>
      </c>
      <c r="CK158" s="305">
        <v>0</v>
      </c>
      <c r="CL158" s="305">
        <v>0</v>
      </c>
      <c r="CO158" s="304" t="s">
        <v>670</v>
      </c>
      <c r="CP158" s="302">
        <v>0</v>
      </c>
      <c r="CQ158" s="302">
        <v>0</v>
      </c>
    </row>
    <row r="159" spans="61:95">
      <c r="BI159" s="304" t="s">
        <v>671</v>
      </c>
      <c r="BJ159" s="305">
        <v>2329445.30922601</v>
      </c>
      <c r="BK159" s="305">
        <v>0</v>
      </c>
      <c r="BL159" s="305">
        <v>0</v>
      </c>
      <c r="BM159" s="305">
        <v>0</v>
      </c>
      <c r="BN159" s="305">
        <v>0</v>
      </c>
      <c r="BO159" s="305">
        <v>0</v>
      </c>
      <c r="BP159" s="305">
        <v>0</v>
      </c>
      <c r="BQ159" s="305">
        <v>0</v>
      </c>
      <c r="BR159" s="305">
        <v>10583778.883576799</v>
      </c>
      <c r="BS159" s="305">
        <v>10407.5335702297</v>
      </c>
      <c r="BT159" s="305">
        <v>0</v>
      </c>
      <c r="BU159" s="305">
        <v>0</v>
      </c>
      <c r="BV159" s="305">
        <v>0</v>
      </c>
      <c r="BW159" s="305">
        <v>0</v>
      </c>
      <c r="BX159" s="305">
        <v>0</v>
      </c>
      <c r="BY159" s="305">
        <v>0</v>
      </c>
      <c r="BZ159" s="305">
        <v>0</v>
      </c>
      <c r="CA159" s="305">
        <v>0</v>
      </c>
      <c r="CB159" s="305">
        <v>0</v>
      </c>
      <c r="CC159" s="305">
        <v>0</v>
      </c>
      <c r="CD159" s="305">
        <v>0</v>
      </c>
      <c r="CE159" s="305">
        <v>0</v>
      </c>
      <c r="CF159" s="305">
        <v>0</v>
      </c>
      <c r="CG159" s="305">
        <v>0</v>
      </c>
      <c r="CH159" s="305">
        <v>0</v>
      </c>
      <c r="CI159" s="305">
        <v>0</v>
      </c>
      <c r="CJ159" s="305">
        <v>0</v>
      </c>
      <c r="CK159" s="305">
        <v>1951076.47558275</v>
      </c>
      <c r="CL159" s="305">
        <v>0</v>
      </c>
      <c r="CO159" s="304" t="s">
        <v>671</v>
      </c>
      <c r="CP159" s="302">
        <v>0</v>
      </c>
      <c r="CQ159" s="302">
        <v>0</v>
      </c>
    </row>
    <row r="160" spans="61:95">
      <c r="BI160" s="304" t="s">
        <v>714</v>
      </c>
      <c r="BJ160" s="305">
        <v>0</v>
      </c>
      <c r="BK160" s="305">
        <v>0</v>
      </c>
      <c r="BL160" s="305">
        <v>0</v>
      </c>
      <c r="BM160" s="305">
        <v>0</v>
      </c>
      <c r="BN160" s="305">
        <v>0</v>
      </c>
      <c r="BO160" s="305">
        <v>0</v>
      </c>
      <c r="BP160" s="305">
        <v>0</v>
      </c>
      <c r="BQ160" s="305">
        <v>0</v>
      </c>
      <c r="BR160" s="305">
        <v>0</v>
      </c>
      <c r="BS160" s="305">
        <v>0</v>
      </c>
      <c r="BT160" s="305">
        <v>0</v>
      </c>
      <c r="BU160" s="305">
        <v>0</v>
      </c>
      <c r="BV160" s="305">
        <v>0</v>
      </c>
      <c r="BW160" s="305">
        <v>0</v>
      </c>
      <c r="BX160" s="305">
        <v>0</v>
      </c>
      <c r="BY160" s="305">
        <v>0</v>
      </c>
      <c r="BZ160" s="305">
        <v>0</v>
      </c>
      <c r="CA160" s="305">
        <v>0</v>
      </c>
      <c r="CB160" s="305">
        <v>0</v>
      </c>
      <c r="CC160" s="305">
        <v>0</v>
      </c>
      <c r="CD160" s="305">
        <v>0</v>
      </c>
      <c r="CE160" s="305">
        <v>0</v>
      </c>
      <c r="CF160" s="305">
        <v>0</v>
      </c>
      <c r="CG160" s="305">
        <v>3749358.3680556798</v>
      </c>
      <c r="CH160" s="305">
        <v>0</v>
      </c>
      <c r="CI160" s="305">
        <v>0</v>
      </c>
      <c r="CJ160" s="305">
        <v>0</v>
      </c>
      <c r="CK160" s="305">
        <v>0</v>
      </c>
      <c r="CL160" s="305">
        <v>0</v>
      </c>
      <c r="CO160" s="304" t="s">
        <v>714</v>
      </c>
      <c r="CP160" s="302">
        <v>0</v>
      </c>
      <c r="CQ160" s="302">
        <v>0</v>
      </c>
    </row>
    <row r="161" spans="61:95">
      <c r="BI161" s="304" t="s">
        <v>715</v>
      </c>
      <c r="BJ161" s="305">
        <v>0</v>
      </c>
      <c r="BK161" s="305">
        <v>0</v>
      </c>
      <c r="BL161" s="305">
        <v>0</v>
      </c>
      <c r="BM161" s="305">
        <v>0</v>
      </c>
      <c r="BN161" s="305">
        <v>0</v>
      </c>
      <c r="BO161" s="305">
        <v>0</v>
      </c>
      <c r="BP161" s="305">
        <v>0</v>
      </c>
      <c r="BQ161" s="305">
        <v>0</v>
      </c>
      <c r="BR161" s="305">
        <v>0</v>
      </c>
      <c r="BS161" s="305">
        <v>0</v>
      </c>
      <c r="BT161" s="305">
        <v>0</v>
      </c>
      <c r="BU161" s="305">
        <v>0</v>
      </c>
      <c r="BV161" s="305">
        <v>0</v>
      </c>
      <c r="BW161" s="305">
        <v>0</v>
      </c>
      <c r="BX161" s="305">
        <v>0</v>
      </c>
      <c r="BY161" s="305">
        <v>0</v>
      </c>
      <c r="BZ161" s="305">
        <v>0</v>
      </c>
      <c r="CA161" s="305">
        <v>0</v>
      </c>
      <c r="CB161" s="305">
        <v>0</v>
      </c>
      <c r="CC161" s="305">
        <v>0</v>
      </c>
      <c r="CD161" s="305">
        <v>0</v>
      </c>
      <c r="CE161" s="305">
        <v>0</v>
      </c>
      <c r="CF161" s="305">
        <v>0</v>
      </c>
      <c r="CG161" s="305">
        <v>0</v>
      </c>
      <c r="CH161" s="305">
        <v>0</v>
      </c>
      <c r="CI161" s="305">
        <v>0</v>
      </c>
      <c r="CJ161" s="305">
        <v>668.84165319492104</v>
      </c>
      <c r="CK161" s="305">
        <v>0</v>
      </c>
      <c r="CL161" s="305">
        <v>0</v>
      </c>
      <c r="CO161" s="304" t="s">
        <v>715</v>
      </c>
      <c r="CP161" s="302">
        <v>0</v>
      </c>
      <c r="CQ161" s="302">
        <v>0</v>
      </c>
    </row>
    <row r="162" spans="61:95">
      <c r="BI162" s="304" t="s">
        <v>716</v>
      </c>
      <c r="BJ162" s="305">
        <v>0</v>
      </c>
      <c r="BK162" s="305">
        <v>0</v>
      </c>
      <c r="BL162" s="305">
        <v>0</v>
      </c>
      <c r="BM162" s="305">
        <v>0</v>
      </c>
      <c r="BN162" s="305">
        <v>0</v>
      </c>
      <c r="BO162" s="305">
        <v>0</v>
      </c>
      <c r="BP162" s="305">
        <v>0</v>
      </c>
      <c r="BQ162" s="305">
        <v>0</v>
      </c>
      <c r="BR162" s="305">
        <v>0</v>
      </c>
      <c r="BS162" s="305">
        <v>0</v>
      </c>
      <c r="BT162" s="305">
        <v>0</v>
      </c>
      <c r="BU162" s="305">
        <v>0</v>
      </c>
      <c r="BV162" s="305">
        <v>0</v>
      </c>
      <c r="BW162" s="305">
        <v>0</v>
      </c>
      <c r="BX162" s="305">
        <v>0</v>
      </c>
      <c r="BY162" s="305">
        <v>0</v>
      </c>
      <c r="BZ162" s="305">
        <v>0</v>
      </c>
      <c r="CA162" s="305">
        <v>0</v>
      </c>
      <c r="CB162" s="305">
        <v>0</v>
      </c>
      <c r="CC162" s="305">
        <v>0</v>
      </c>
      <c r="CD162" s="305">
        <v>0</v>
      </c>
      <c r="CE162" s="305">
        <v>0</v>
      </c>
      <c r="CF162" s="305">
        <v>0</v>
      </c>
      <c r="CG162" s="305">
        <v>0</v>
      </c>
      <c r="CH162" s="305">
        <v>0</v>
      </c>
      <c r="CI162" s="305">
        <v>668.84165319492104</v>
      </c>
      <c r="CJ162" s="305">
        <v>0</v>
      </c>
      <c r="CK162" s="305">
        <v>0</v>
      </c>
      <c r="CL162" s="305">
        <v>0</v>
      </c>
      <c r="CO162" s="304" t="s">
        <v>716</v>
      </c>
      <c r="CP162" s="302">
        <v>0</v>
      </c>
      <c r="CQ162" s="302">
        <v>0</v>
      </c>
    </row>
    <row r="163" spans="61:95">
      <c r="BI163" s="304" t="s">
        <v>717</v>
      </c>
      <c r="BJ163" s="305">
        <v>0</v>
      </c>
      <c r="BK163" s="305">
        <v>0</v>
      </c>
      <c r="BL163" s="305">
        <v>0</v>
      </c>
      <c r="BM163" s="305">
        <v>0</v>
      </c>
      <c r="BN163" s="305">
        <v>0</v>
      </c>
      <c r="BO163" s="305">
        <v>0</v>
      </c>
      <c r="BP163" s="305">
        <v>0</v>
      </c>
      <c r="BQ163" s="305">
        <v>0</v>
      </c>
      <c r="BR163" s="305">
        <v>0</v>
      </c>
      <c r="BS163" s="305">
        <v>0</v>
      </c>
      <c r="BT163" s="305">
        <v>0</v>
      </c>
      <c r="BU163" s="305">
        <v>0</v>
      </c>
      <c r="BV163" s="305">
        <v>0</v>
      </c>
      <c r="BW163" s="305">
        <v>0</v>
      </c>
      <c r="BX163" s="305">
        <v>0</v>
      </c>
      <c r="BY163" s="305">
        <v>0</v>
      </c>
      <c r="BZ163" s="305">
        <v>0</v>
      </c>
      <c r="CA163" s="305">
        <v>0</v>
      </c>
      <c r="CB163" s="305">
        <v>0</v>
      </c>
      <c r="CC163" s="305">
        <v>0</v>
      </c>
      <c r="CD163" s="305">
        <v>0</v>
      </c>
      <c r="CE163" s="305">
        <v>0</v>
      </c>
      <c r="CF163" s="305">
        <v>0</v>
      </c>
      <c r="CG163" s="305">
        <v>0</v>
      </c>
      <c r="CH163" s="305">
        <v>184686.52821315001</v>
      </c>
      <c r="CI163" s="305">
        <v>0</v>
      </c>
      <c r="CJ163" s="305">
        <v>0</v>
      </c>
      <c r="CK163" s="305">
        <v>0</v>
      </c>
      <c r="CL163" s="305">
        <v>0</v>
      </c>
      <c r="CO163" s="304" t="s">
        <v>717</v>
      </c>
      <c r="CP163" s="302">
        <v>0</v>
      </c>
      <c r="CQ163" s="302">
        <v>0</v>
      </c>
    </row>
    <row r="164" spans="61:95">
      <c r="BI164" s="304" t="s">
        <v>718</v>
      </c>
      <c r="BJ164" s="305">
        <v>0</v>
      </c>
      <c r="BK164" s="305">
        <v>0</v>
      </c>
      <c r="BL164" s="305">
        <v>0</v>
      </c>
      <c r="BM164" s="305">
        <v>0</v>
      </c>
      <c r="BN164" s="305">
        <v>0</v>
      </c>
      <c r="BO164" s="305">
        <v>0</v>
      </c>
      <c r="BP164" s="305">
        <v>0</v>
      </c>
      <c r="BQ164" s="305">
        <v>0</v>
      </c>
      <c r="BR164" s="305">
        <v>0</v>
      </c>
      <c r="BS164" s="305">
        <v>0</v>
      </c>
      <c r="BT164" s="305">
        <v>0</v>
      </c>
      <c r="BU164" s="305">
        <v>0</v>
      </c>
      <c r="BV164" s="305">
        <v>0</v>
      </c>
      <c r="BW164" s="305">
        <v>0</v>
      </c>
      <c r="BX164" s="305">
        <v>0</v>
      </c>
      <c r="BY164" s="305">
        <v>0</v>
      </c>
      <c r="BZ164" s="305">
        <v>0</v>
      </c>
      <c r="CA164" s="305">
        <v>0</v>
      </c>
      <c r="CB164" s="305">
        <v>184686.52821315001</v>
      </c>
      <c r="CC164" s="305">
        <v>0</v>
      </c>
      <c r="CD164" s="305">
        <v>0</v>
      </c>
      <c r="CE164" s="305">
        <v>0</v>
      </c>
      <c r="CF164" s="305">
        <v>0</v>
      </c>
      <c r="CG164" s="305">
        <v>0</v>
      </c>
      <c r="CH164" s="305">
        <v>0</v>
      </c>
      <c r="CI164" s="305">
        <v>0</v>
      </c>
      <c r="CJ164" s="305">
        <v>0</v>
      </c>
      <c r="CK164" s="305">
        <v>0</v>
      </c>
      <c r="CL164" s="305">
        <v>0</v>
      </c>
      <c r="CO164" s="304" t="s">
        <v>718</v>
      </c>
      <c r="CP164" s="302">
        <v>0</v>
      </c>
      <c r="CQ164" s="302">
        <v>0</v>
      </c>
    </row>
    <row r="165" spans="61:95">
      <c r="BI165" s="304" t="s">
        <v>719</v>
      </c>
      <c r="BJ165" s="305">
        <v>0</v>
      </c>
      <c r="BK165" s="305">
        <v>0</v>
      </c>
      <c r="BL165" s="305">
        <v>0</v>
      </c>
      <c r="BM165" s="305">
        <v>0</v>
      </c>
      <c r="BN165" s="305">
        <v>80113.817233021196</v>
      </c>
      <c r="BO165" s="305">
        <v>0</v>
      </c>
      <c r="BP165" s="305">
        <v>0</v>
      </c>
      <c r="BQ165" s="305">
        <v>0</v>
      </c>
      <c r="BR165" s="305">
        <v>0</v>
      </c>
      <c r="BS165" s="305">
        <v>0</v>
      </c>
      <c r="BT165" s="305">
        <v>0</v>
      </c>
      <c r="BU165" s="305">
        <v>0</v>
      </c>
      <c r="BV165" s="305">
        <v>0</v>
      </c>
      <c r="BW165" s="305">
        <v>0</v>
      </c>
      <c r="BX165" s="305">
        <v>0</v>
      </c>
      <c r="BY165" s="305">
        <v>0</v>
      </c>
      <c r="BZ165" s="305">
        <v>3204496.1178020099</v>
      </c>
      <c r="CA165" s="305">
        <v>0</v>
      </c>
      <c r="CB165" s="305">
        <v>0</v>
      </c>
      <c r="CC165" s="305">
        <v>0</v>
      </c>
      <c r="CD165" s="305">
        <v>0</v>
      </c>
      <c r="CE165" s="305">
        <v>0</v>
      </c>
      <c r="CF165" s="305">
        <v>0</v>
      </c>
      <c r="CG165" s="305">
        <v>0</v>
      </c>
      <c r="CH165" s="305">
        <v>0</v>
      </c>
      <c r="CI165" s="305">
        <v>0</v>
      </c>
      <c r="CJ165" s="305">
        <v>0</v>
      </c>
      <c r="CK165" s="305">
        <v>0</v>
      </c>
      <c r="CL165" s="305">
        <v>0</v>
      </c>
      <c r="CO165" s="304" t="s">
        <v>719</v>
      </c>
      <c r="CP165" s="302">
        <v>0</v>
      </c>
      <c r="CQ165" s="302">
        <v>0</v>
      </c>
    </row>
    <row r="166" spans="61:95">
      <c r="BI166" s="304" t="s">
        <v>720</v>
      </c>
      <c r="BJ166" s="305">
        <v>0</v>
      </c>
      <c r="BK166" s="305">
        <v>0</v>
      </c>
      <c r="BL166" s="305">
        <v>0</v>
      </c>
      <c r="BM166" s="305">
        <v>0</v>
      </c>
      <c r="BN166" s="305">
        <v>0</v>
      </c>
      <c r="BO166" s="305">
        <v>3090735.3644190198</v>
      </c>
      <c r="BP166" s="305">
        <v>0</v>
      </c>
      <c r="BQ166" s="305">
        <v>0</v>
      </c>
      <c r="BR166" s="305">
        <v>0</v>
      </c>
      <c r="BS166" s="305">
        <v>0</v>
      </c>
      <c r="BT166" s="305">
        <v>0</v>
      </c>
      <c r="BU166" s="305">
        <v>0</v>
      </c>
      <c r="BV166" s="305">
        <v>0</v>
      </c>
      <c r="BW166" s="305">
        <v>0</v>
      </c>
      <c r="BX166" s="305">
        <v>0</v>
      </c>
      <c r="BY166" s="305">
        <v>0</v>
      </c>
      <c r="BZ166" s="305">
        <v>0</v>
      </c>
      <c r="CA166" s="305">
        <v>0</v>
      </c>
      <c r="CB166" s="305">
        <v>0</v>
      </c>
      <c r="CC166" s="305">
        <v>0</v>
      </c>
      <c r="CD166" s="305">
        <v>0</v>
      </c>
      <c r="CE166" s="305">
        <v>0</v>
      </c>
      <c r="CF166" s="305">
        <v>0</v>
      </c>
      <c r="CG166" s="305">
        <v>0</v>
      </c>
      <c r="CH166" s="305">
        <v>0</v>
      </c>
      <c r="CI166" s="305">
        <v>0</v>
      </c>
      <c r="CJ166" s="305">
        <v>0</v>
      </c>
      <c r="CK166" s="305">
        <v>0</v>
      </c>
      <c r="CL166" s="305">
        <v>0</v>
      </c>
      <c r="CO166" s="304" t="s">
        <v>720</v>
      </c>
      <c r="CP166" s="302">
        <v>0</v>
      </c>
      <c r="CQ166" s="302">
        <v>0</v>
      </c>
    </row>
    <row r="167" spans="61:95">
      <c r="BI167" s="304" t="s">
        <v>721</v>
      </c>
      <c r="BJ167" s="305">
        <v>0</v>
      </c>
      <c r="BK167" s="305">
        <v>0</v>
      </c>
      <c r="BL167" s="305">
        <v>0</v>
      </c>
      <c r="BM167" s="305">
        <v>0</v>
      </c>
      <c r="BN167" s="305">
        <v>0</v>
      </c>
      <c r="BO167" s="305">
        <v>0</v>
      </c>
      <c r="BP167" s="305">
        <v>0</v>
      </c>
      <c r="BQ167" s="305">
        <v>0</v>
      </c>
      <c r="BR167" s="305">
        <v>0</v>
      </c>
      <c r="BS167" s="305">
        <v>0</v>
      </c>
      <c r="BT167" s="305">
        <v>0</v>
      </c>
      <c r="BU167" s="305">
        <v>0</v>
      </c>
      <c r="BV167" s="305">
        <v>0</v>
      </c>
      <c r="BW167" s="305">
        <v>0</v>
      </c>
      <c r="BX167" s="305">
        <v>0</v>
      </c>
      <c r="BY167" s="305">
        <v>0</v>
      </c>
      <c r="BZ167" s="305">
        <v>0</v>
      </c>
      <c r="CA167" s="305">
        <v>0</v>
      </c>
      <c r="CB167" s="305">
        <v>0</v>
      </c>
      <c r="CC167" s="305">
        <v>0</v>
      </c>
      <c r="CD167" s="305">
        <v>0</v>
      </c>
      <c r="CE167" s="305">
        <v>0</v>
      </c>
      <c r="CF167" s="305">
        <v>0</v>
      </c>
      <c r="CG167" s="305">
        <v>0</v>
      </c>
      <c r="CH167" s="305">
        <v>0</v>
      </c>
      <c r="CI167" s="305">
        <v>0</v>
      </c>
      <c r="CJ167" s="305">
        <v>0</v>
      </c>
      <c r="CK167" s="305">
        <v>0</v>
      </c>
      <c r="CL167" s="305">
        <v>21683.690906267198</v>
      </c>
      <c r="CO167" s="304" t="s">
        <v>721</v>
      </c>
      <c r="CP167" s="302">
        <v>0</v>
      </c>
      <c r="CQ167" s="302">
        <v>0</v>
      </c>
    </row>
    <row r="168" spans="61:95">
      <c r="BI168" s="304" t="s">
        <v>672</v>
      </c>
      <c r="BJ168" s="305">
        <v>0</v>
      </c>
      <c r="BK168" s="305">
        <v>0</v>
      </c>
      <c r="BL168" s="305">
        <v>0</v>
      </c>
      <c r="BM168" s="305">
        <v>0</v>
      </c>
      <c r="BN168" s="305">
        <v>0</v>
      </c>
      <c r="BO168" s="305">
        <v>0</v>
      </c>
      <c r="BP168" s="305">
        <v>0</v>
      </c>
      <c r="BQ168" s="305">
        <v>0</v>
      </c>
      <c r="BR168" s="305">
        <v>0</v>
      </c>
      <c r="BS168" s="305">
        <v>0</v>
      </c>
      <c r="BT168" s="305">
        <v>0</v>
      </c>
      <c r="BU168" s="305">
        <v>0</v>
      </c>
      <c r="BV168" s="305">
        <v>0</v>
      </c>
      <c r="BW168" s="305">
        <v>0</v>
      </c>
      <c r="BX168" s="305">
        <v>0</v>
      </c>
      <c r="BY168" s="305">
        <v>0</v>
      </c>
      <c r="BZ168" s="305">
        <v>0</v>
      </c>
      <c r="CA168" s="305">
        <v>0</v>
      </c>
      <c r="CB168" s="305">
        <v>0</v>
      </c>
      <c r="CC168" s="305">
        <v>0</v>
      </c>
      <c r="CD168" s="305">
        <v>0</v>
      </c>
      <c r="CE168" s="305">
        <v>0</v>
      </c>
      <c r="CF168" s="305">
        <v>0</v>
      </c>
      <c r="CG168" s="305">
        <v>0</v>
      </c>
      <c r="CH168" s="305">
        <v>0</v>
      </c>
      <c r="CI168" s="305">
        <v>0</v>
      </c>
      <c r="CJ168" s="305">
        <v>0</v>
      </c>
      <c r="CK168" s="305">
        <v>0</v>
      </c>
      <c r="CL168" s="305">
        <v>0</v>
      </c>
      <c r="CO168" s="304" t="s">
        <v>672</v>
      </c>
      <c r="CP168" s="302">
        <v>4157895.2984628798</v>
      </c>
      <c r="CQ168" s="302">
        <v>0</v>
      </c>
    </row>
    <row r="169" spans="61:95">
      <c r="BI169" s="304" t="s">
        <v>673</v>
      </c>
      <c r="BJ169" s="305">
        <v>0</v>
      </c>
      <c r="BK169" s="305">
        <v>0</v>
      </c>
      <c r="BL169" s="305">
        <v>0</v>
      </c>
      <c r="BM169" s="305">
        <v>0</v>
      </c>
      <c r="BN169" s="305">
        <v>0</v>
      </c>
      <c r="BO169" s="305">
        <v>0</v>
      </c>
      <c r="BP169" s="305">
        <v>0</v>
      </c>
      <c r="BQ169" s="305">
        <v>0</v>
      </c>
      <c r="BR169" s="305">
        <v>0</v>
      </c>
      <c r="BS169" s="305">
        <v>0</v>
      </c>
      <c r="BT169" s="305">
        <v>0</v>
      </c>
      <c r="BU169" s="305">
        <v>0</v>
      </c>
      <c r="BV169" s="305">
        <v>0</v>
      </c>
      <c r="BW169" s="305">
        <v>0</v>
      </c>
      <c r="BX169" s="305">
        <v>0</v>
      </c>
      <c r="BY169" s="305">
        <v>0</v>
      </c>
      <c r="BZ169" s="305">
        <v>0</v>
      </c>
      <c r="CA169" s="305">
        <v>0</v>
      </c>
      <c r="CB169" s="305">
        <v>0</v>
      </c>
      <c r="CC169" s="305">
        <v>0</v>
      </c>
      <c r="CD169" s="305">
        <v>0</v>
      </c>
      <c r="CE169" s="305">
        <v>0</v>
      </c>
      <c r="CF169" s="305">
        <v>0</v>
      </c>
      <c r="CG169" s="305">
        <v>0</v>
      </c>
      <c r="CH169" s="305">
        <v>0</v>
      </c>
      <c r="CI169" s="305">
        <v>0</v>
      </c>
      <c r="CJ169" s="305">
        <v>0</v>
      </c>
      <c r="CK169" s="305">
        <v>0</v>
      </c>
      <c r="CL169" s="305">
        <v>0</v>
      </c>
      <c r="CO169" s="304" t="s">
        <v>673</v>
      </c>
      <c r="CP169" s="302">
        <v>0</v>
      </c>
      <c r="CQ169" s="302">
        <v>67875.356217847497</v>
      </c>
    </row>
    <row r="170" spans="61:95">
      <c r="BI170" s="304" t="s">
        <v>722</v>
      </c>
      <c r="BJ170" s="305">
        <v>0</v>
      </c>
      <c r="BK170" s="305">
        <v>0</v>
      </c>
      <c r="BL170" s="305">
        <v>0</v>
      </c>
      <c r="BM170" s="305">
        <v>0</v>
      </c>
      <c r="BN170" s="305">
        <v>0</v>
      </c>
      <c r="BO170" s="305">
        <v>0</v>
      </c>
      <c r="BP170" s="305">
        <v>0</v>
      </c>
      <c r="BQ170" s="305">
        <v>0</v>
      </c>
      <c r="BR170" s="305">
        <v>0</v>
      </c>
      <c r="BS170" s="305">
        <v>0</v>
      </c>
      <c r="BT170" s="305">
        <v>0</v>
      </c>
      <c r="BU170" s="305">
        <v>0</v>
      </c>
      <c r="BV170" s="305">
        <v>0</v>
      </c>
      <c r="BW170" s="305">
        <v>0</v>
      </c>
      <c r="BX170" s="305">
        <v>0</v>
      </c>
      <c r="BY170" s="305">
        <v>0</v>
      </c>
      <c r="BZ170" s="305">
        <v>5048.7551388456604</v>
      </c>
      <c r="CA170" s="305">
        <v>0</v>
      </c>
      <c r="CB170" s="305">
        <v>0</v>
      </c>
      <c r="CC170" s="305">
        <v>0</v>
      </c>
      <c r="CD170" s="305">
        <v>0</v>
      </c>
      <c r="CE170" s="305">
        <v>0</v>
      </c>
      <c r="CF170" s="305">
        <v>0</v>
      </c>
      <c r="CG170" s="305">
        <v>0</v>
      </c>
      <c r="CH170" s="305">
        <v>0</v>
      </c>
      <c r="CI170" s="305">
        <v>0</v>
      </c>
      <c r="CJ170" s="305">
        <v>0</v>
      </c>
      <c r="CK170" s="305">
        <v>0</v>
      </c>
      <c r="CL170" s="305">
        <v>0</v>
      </c>
      <c r="CO170" s="304" t="s">
        <v>722</v>
      </c>
      <c r="CP170" s="302">
        <v>0</v>
      </c>
      <c r="CQ170" s="302">
        <v>0</v>
      </c>
    </row>
    <row r="171" spans="61:95">
      <c r="BI171" s="304" t="s">
        <v>723</v>
      </c>
      <c r="BJ171" s="305">
        <v>0</v>
      </c>
      <c r="BK171" s="305">
        <v>0</v>
      </c>
      <c r="BL171" s="305">
        <v>0</v>
      </c>
      <c r="BM171" s="305">
        <v>0</v>
      </c>
      <c r="BN171" s="305">
        <v>0</v>
      </c>
      <c r="BO171" s="305">
        <v>0</v>
      </c>
      <c r="BP171" s="305">
        <v>0</v>
      </c>
      <c r="BQ171" s="305">
        <v>0</v>
      </c>
      <c r="BR171" s="305">
        <v>0</v>
      </c>
      <c r="BS171" s="305">
        <v>0</v>
      </c>
      <c r="BT171" s="305">
        <v>0</v>
      </c>
      <c r="BU171" s="305">
        <v>0</v>
      </c>
      <c r="BV171" s="305">
        <v>0</v>
      </c>
      <c r="BW171" s="305">
        <v>0</v>
      </c>
      <c r="BX171" s="305">
        <v>0</v>
      </c>
      <c r="BY171" s="305">
        <v>0</v>
      </c>
      <c r="BZ171" s="305">
        <v>0</v>
      </c>
      <c r="CA171" s="305">
        <v>0</v>
      </c>
      <c r="CB171" s="305">
        <v>0</v>
      </c>
      <c r="CC171" s="305">
        <v>5023.7890204089899</v>
      </c>
      <c r="CD171" s="305">
        <v>0</v>
      </c>
      <c r="CE171" s="305">
        <v>0</v>
      </c>
      <c r="CF171" s="305">
        <v>0</v>
      </c>
      <c r="CG171" s="305">
        <v>0</v>
      </c>
      <c r="CH171" s="305">
        <v>0</v>
      </c>
      <c r="CI171" s="305">
        <v>0</v>
      </c>
      <c r="CJ171" s="305">
        <v>0</v>
      </c>
      <c r="CK171" s="305">
        <v>0</v>
      </c>
      <c r="CL171" s="305">
        <v>0</v>
      </c>
      <c r="CO171" s="304" t="s">
        <v>723</v>
      </c>
      <c r="CP171" s="302">
        <v>0</v>
      </c>
      <c r="CQ171" s="302">
        <v>0</v>
      </c>
    </row>
    <row r="172" spans="61:95">
      <c r="BI172" s="304" t="s">
        <v>674</v>
      </c>
      <c r="BJ172" s="305">
        <v>0</v>
      </c>
      <c r="BK172" s="305">
        <v>0</v>
      </c>
      <c r="BL172" s="305">
        <v>0</v>
      </c>
      <c r="BM172" s="305">
        <v>0</v>
      </c>
      <c r="BN172" s="305">
        <v>0</v>
      </c>
      <c r="BO172" s="305">
        <v>0</v>
      </c>
      <c r="BP172" s="305">
        <v>0</v>
      </c>
      <c r="BQ172" s="305">
        <v>0</v>
      </c>
      <c r="BR172" s="305">
        <v>0</v>
      </c>
      <c r="BS172" s="305">
        <v>0</v>
      </c>
      <c r="BT172" s="305">
        <v>0</v>
      </c>
      <c r="BU172" s="305">
        <v>0</v>
      </c>
      <c r="BV172" s="305">
        <v>0</v>
      </c>
      <c r="BW172" s="305">
        <v>0</v>
      </c>
      <c r="BX172" s="305">
        <v>0</v>
      </c>
      <c r="BY172" s="305">
        <v>0</v>
      </c>
      <c r="BZ172" s="305">
        <v>0</v>
      </c>
      <c r="CA172" s="305">
        <v>0</v>
      </c>
      <c r="CB172" s="305">
        <v>0</v>
      </c>
      <c r="CC172" s="305">
        <v>0</v>
      </c>
      <c r="CD172" s="305">
        <v>0</v>
      </c>
      <c r="CE172" s="305">
        <v>0</v>
      </c>
      <c r="CF172" s="305">
        <v>242016.07607977401</v>
      </c>
      <c r="CG172" s="305">
        <v>0</v>
      </c>
      <c r="CH172" s="305">
        <v>0</v>
      </c>
      <c r="CI172" s="305">
        <v>0</v>
      </c>
      <c r="CJ172" s="305">
        <v>0</v>
      </c>
      <c r="CK172" s="305">
        <v>0</v>
      </c>
      <c r="CL172" s="305">
        <v>0</v>
      </c>
      <c r="CO172" s="304" t="s">
        <v>674</v>
      </c>
      <c r="CP172" s="302">
        <v>0</v>
      </c>
      <c r="CQ172" s="302">
        <v>0</v>
      </c>
    </row>
    <row r="173" spans="61:95">
      <c r="BI173" s="304" t="s">
        <v>724</v>
      </c>
      <c r="BJ173" s="305">
        <v>0</v>
      </c>
      <c r="BK173" s="305">
        <v>0</v>
      </c>
      <c r="BL173" s="305">
        <v>0</v>
      </c>
      <c r="BM173" s="305">
        <v>0</v>
      </c>
      <c r="BN173" s="305">
        <v>0</v>
      </c>
      <c r="BO173" s="305">
        <v>0</v>
      </c>
      <c r="BP173" s="305">
        <v>0</v>
      </c>
      <c r="BQ173" s="305">
        <v>0</v>
      </c>
      <c r="BR173" s="305">
        <v>0</v>
      </c>
      <c r="BS173" s="305">
        <v>0</v>
      </c>
      <c r="BT173" s="305">
        <v>0</v>
      </c>
      <c r="BU173" s="305">
        <v>0</v>
      </c>
      <c r="BV173" s="305">
        <v>0</v>
      </c>
      <c r="BW173" s="305">
        <v>0</v>
      </c>
      <c r="BX173" s="305">
        <v>0</v>
      </c>
      <c r="BY173" s="305">
        <v>0</v>
      </c>
      <c r="BZ173" s="305">
        <v>0</v>
      </c>
      <c r="CA173" s="305">
        <v>0</v>
      </c>
      <c r="CB173" s="305">
        <v>0</v>
      </c>
      <c r="CC173" s="305">
        <v>0</v>
      </c>
      <c r="CD173" s="305">
        <v>0</v>
      </c>
      <c r="CE173" s="305">
        <v>0</v>
      </c>
      <c r="CF173" s="305">
        <v>0</v>
      </c>
      <c r="CG173" s="305">
        <v>0</v>
      </c>
      <c r="CH173" s="305">
        <v>0</v>
      </c>
      <c r="CI173" s="305">
        <v>0</v>
      </c>
      <c r="CJ173" s="305">
        <v>4306.0802326205903</v>
      </c>
      <c r="CK173" s="305">
        <v>0</v>
      </c>
      <c r="CL173" s="305">
        <v>0</v>
      </c>
      <c r="CO173" s="304" t="s">
        <v>724</v>
      </c>
      <c r="CP173" s="302">
        <v>0</v>
      </c>
      <c r="CQ173" s="302">
        <v>0</v>
      </c>
    </row>
    <row r="174" spans="61:95">
      <c r="BI174" s="304" t="s">
        <v>725</v>
      </c>
      <c r="BJ174" s="305">
        <v>0</v>
      </c>
      <c r="BK174" s="305">
        <v>0</v>
      </c>
      <c r="BL174" s="305">
        <v>0</v>
      </c>
      <c r="BM174" s="305">
        <v>0</v>
      </c>
      <c r="BN174" s="305">
        <v>0</v>
      </c>
      <c r="BO174" s="305">
        <v>0</v>
      </c>
      <c r="BP174" s="305">
        <v>0</v>
      </c>
      <c r="BQ174" s="305">
        <v>0</v>
      </c>
      <c r="BR174" s="305">
        <v>0</v>
      </c>
      <c r="BS174" s="305">
        <v>0</v>
      </c>
      <c r="BT174" s="305">
        <v>0</v>
      </c>
      <c r="BU174" s="305">
        <v>0</v>
      </c>
      <c r="BV174" s="305">
        <v>0</v>
      </c>
      <c r="BW174" s="305">
        <v>0</v>
      </c>
      <c r="BX174" s="305">
        <v>0</v>
      </c>
      <c r="BY174" s="305">
        <v>0</v>
      </c>
      <c r="BZ174" s="305">
        <v>82.091627997489695</v>
      </c>
      <c r="CA174" s="305">
        <v>0</v>
      </c>
      <c r="CB174" s="305">
        <v>0</v>
      </c>
      <c r="CC174" s="305">
        <v>0</v>
      </c>
      <c r="CD174" s="305">
        <v>0</v>
      </c>
      <c r="CE174" s="305">
        <v>0</v>
      </c>
      <c r="CF174" s="305">
        <v>0</v>
      </c>
      <c r="CG174" s="305">
        <v>0</v>
      </c>
      <c r="CH174" s="305">
        <v>0</v>
      </c>
      <c r="CI174" s="305">
        <v>0</v>
      </c>
      <c r="CJ174" s="305">
        <v>0</v>
      </c>
      <c r="CK174" s="305">
        <v>0</v>
      </c>
      <c r="CL174" s="305">
        <v>0</v>
      </c>
      <c r="CO174" s="304" t="s">
        <v>725</v>
      </c>
      <c r="CP174" s="302">
        <v>0</v>
      </c>
      <c r="CQ174" s="302">
        <v>0</v>
      </c>
    </row>
    <row r="175" spans="61:95">
      <c r="BI175" s="304" t="s">
        <v>726</v>
      </c>
      <c r="BJ175" s="305">
        <v>0</v>
      </c>
      <c r="BK175" s="305">
        <v>0</v>
      </c>
      <c r="BL175" s="305">
        <v>0</v>
      </c>
      <c r="BM175" s="305">
        <v>0</v>
      </c>
      <c r="BN175" s="305">
        <v>0</v>
      </c>
      <c r="BO175" s="305">
        <v>0</v>
      </c>
      <c r="BP175" s="305">
        <v>0</v>
      </c>
      <c r="BQ175" s="305">
        <v>0</v>
      </c>
      <c r="BR175" s="305">
        <v>0</v>
      </c>
      <c r="BS175" s="305">
        <v>0</v>
      </c>
      <c r="BT175" s="305">
        <v>0</v>
      </c>
      <c r="BU175" s="305">
        <v>0</v>
      </c>
      <c r="BV175" s="305">
        <v>0</v>
      </c>
      <c r="BW175" s="305">
        <v>0</v>
      </c>
      <c r="BX175" s="305">
        <v>0</v>
      </c>
      <c r="BY175" s="305">
        <v>0</v>
      </c>
      <c r="BZ175" s="305">
        <v>0</v>
      </c>
      <c r="CA175" s="305">
        <v>0</v>
      </c>
      <c r="CB175" s="305">
        <v>0</v>
      </c>
      <c r="CC175" s="305">
        <v>0</v>
      </c>
      <c r="CD175" s="305">
        <v>82.091627997489695</v>
      </c>
      <c r="CE175" s="305">
        <v>0</v>
      </c>
      <c r="CF175" s="305">
        <v>0</v>
      </c>
      <c r="CG175" s="305">
        <v>0</v>
      </c>
      <c r="CH175" s="305">
        <v>0</v>
      </c>
      <c r="CI175" s="305">
        <v>0</v>
      </c>
      <c r="CJ175" s="305">
        <v>0</v>
      </c>
      <c r="CK175" s="305">
        <v>0</v>
      </c>
      <c r="CL175" s="305">
        <v>0</v>
      </c>
      <c r="CO175" s="304" t="s">
        <v>726</v>
      </c>
      <c r="CP175" s="302">
        <v>0</v>
      </c>
      <c r="CQ175" s="302">
        <v>0</v>
      </c>
    </row>
    <row r="176" spans="61:95">
      <c r="BI176" s="304" t="s">
        <v>675</v>
      </c>
      <c r="BJ176" s="305">
        <v>0</v>
      </c>
      <c r="BK176" s="305">
        <v>0</v>
      </c>
      <c r="BL176" s="305">
        <v>0</v>
      </c>
      <c r="BM176" s="305">
        <v>0</v>
      </c>
      <c r="BN176" s="305">
        <v>0</v>
      </c>
      <c r="BO176" s="305">
        <v>0</v>
      </c>
      <c r="BP176" s="305">
        <v>0</v>
      </c>
      <c r="BQ176" s="305">
        <v>0</v>
      </c>
      <c r="BR176" s="305">
        <v>0</v>
      </c>
      <c r="BS176" s="305">
        <v>0</v>
      </c>
      <c r="BT176" s="305">
        <v>0</v>
      </c>
      <c r="BU176" s="305">
        <v>0</v>
      </c>
      <c r="BV176" s="305">
        <v>0</v>
      </c>
      <c r="BW176" s="305">
        <v>0</v>
      </c>
      <c r="BX176" s="305">
        <v>0</v>
      </c>
      <c r="BY176" s="305">
        <v>0</v>
      </c>
      <c r="BZ176" s="305">
        <v>0</v>
      </c>
      <c r="CA176" s="305">
        <v>0</v>
      </c>
      <c r="CB176" s="305">
        <v>0</v>
      </c>
      <c r="CC176" s="305">
        <v>0</v>
      </c>
      <c r="CD176" s="305">
        <v>0</v>
      </c>
      <c r="CE176" s="305">
        <v>0</v>
      </c>
      <c r="CF176" s="305">
        <v>0</v>
      </c>
      <c r="CG176" s="305">
        <v>0</v>
      </c>
      <c r="CH176" s="305">
        <v>0</v>
      </c>
      <c r="CI176" s="305">
        <v>0</v>
      </c>
      <c r="CJ176" s="305">
        <v>0</v>
      </c>
      <c r="CK176" s="305">
        <v>0</v>
      </c>
      <c r="CL176" s="305">
        <v>0</v>
      </c>
      <c r="CO176" s="304" t="s">
        <v>675</v>
      </c>
      <c r="CP176" s="302">
        <v>0</v>
      </c>
      <c r="CQ176" s="302">
        <v>955411.77850757004</v>
      </c>
    </row>
    <row r="177" spans="1:95">
      <c r="BI177" s="304" t="s">
        <v>676</v>
      </c>
      <c r="BJ177" s="305">
        <v>2830357.1263978099</v>
      </c>
      <c r="BK177" s="305">
        <v>0</v>
      </c>
      <c r="BL177" s="305">
        <v>0</v>
      </c>
      <c r="BM177" s="305">
        <v>0</v>
      </c>
      <c r="BN177" s="305">
        <v>0</v>
      </c>
      <c r="BO177" s="305">
        <v>0</v>
      </c>
      <c r="BP177" s="305">
        <v>0</v>
      </c>
      <c r="BQ177" s="305">
        <v>0</v>
      </c>
      <c r="BR177" s="305">
        <v>0</v>
      </c>
      <c r="BS177" s="305">
        <v>0</v>
      </c>
      <c r="BT177" s="305">
        <v>0</v>
      </c>
      <c r="BU177" s="305">
        <v>0</v>
      </c>
      <c r="BV177" s="305">
        <v>0</v>
      </c>
      <c r="BW177" s="305">
        <v>0</v>
      </c>
      <c r="BX177" s="305">
        <v>0</v>
      </c>
      <c r="BY177" s="305">
        <v>0</v>
      </c>
      <c r="BZ177" s="305">
        <v>0</v>
      </c>
      <c r="CA177" s="305">
        <v>0</v>
      </c>
      <c r="CB177" s="305">
        <v>0</v>
      </c>
      <c r="CC177" s="305">
        <v>0</v>
      </c>
      <c r="CD177" s="305">
        <v>0</v>
      </c>
      <c r="CE177" s="305">
        <v>0</v>
      </c>
      <c r="CF177" s="305">
        <v>0</v>
      </c>
      <c r="CG177" s="305">
        <v>0</v>
      </c>
      <c r="CH177" s="305">
        <v>0</v>
      </c>
      <c r="CI177" s="305">
        <v>0</v>
      </c>
      <c r="CJ177" s="305">
        <v>0</v>
      </c>
      <c r="CK177" s="305">
        <v>0</v>
      </c>
      <c r="CL177" s="305">
        <v>0</v>
      </c>
      <c r="CO177" s="304" t="s">
        <v>676</v>
      </c>
      <c r="CP177" s="302">
        <v>1213010.1970276299</v>
      </c>
      <c r="CQ177" s="302">
        <v>0</v>
      </c>
    </row>
    <row r="178" spans="1:95">
      <c r="BI178" s="304" t="s">
        <v>677</v>
      </c>
      <c r="BJ178" s="305">
        <v>0</v>
      </c>
      <c r="BK178" s="305">
        <v>0</v>
      </c>
      <c r="BL178" s="305">
        <v>0</v>
      </c>
      <c r="BM178" s="305">
        <v>0</v>
      </c>
      <c r="BN178" s="305">
        <v>0</v>
      </c>
      <c r="BO178" s="305">
        <v>0</v>
      </c>
      <c r="BP178" s="305">
        <v>4043367.3234254499</v>
      </c>
      <c r="BQ178" s="305">
        <v>0</v>
      </c>
      <c r="BR178" s="305">
        <v>0</v>
      </c>
      <c r="BS178" s="305">
        <v>0</v>
      </c>
      <c r="BT178" s="305">
        <v>0</v>
      </c>
      <c r="BU178" s="305">
        <v>0</v>
      </c>
      <c r="BV178" s="305">
        <v>0</v>
      </c>
      <c r="BW178" s="305">
        <v>0</v>
      </c>
      <c r="BX178" s="305">
        <v>0</v>
      </c>
      <c r="BY178" s="305">
        <v>0</v>
      </c>
      <c r="BZ178" s="305">
        <v>0</v>
      </c>
      <c r="CA178" s="305">
        <v>0</v>
      </c>
      <c r="CB178" s="305">
        <v>0</v>
      </c>
      <c r="CC178" s="305">
        <v>0</v>
      </c>
      <c r="CD178" s="305">
        <v>0</v>
      </c>
      <c r="CE178" s="305">
        <v>0</v>
      </c>
      <c r="CF178" s="305">
        <v>0</v>
      </c>
      <c r="CG178" s="305">
        <v>0</v>
      </c>
      <c r="CH178" s="305">
        <v>0</v>
      </c>
      <c r="CI178" s="305">
        <v>0</v>
      </c>
      <c r="CJ178" s="305">
        <v>0</v>
      </c>
      <c r="CK178" s="305">
        <v>0</v>
      </c>
      <c r="CL178" s="305">
        <v>0</v>
      </c>
      <c r="CO178" s="304" t="s">
        <v>677</v>
      </c>
      <c r="CP178" s="302">
        <v>0</v>
      </c>
      <c r="CQ178" s="302">
        <v>0</v>
      </c>
    </row>
    <row r="179" spans="1:95">
      <c r="BI179" s="304" t="s">
        <v>727</v>
      </c>
      <c r="BJ179" s="305">
        <v>0</v>
      </c>
      <c r="BK179" s="305">
        <v>0</v>
      </c>
      <c r="BL179" s="305">
        <v>0</v>
      </c>
      <c r="BM179" s="305">
        <v>0</v>
      </c>
      <c r="BN179" s="305">
        <v>0</v>
      </c>
      <c r="BO179" s="305">
        <v>0</v>
      </c>
      <c r="BP179" s="305">
        <v>0</v>
      </c>
      <c r="BQ179" s="305">
        <v>0</v>
      </c>
      <c r="BR179" s="305">
        <v>0</v>
      </c>
      <c r="BS179" s="305">
        <v>0</v>
      </c>
      <c r="BT179" s="305">
        <v>0</v>
      </c>
      <c r="BU179" s="305">
        <v>0</v>
      </c>
      <c r="BV179" s="305">
        <v>0</v>
      </c>
      <c r="BW179" s="305">
        <v>0</v>
      </c>
      <c r="BX179" s="305">
        <v>0</v>
      </c>
      <c r="BY179" s="305">
        <v>0</v>
      </c>
      <c r="BZ179" s="305">
        <v>43.206119998678503</v>
      </c>
      <c r="CA179" s="305">
        <v>0</v>
      </c>
      <c r="CB179" s="305">
        <v>0</v>
      </c>
      <c r="CC179" s="305">
        <v>0</v>
      </c>
      <c r="CD179" s="305">
        <v>0</v>
      </c>
      <c r="CE179" s="305">
        <v>0</v>
      </c>
      <c r="CF179" s="305">
        <v>0</v>
      </c>
      <c r="CG179" s="305">
        <v>0</v>
      </c>
      <c r="CH179" s="305">
        <v>0</v>
      </c>
      <c r="CI179" s="305">
        <v>0</v>
      </c>
      <c r="CJ179" s="305">
        <v>0</v>
      </c>
      <c r="CK179" s="305">
        <v>0</v>
      </c>
      <c r="CL179" s="305">
        <v>0</v>
      </c>
      <c r="CO179" s="304" t="s">
        <v>727</v>
      </c>
      <c r="CP179" s="302">
        <v>0</v>
      </c>
      <c r="CQ179" s="302">
        <v>0</v>
      </c>
    </row>
    <row r="180" spans="1:95">
      <c r="BI180" s="304" t="s">
        <v>728</v>
      </c>
      <c r="BJ180" s="305">
        <v>0</v>
      </c>
      <c r="BK180" s="305">
        <v>0</v>
      </c>
      <c r="BL180" s="305">
        <v>0</v>
      </c>
      <c r="BM180" s="305">
        <v>0</v>
      </c>
      <c r="BN180" s="305">
        <v>0</v>
      </c>
      <c r="BO180" s="305">
        <v>0</v>
      </c>
      <c r="BP180" s="305">
        <v>0</v>
      </c>
      <c r="BQ180" s="305">
        <v>0</v>
      </c>
      <c r="BR180" s="305">
        <v>0</v>
      </c>
      <c r="BS180" s="305">
        <v>0</v>
      </c>
      <c r="BT180" s="305">
        <v>0</v>
      </c>
      <c r="BU180" s="305">
        <v>0</v>
      </c>
      <c r="BV180" s="305">
        <v>0</v>
      </c>
      <c r="BW180" s="305">
        <v>0</v>
      </c>
      <c r="BX180" s="305">
        <v>0</v>
      </c>
      <c r="BY180" s="305">
        <v>0</v>
      </c>
      <c r="BZ180" s="305">
        <v>0</v>
      </c>
      <c r="CA180" s="305">
        <v>0</v>
      </c>
      <c r="CB180" s="305">
        <v>0</v>
      </c>
      <c r="CC180" s="305">
        <v>0</v>
      </c>
      <c r="CD180" s="305">
        <v>0</v>
      </c>
      <c r="CE180" s="305">
        <v>43.206119998678503</v>
      </c>
      <c r="CF180" s="305">
        <v>0</v>
      </c>
      <c r="CG180" s="305">
        <v>0</v>
      </c>
      <c r="CH180" s="305">
        <v>0</v>
      </c>
      <c r="CI180" s="305">
        <v>0</v>
      </c>
      <c r="CJ180" s="305">
        <v>0</v>
      </c>
      <c r="CK180" s="305">
        <v>0</v>
      </c>
      <c r="CL180" s="305">
        <v>0</v>
      </c>
      <c r="CO180" s="304" t="s">
        <v>728</v>
      </c>
      <c r="CP180" s="302">
        <v>0</v>
      </c>
      <c r="CQ180" s="302">
        <v>0</v>
      </c>
    </row>
    <row r="181" spans="1:95">
      <c r="BI181" s="304"/>
      <c r="BJ181" s="390" t="s">
        <v>698</v>
      </c>
      <c r="BK181" s="402"/>
      <c r="BL181" s="402"/>
      <c r="BM181" s="402"/>
      <c r="BN181" s="402"/>
      <c r="BO181" s="402"/>
      <c r="BP181" s="402"/>
      <c r="BQ181" s="402"/>
      <c r="BR181" s="402"/>
      <c r="BS181" s="402"/>
      <c r="BT181" s="402"/>
      <c r="BU181" s="402"/>
      <c r="BV181" s="402"/>
      <c r="BW181" s="402"/>
      <c r="BX181" s="402"/>
      <c r="BY181" s="402"/>
      <c r="BZ181" s="402"/>
      <c r="CA181" s="402"/>
      <c r="CB181" s="402"/>
      <c r="CC181" s="402"/>
      <c r="CD181" s="402"/>
      <c r="CE181" s="402"/>
      <c r="CF181" s="402"/>
      <c r="CG181" s="402"/>
      <c r="CH181" s="402"/>
      <c r="CI181" s="402"/>
      <c r="CJ181" s="402"/>
      <c r="CK181" s="402"/>
      <c r="CL181" s="402"/>
      <c r="CO181" s="304"/>
      <c r="CP181" s="390" t="s">
        <v>702</v>
      </c>
      <c r="CQ181" s="402"/>
    </row>
    <row r="184" spans="1:95" ht="228">
      <c r="A184" s="303" t="s">
        <v>641</v>
      </c>
      <c r="B184" s="234" t="s">
        <v>642</v>
      </c>
      <c r="C184" s="234" t="s">
        <v>708</v>
      </c>
      <c r="D184" s="234" t="s">
        <v>643</v>
      </c>
      <c r="E184" s="234" t="s">
        <v>644</v>
      </c>
      <c r="F184" s="234" t="s">
        <v>645</v>
      </c>
      <c r="G184" s="234" t="s">
        <v>646</v>
      </c>
      <c r="H184" s="234" t="s">
        <v>647</v>
      </c>
      <c r="I184" s="234" t="s">
        <v>648</v>
      </c>
      <c r="J184" s="234" t="s">
        <v>649</v>
      </c>
      <c r="K184" s="234" t="s">
        <v>650</v>
      </c>
      <c r="L184" s="234" t="s">
        <v>709</v>
      </c>
      <c r="M184" s="234" t="s">
        <v>651</v>
      </c>
      <c r="N184" s="234" t="s">
        <v>652</v>
      </c>
      <c r="O184" s="234" t="s">
        <v>653</v>
      </c>
      <c r="P184" s="234" t="s">
        <v>654</v>
      </c>
      <c r="Q184" s="234" t="s">
        <v>655</v>
      </c>
      <c r="R184" s="234" t="s">
        <v>710</v>
      </c>
      <c r="S184" s="234" t="s">
        <v>711</v>
      </c>
      <c r="T184" s="234" t="s">
        <v>656</v>
      </c>
      <c r="U184" s="234" t="s">
        <v>657</v>
      </c>
      <c r="V184" s="234" t="s">
        <v>658</v>
      </c>
      <c r="W184" s="234" t="s">
        <v>712</v>
      </c>
      <c r="X184" s="234" t="s">
        <v>713</v>
      </c>
      <c r="Y184" s="234" t="s">
        <v>659</v>
      </c>
      <c r="Z184" s="234" t="s">
        <v>660</v>
      </c>
      <c r="AA184" s="234" t="s">
        <v>661</v>
      </c>
      <c r="AB184" s="234" t="s">
        <v>662</v>
      </c>
      <c r="AC184" s="234" t="s">
        <v>663</v>
      </c>
      <c r="AD184" s="234" t="s">
        <v>664</v>
      </c>
      <c r="AE184" s="234" t="s">
        <v>665</v>
      </c>
      <c r="AF184" s="234" t="s">
        <v>666</v>
      </c>
      <c r="AG184" s="234" t="s">
        <v>667</v>
      </c>
      <c r="AH184" s="234" t="s">
        <v>668</v>
      </c>
      <c r="AI184" s="234" t="s">
        <v>669</v>
      </c>
      <c r="AJ184" s="234" t="s">
        <v>670</v>
      </c>
      <c r="AK184" s="234" t="s">
        <v>671</v>
      </c>
      <c r="AL184" s="234" t="s">
        <v>714</v>
      </c>
      <c r="AM184" s="234" t="s">
        <v>715</v>
      </c>
      <c r="AN184" s="234" t="s">
        <v>716</v>
      </c>
      <c r="AO184" s="234" t="s">
        <v>717</v>
      </c>
      <c r="AP184" s="234" t="s">
        <v>718</v>
      </c>
      <c r="AQ184" s="234" t="s">
        <v>719</v>
      </c>
      <c r="AR184" s="234" t="s">
        <v>720</v>
      </c>
      <c r="AS184" s="234" t="s">
        <v>721</v>
      </c>
      <c r="AT184" s="234" t="s">
        <v>672</v>
      </c>
      <c r="AU184" s="234" t="s">
        <v>673</v>
      </c>
      <c r="AV184" s="234" t="s">
        <v>722</v>
      </c>
      <c r="AW184" s="234" t="s">
        <v>723</v>
      </c>
      <c r="AX184" s="234" t="s">
        <v>674</v>
      </c>
      <c r="AY184" s="234" t="s">
        <v>724</v>
      </c>
      <c r="AZ184" s="234" t="s">
        <v>725</v>
      </c>
      <c r="BA184" s="234" t="s">
        <v>726</v>
      </c>
      <c r="BB184" s="234" t="s">
        <v>675</v>
      </c>
      <c r="BC184" s="234" t="s">
        <v>676</v>
      </c>
      <c r="BD184" s="234" t="s">
        <v>677</v>
      </c>
      <c r="BE184" s="234" t="s">
        <v>727</v>
      </c>
      <c r="BF184" s="234" t="s">
        <v>728</v>
      </c>
    </row>
    <row r="185" spans="1:95">
      <c r="A185" s="304" t="s">
        <v>683</v>
      </c>
      <c r="B185" s="305">
        <v>0</v>
      </c>
      <c r="C185" s="305">
        <v>0</v>
      </c>
      <c r="D185" s="305">
        <v>0</v>
      </c>
      <c r="E185" s="305">
        <v>404209.15818875801</v>
      </c>
      <c r="F185" s="305">
        <v>0</v>
      </c>
      <c r="G185" s="305">
        <v>0</v>
      </c>
      <c r="H185" s="305">
        <v>0</v>
      </c>
      <c r="I185" s="305">
        <v>0</v>
      </c>
      <c r="J185" s="305">
        <v>0</v>
      </c>
      <c r="K185" s="305">
        <v>0</v>
      </c>
      <c r="L185" s="305">
        <v>0</v>
      </c>
      <c r="M185" s="305">
        <v>0</v>
      </c>
      <c r="N185" s="305">
        <v>0</v>
      </c>
      <c r="O185" s="305">
        <v>0</v>
      </c>
      <c r="P185" s="305">
        <v>0</v>
      </c>
      <c r="Q185" s="305">
        <v>0</v>
      </c>
      <c r="R185" s="305">
        <v>0</v>
      </c>
      <c r="S185" s="305">
        <v>0</v>
      </c>
      <c r="T185" s="305">
        <v>0</v>
      </c>
      <c r="U185" s="305">
        <v>0</v>
      </c>
      <c r="V185" s="305">
        <v>0</v>
      </c>
      <c r="W185" s="305">
        <v>0</v>
      </c>
      <c r="X185" s="305">
        <v>0</v>
      </c>
      <c r="Y185" s="305">
        <v>0</v>
      </c>
      <c r="Z185" s="305">
        <v>0</v>
      </c>
      <c r="AA185" s="305">
        <v>0</v>
      </c>
      <c r="AB185" s="305">
        <v>0</v>
      </c>
      <c r="AC185" s="305">
        <v>0</v>
      </c>
      <c r="AD185" s="305">
        <v>0</v>
      </c>
      <c r="AE185" s="305">
        <v>0</v>
      </c>
      <c r="AF185" s="305">
        <v>0</v>
      </c>
      <c r="AG185" s="305">
        <v>0</v>
      </c>
      <c r="AH185" s="305">
        <v>0</v>
      </c>
      <c r="AI185" s="305">
        <v>0</v>
      </c>
      <c r="AJ185" s="305">
        <v>0</v>
      </c>
      <c r="AK185" s="305">
        <v>0</v>
      </c>
      <c r="AL185" s="305">
        <v>0</v>
      </c>
      <c r="AM185" s="305">
        <v>0</v>
      </c>
      <c r="AN185" s="305">
        <v>0</v>
      </c>
      <c r="AO185" s="305">
        <v>0</v>
      </c>
      <c r="AP185" s="305">
        <v>0</v>
      </c>
      <c r="AQ185" s="305">
        <v>0</v>
      </c>
      <c r="AR185" s="305">
        <v>0</v>
      </c>
      <c r="AS185" s="305">
        <v>0</v>
      </c>
      <c r="AT185" s="305">
        <v>4157895.2984628798</v>
      </c>
      <c r="AU185" s="305">
        <v>67875.356217847497</v>
      </c>
      <c r="AV185" s="305">
        <v>0</v>
      </c>
      <c r="AW185" s="305">
        <v>0</v>
      </c>
      <c r="AX185" s="305">
        <v>0</v>
      </c>
      <c r="AY185" s="305">
        <v>0</v>
      </c>
      <c r="AZ185" s="305">
        <v>0</v>
      </c>
      <c r="BA185" s="305">
        <v>0</v>
      </c>
      <c r="BB185" s="305">
        <v>0</v>
      </c>
      <c r="BC185" s="305">
        <v>0</v>
      </c>
      <c r="BD185" s="305">
        <v>0</v>
      </c>
      <c r="BE185" s="305">
        <v>0</v>
      </c>
      <c r="BF185" s="305">
        <v>0</v>
      </c>
    </row>
    <row r="186" spans="1:95">
      <c r="A186" s="304" t="s">
        <v>684</v>
      </c>
      <c r="B186" s="305">
        <v>0</v>
      </c>
      <c r="C186" s="305">
        <v>0</v>
      </c>
      <c r="D186" s="305">
        <v>0</v>
      </c>
      <c r="E186" s="305">
        <v>0</v>
      </c>
      <c r="F186" s="305">
        <v>0</v>
      </c>
      <c r="G186" s="305">
        <v>8855804.3203369807</v>
      </c>
      <c r="H186" s="305">
        <v>0</v>
      </c>
      <c r="I186" s="305">
        <v>0</v>
      </c>
      <c r="J186" s="305">
        <v>0</v>
      </c>
      <c r="K186" s="305">
        <v>0</v>
      </c>
      <c r="L186" s="305">
        <v>0</v>
      </c>
      <c r="M186" s="305">
        <v>0</v>
      </c>
      <c r="N186" s="305">
        <v>0</v>
      </c>
      <c r="O186" s="305">
        <v>0</v>
      </c>
      <c r="P186" s="305">
        <v>0</v>
      </c>
      <c r="Q186" s="305">
        <v>0</v>
      </c>
      <c r="R186" s="305">
        <v>0</v>
      </c>
      <c r="S186" s="305">
        <v>0</v>
      </c>
      <c r="T186" s="305">
        <v>0</v>
      </c>
      <c r="U186" s="305">
        <v>0</v>
      </c>
      <c r="V186" s="305">
        <v>0</v>
      </c>
      <c r="W186" s="305">
        <v>0</v>
      </c>
      <c r="X186" s="305">
        <v>0</v>
      </c>
      <c r="Y186" s="305">
        <v>0</v>
      </c>
      <c r="Z186" s="305">
        <v>0</v>
      </c>
      <c r="AA186" s="305">
        <v>0</v>
      </c>
      <c r="AB186" s="305">
        <v>0</v>
      </c>
      <c r="AC186" s="305">
        <v>0</v>
      </c>
      <c r="AD186" s="305">
        <v>0</v>
      </c>
      <c r="AE186" s="305">
        <v>0</v>
      </c>
      <c r="AF186" s="305">
        <v>0</v>
      </c>
      <c r="AG186" s="305">
        <v>0</v>
      </c>
      <c r="AH186" s="305">
        <v>0</v>
      </c>
      <c r="AI186" s="305">
        <v>0</v>
      </c>
      <c r="AJ186" s="305">
        <v>0</v>
      </c>
      <c r="AK186" s="305">
        <v>0</v>
      </c>
      <c r="AL186" s="305">
        <v>0</v>
      </c>
      <c r="AM186" s="305">
        <v>0</v>
      </c>
      <c r="AN186" s="305">
        <v>0</v>
      </c>
      <c r="AO186" s="305">
        <v>0</v>
      </c>
      <c r="AP186" s="305">
        <v>0</v>
      </c>
      <c r="AQ186" s="305">
        <v>0</v>
      </c>
      <c r="AR186" s="305">
        <v>0</v>
      </c>
      <c r="AS186" s="305">
        <v>0</v>
      </c>
      <c r="AT186" s="305">
        <v>0</v>
      </c>
      <c r="AU186" s="305">
        <v>0</v>
      </c>
      <c r="AV186" s="305">
        <v>0</v>
      </c>
      <c r="AW186" s="305">
        <v>0</v>
      </c>
      <c r="AX186" s="305">
        <v>0</v>
      </c>
      <c r="AY186" s="305">
        <v>0</v>
      </c>
      <c r="AZ186" s="305">
        <v>0</v>
      </c>
      <c r="BA186" s="305">
        <v>0</v>
      </c>
      <c r="BB186" s="305">
        <v>0</v>
      </c>
      <c r="BC186" s="305">
        <v>0</v>
      </c>
      <c r="BD186" s="305">
        <v>0</v>
      </c>
      <c r="BE186" s="305">
        <v>0</v>
      </c>
      <c r="BF186" s="305">
        <v>0</v>
      </c>
    </row>
    <row r="187" spans="1:95">
      <c r="A187" s="304" t="s">
        <v>685</v>
      </c>
      <c r="B187" s="305">
        <v>0</v>
      </c>
      <c r="C187" s="305">
        <v>0</v>
      </c>
      <c r="D187" s="305">
        <v>0</v>
      </c>
      <c r="E187" s="305">
        <v>0</v>
      </c>
      <c r="F187" s="305">
        <v>0</v>
      </c>
      <c r="G187" s="305">
        <v>0</v>
      </c>
      <c r="H187" s="305">
        <v>8855804.3203369807</v>
      </c>
      <c r="I187" s="305">
        <v>0</v>
      </c>
      <c r="J187" s="305">
        <v>0</v>
      </c>
      <c r="K187" s="305">
        <v>0</v>
      </c>
      <c r="L187" s="305">
        <v>0</v>
      </c>
      <c r="M187" s="305">
        <v>0</v>
      </c>
      <c r="N187" s="305">
        <v>555.77441893806395</v>
      </c>
      <c r="O187" s="305">
        <v>0</v>
      </c>
      <c r="P187" s="305">
        <v>0</v>
      </c>
      <c r="Q187" s="305">
        <v>0</v>
      </c>
      <c r="R187" s="305">
        <v>0</v>
      </c>
      <c r="S187" s="305">
        <v>0</v>
      </c>
      <c r="T187" s="305">
        <v>0</v>
      </c>
      <c r="U187" s="305">
        <v>0</v>
      </c>
      <c r="V187" s="305">
        <v>0</v>
      </c>
      <c r="W187" s="305">
        <v>0</v>
      </c>
      <c r="X187" s="305">
        <v>0</v>
      </c>
      <c r="Y187" s="305">
        <v>0</v>
      </c>
      <c r="Z187" s="305">
        <v>0</v>
      </c>
      <c r="AA187" s="305">
        <v>0</v>
      </c>
      <c r="AB187" s="305">
        <v>0</v>
      </c>
      <c r="AC187" s="305">
        <v>0</v>
      </c>
      <c r="AD187" s="305">
        <v>0</v>
      </c>
      <c r="AE187" s="305">
        <v>0</v>
      </c>
      <c r="AF187" s="305">
        <v>0</v>
      </c>
      <c r="AG187" s="305">
        <v>0</v>
      </c>
      <c r="AH187" s="305">
        <v>0</v>
      </c>
      <c r="AI187" s="305">
        <v>0</v>
      </c>
      <c r="AJ187" s="305">
        <v>0</v>
      </c>
      <c r="AK187" s="305">
        <v>0</v>
      </c>
      <c r="AL187" s="305">
        <v>0</v>
      </c>
      <c r="AM187" s="305">
        <v>0</v>
      </c>
      <c r="AN187" s="305">
        <v>0</v>
      </c>
      <c r="AO187" s="305">
        <v>0</v>
      </c>
      <c r="AP187" s="305">
        <v>0</v>
      </c>
      <c r="AQ187" s="305">
        <v>0</v>
      </c>
      <c r="AR187" s="305">
        <v>0</v>
      </c>
      <c r="AS187" s="305">
        <v>0</v>
      </c>
      <c r="AT187" s="305">
        <v>0</v>
      </c>
      <c r="AU187" s="305">
        <v>0</v>
      </c>
      <c r="AV187" s="305">
        <v>0</v>
      </c>
      <c r="AW187" s="305">
        <v>0</v>
      </c>
      <c r="AX187" s="305">
        <v>0</v>
      </c>
      <c r="AY187" s="305">
        <v>0</v>
      </c>
      <c r="AZ187" s="305">
        <v>0</v>
      </c>
      <c r="BA187" s="305">
        <v>0</v>
      </c>
      <c r="BB187" s="305">
        <v>0</v>
      </c>
      <c r="BC187" s="305">
        <v>0</v>
      </c>
      <c r="BD187" s="305">
        <v>0</v>
      </c>
      <c r="BE187" s="305">
        <v>0</v>
      </c>
      <c r="BF187" s="305">
        <v>0</v>
      </c>
    </row>
    <row r="188" spans="1:95">
      <c r="A188" s="304" t="s">
        <v>686</v>
      </c>
      <c r="B188" s="305">
        <v>0</v>
      </c>
      <c r="C188" s="305">
        <v>0</v>
      </c>
      <c r="D188" s="305">
        <v>0</v>
      </c>
      <c r="E188" s="305">
        <v>0</v>
      </c>
      <c r="F188" s="305">
        <v>0</v>
      </c>
      <c r="G188" s="305">
        <v>0</v>
      </c>
      <c r="H188" s="305">
        <v>0</v>
      </c>
      <c r="I188" s="305">
        <v>8855804.3203369807</v>
      </c>
      <c r="J188" s="305">
        <v>0</v>
      </c>
      <c r="K188" s="305">
        <v>0</v>
      </c>
      <c r="L188" s="305">
        <v>0</v>
      </c>
      <c r="M188" s="305">
        <v>0</v>
      </c>
      <c r="N188" s="305">
        <v>0</v>
      </c>
      <c r="O188" s="305">
        <v>0</v>
      </c>
      <c r="P188" s="305">
        <v>0</v>
      </c>
      <c r="Q188" s="305">
        <v>0</v>
      </c>
      <c r="R188" s="305">
        <v>0</v>
      </c>
      <c r="S188" s="305">
        <v>0</v>
      </c>
      <c r="T188" s="305">
        <v>0</v>
      </c>
      <c r="U188" s="305">
        <v>0</v>
      </c>
      <c r="V188" s="305">
        <v>0</v>
      </c>
      <c r="W188" s="305">
        <v>0</v>
      </c>
      <c r="X188" s="305">
        <v>0</v>
      </c>
      <c r="Y188" s="305">
        <v>0</v>
      </c>
      <c r="Z188" s="305">
        <v>0</v>
      </c>
      <c r="AA188" s="305">
        <v>0</v>
      </c>
      <c r="AB188" s="305">
        <v>0</v>
      </c>
      <c r="AC188" s="305">
        <v>0</v>
      </c>
      <c r="AD188" s="305">
        <v>0</v>
      </c>
      <c r="AE188" s="305">
        <v>0</v>
      </c>
      <c r="AF188" s="305">
        <v>0</v>
      </c>
      <c r="AG188" s="305">
        <v>0</v>
      </c>
      <c r="AH188" s="305">
        <v>0</v>
      </c>
      <c r="AI188" s="305">
        <v>0</v>
      </c>
      <c r="AJ188" s="305">
        <v>0</v>
      </c>
      <c r="AK188" s="305">
        <v>0</v>
      </c>
      <c r="AL188" s="305">
        <v>0</v>
      </c>
      <c r="AM188" s="305">
        <v>0</v>
      </c>
      <c r="AN188" s="305">
        <v>0</v>
      </c>
      <c r="AO188" s="305">
        <v>0</v>
      </c>
      <c r="AP188" s="305">
        <v>0</v>
      </c>
      <c r="AQ188" s="305">
        <v>0</v>
      </c>
      <c r="AR188" s="305">
        <v>0</v>
      </c>
      <c r="AS188" s="305">
        <v>0</v>
      </c>
      <c r="AT188" s="305">
        <v>0</v>
      </c>
      <c r="AU188" s="305">
        <v>0</v>
      </c>
      <c r="AV188" s="305">
        <v>0</v>
      </c>
      <c r="AW188" s="305">
        <v>0</v>
      </c>
      <c r="AX188" s="305">
        <v>0</v>
      </c>
      <c r="AY188" s="305">
        <v>0</v>
      </c>
      <c r="AZ188" s="305">
        <v>0</v>
      </c>
      <c r="BA188" s="305">
        <v>0</v>
      </c>
      <c r="BB188" s="305">
        <v>0</v>
      </c>
      <c r="BC188" s="305">
        <v>0</v>
      </c>
      <c r="BD188" s="305">
        <v>0</v>
      </c>
      <c r="BE188" s="305">
        <v>0</v>
      </c>
      <c r="BF188" s="305">
        <v>0</v>
      </c>
    </row>
    <row r="189" spans="1:95">
      <c r="A189" s="304" t="s">
        <v>749</v>
      </c>
      <c r="B189" s="305">
        <v>0</v>
      </c>
      <c r="C189" s="305">
        <v>0</v>
      </c>
      <c r="D189" s="305">
        <v>0</v>
      </c>
      <c r="E189" s="305">
        <v>0</v>
      </c>
      <c r="F189" s="305">
        <v>0</v>
      </c>
      <c r="G189" s="305">
        <v>0</v>
      </c>
      <c r="H189" s="305">
        <v>0</v>
      </c>
      <c r="I189" s="305">
        <v>0</v>
      </c>
      <c r="J189" s="305">
        <v>0</v>
      </c>
      <c r="K189" s="305">
        <v>0</v>
      </c>
      <c r="L189" s="305">
        <v>0</v>
      </c>
      <c r="M189" s="305">
        <v>0</v>
      </c>
      <c r="N189" s="305">
        <v>0</v>
      </c>
      <c r="O189" s="305">
        <v>0</v>
      </c>
      <c r="P189" s="305">
        <v>0</v>
      </c>
      <c r="Q189" s="305">
        <v>0</v>
      </c>
      <c r="R189" s="305">
        <v>0</v>
      </c>
      <c r="S189" s="305">
        <v>0</v>
      </c>
      <c r="T189" s="305">
        <v>0</v>
      </c>
      <c r="U189" s="305">
        <v>0</v>
      </c>
      <c r="V189" s="305">
        <v>0</v>
      </c>
      <c r="W189" s="305">
        <v>0</v>
      </c>
      <c r="X189" s="305">
        <v>0</v>
      </c>
      <c r="Y189" s="305">
        <v>0</v>
      </c>
      <c r="Z189" s="305">
        <v>0</v>
      </c>
      <c r="AA189" s="305">
        <v>0</v>
      </c>
      <c r="AB189" s="305">
        <v>0</v>
      </c>
      <c r="AC189" s="305">
        <v>0</v>
      </c>
      <c r="AD189" s="305">
        <v>0</v>
      </c>
      <c r="AE189" s="305">
        <v>0</v>
      </c>
      <c r="AF189" s="305">
        <v>0</v>
      </c>
      <c r="AG189" s="305">
        <v>0</v>
      </c>
      <c r="AH189" s="305">
        <v>0</v>
      </c>
      <c r="AI189" s="305">
        <v>0</v>
      </c>
      <c r="AJ189" s="305">
        <v>0</v>
      </c>
      <c r="AK189" s="305">
        <v>0</v>
      </c>
      <c r="AL189" s="305">
        <v>0</v>
      </c>
      <c r="AM189" s="305">
        <v>0</v>
      </c>
      <c r="AN189" s="305">
        <v>0</v>
      </c>
      <c r="AO189" s="305">
        <v>0</v>
      </c>
      <c r="AP189" s="305">
        <v>0</v>
      </c>
      <c r="AQ189" s="305">
        <v>0</v>
      </c>
      <c r="AR189" s="305">
        <v>0</v>
      </c>
      <c r="AS189" s="305">
        <v>16030.243919636299</v>
      </c>
      <c r="AT189" s="305">
        <v>0</v>
      </c>
      <c r="AU189" s="305">
        <v>0</v>
      </c>
      <c r="AV189" s="305">
        <v>0</v>
      </c>
      <c r="AW189" s="305">
        <v>0</v>
      </c>
      <c r="AX189" s="305">
        <v>0</v>
      </c>
      <c r="AY189" s="305">
        <v>0</v>
      </c>
      <c r="AZ189" s="305">
        <v>0</v>
      </c>
      <c r="BA189" s="305">
        <v>0</v>
      </c>
      <c r="BB189" s="305">
        <v>0</v>
      </c>
      <c r="BC189" s="305">
        <v>0</v>
      </c>
      <c r="BD189" s="305">
        <v>0</v>
      </c>
      <c r="BE189" s="305">
        <v>0</v>
      </c>
      <c r="BF189" s="305">
        <v>0</v>
      </c>
    </row>
    <row r="190" spans="1:95">
      <c r="A190" s="304" t="s">
        <v>750</v>
      </c>
      <c r="B190" s="305">
        <v>0</v>
      </c>
      <c r="C190" s="305">
        <v>0</v>
      </c>
      <c r="D190" s="305">
        <v>0</v>
      </c>
      <c r="E190" s="305">
        <v>0</v>
      </c>
      <c r="F190" s="305">
        <v>0</v>
      </c>
      <c r="G190" s="305">
        <v>0</v>
      </c>
      <c r="H190" s="305">
        <v>0</v>
      </c>
      <c r="I190" s="305">
        <v>0</v>
      </c>
      <c r="J190" s="305">
        <v>0</v>
      </c>
      <c r="K190" s="305">
        <v>0</v>
      </c>
      <c r="L190" s="305">
        <v>0</v>
      </c>
      <c r="M190" s="305">
        <v>0</v>
      </c>
      <c r="N190" s="305">
        <v>0</v>
      </c>
      <c r="O190" s="305">
        <v>0</v>
      </c>
      <c r="P190" s="305">
        <v>0</v>
      </c>
      <c r="Q190" s="305">
        <v>0</v>
      </c>
      <c r="R190" s="305">
        <v>0</v>
      </c>
      <c r="S190" s="305">
        <v>0</v>
      </c>
      <c r="T190" s="305">
        <v>0</v>
      </c>
      <c r="U190" s="305">
        <v>0</v>
      </c>
      <c r="V190" s="305">
        <v>0</v>
      </c>
      <c r="W190" s="305">
        <v>0</v>
      </c>
      <c r="X190" s="305">
        <v>0</v>
      </c>
      <c r="Y190" s="305">
        <v>0</v>
      </c>
      <c r="Z190" s="305">
        <v>0</v>
      </c>
      <c r="AA190" s="305">
        <v>0</v>
      </c>
      <c r="AB190" s="305">
        <v>0</v>
      </c>
      <c r="AC190" s="305">
        <v>0</v>
      </c>
      <c r="AD190" s="305">
        <v>0</v>
      </c>
      <c r="AE190" s="305">
        <v>0</v>
      </c>
      <c r="AF190" s="305">
        <v>0</v>
      </c>
      <c r="AG190" s="305">
        <v>0</v>
      </c>
      <c r="AH190" s="305">
        <v>0</v>
      </c>
      <c r="AI190" s="305">
        <v>0</v>
      </c>
      <c r="AJ190" s="305">
        <v>0</v>
      </c>
      <c r="AK190" s="305">
        <v>0</v>
      </c>
      <c r="AL190" s="305">
        <v>0</v>
      </c>
      <c r="AM190" s="305">
        <v>0</v>
      </c>
      <c r="AN190" s="305">
        <v>0</v>
      </c>
      <c r="AO190" s="305">
        <v>0</v>
      </c>
      <c r="AP190" s="305">
        <v>0</v>
      </c>
      <c r="AQ190" s="305">
        <v>3202004.12978845</v>
      </c>
      <c r="AR190" s="305">
        <v>0</v>
      </c>
      <c r="AS190" s="305">
        <v>0</v>
      </c>
      <c r="AT190" s="305">
        <v>0</v>
      </c>
      <c r="AU190" s="305">
        <v>0</v>
      </c>
      <c r="AV190" s="305">
        <v>0</v>
      </c>
      <c r="AW190" s="305">
        <v>0</v>
      </c>
      <c r="AX190" s="305">
        <v>0</v>
      </c>
      <c r="AY190" s="305">
        <v>0</v>
      </c>
      <c r="AZ190" s="305">
        <v>0</v>
      </c>
      <c r="BA190" s="305">
        <v>0</v>
      </c>
      <c r="BB190" s="305">
        <v>0</v>
      </c>
      <c r="BC190" s="305">
        <v>0</v>
      </c>
      <c r="BD190" s="305">
        <v>0</v>
      </c>
      <c r="BE190" s="305">
        <v>0</v>
      </c>
      <c r="BF190" s="305">
        <v>0</v>
      </c>
    </row>
    <row r="191" spans="1:95">
      <c r="A191" s="304" t="s">
        <v>687</v>
      </c>
      <c r="B191" s="305">
        <v>0</v>
      </c>
      <c r="C191" s="305">
        <v>0</v>
      </c>
      <c r="D191" s="305">
        <v>0</v>
      </c>
      <c r="E191" s="305">
        <v>0</v>
      </c>
      <c r="F191" s="305">
        <v>0</v>
      </c>
      <c r="G191" s="305">
        <v>0</v>
      </c>
      <c r="H191" s="305">
        <v>0</v>
      </c>
      <c r="I191" s="305">
        <v>0</v>
      </c>
      <c r="J191" s="305">
        <v>0</v>
      </c>
      <c r="K191" s="305">
        <v>0</v>
      </c>
      <c r="L191" s="305">
        <v>0</v>
      </c>
      <c r="M191" s="305">
        <v>0</v>
      </c>
      <c r="N191" s="305">
        <v>0</v>
      </c>
      <c r="O191" s="305">
        <v>0</v>
      </c>
      <c r="P191" s="305">
        <v>0</v>
      </c>
      <c r="Q191" s="305">
        <v>0</v>
      </c>
      <c r="R191" s="305">
        <v>0</v>
      </c>
      <c r="S191" s="305">
        <v>0</v>
      </c>
      <c r="T191" s="305">
        <v>0</v>
      </c>
      <c r="U191" s="305">
        <v>0</v>
      </c>
      <c r="V191" s="305">
        <v>0</v>
      </c>
      <c r="W191" s="305">
        <v>0</v>
      </c>
      <c r="X191" s="305">
        <v>0</v>
      </c>
      <c r="Y191" s="305">
        <v>0</v>
      </c>
      <c r="Z191" s="305">
        <v>0</v>
      </c>
      <c r="AA191" s="305">
        <v>0</v>
      </c>
      <c r="AB191" s="305">
        <v>0</v>
      </c>
      <c r="AC191" s="305">
        <v>0</v>
      </c>
      <c r="AD191" s="305">
        <v>0</v>
      </c>
      <c r="AE191" s="305">
        <v>0</v>
      </c>
      <c r="AF191" s="305">
        <v>0</v>
      </c>
      <c r="AG191" s="305">
        <v>0</v>
      </c>
      <c r="AH191" s="305">
        <v>0</v>
      </c>
      <c r="AI191" s="305">
        <v>0</v>
      </c>
      <c r="AJ191" s="305">
        <v>0</v>
      </c>
      <c r="AK191" s="305">
        <v>0</v>
      </c>
      <c r="AL191" s="305">
        <v>0</v>
      </c>
      <c r="AM191" s="305">
        <v>0</v>
      </c>
      <c r="AN191" s="305">
        <v>0</v>
      </c>
      <c r="AO191" s="305">
        <v>0</v>
      </c>
      <c r="AP191" s="305">
        <v>0</v>
      </c>
      <c r="AQ191" s="305">
        <v>0</v>
      </c>
      <c r="AR191" s="305">
        <v>0</v>
      </c>
      <c r="AS191" s="305">
        <v>0</v>
      </c>
      <c r="AT191" s="305">
        <v>0</v>
      </c>
      <c r="AU191" s="305">
        <v>0</v>
      </c>
      <c r="AV191" s="305">
        <v>0</v>
      </c>
      <c r="AW191" s="305">
        <v>0</v>
      </c>
      <c r="AX191" s="305">
        <v>0</v>
      </c>
      <c r="AY191" s="305">
        <v>0</v>
      </c>
      <c r="AZ191" s="305">
        <v>0</v>
      </c>
      <c r="BA191" s="305">
        <v>0</v>
      </c>
      <c r="BB191" s="305">
        <v>0</v>
      </c>
      <c r="BC191" s="305">
        <v>4043367.3234254499</v>
      </c>
      <c r="BD191" s="305">
        <v>0</v>
      </c>
      <c r="BE191" s="305">
        <v>0</v>
      </c>
      <c r="BF191" s="305">
        <v>0</v>
      </c>
    </row>
    <row r="192" spans="1:95">
      <c r="A192" s="304" t="s">
        <v>688</v>
      </c>
      <c r="B192" s="305">
        <v>0</v>
      </c>
      <c r="C192" s="305">
        <v>0</v>
      </c>
      <c r="D192" s="305">
        <v>0</v>
      </c>
      <c r="E192" s="305">
        <v>0</v>
      </c>
      <c r="F192" s="305">
        <v>0</v>
      </c>
      <c r="G192" s="305">
        <v>0</v>
      </c>
      <c r="H192" s="305">
        <v>0</v>
      </c>
      <c r="I192" s="305">
        <v>0</v>
      </c>
      <c r="J192" s="305">
        <v>0</v>
      </c>
      <c r="K192" s="305">
        <v>0</v>
      </c>
      <c r="L192" s="305">
        <v>0</v>
      </c>
      <c r="M192" s="305">
        <v>0</v>
      </c>
      <c r="N192" s="305">
        <v>0</v>
      </c>
      <c r="O192" s="305">
        <v>0</v>
      </c>
      <c r="P192" s="305">
        <v>0</v>
      </c>
      <c r="Q192" s="305">
        <v>0</v>
      </c>
      <c r="R192" s="305">
        <v>0</v>
      </c>
      <c r="S192" s="305">
        <v>0</v>
      </c>
      <c r="T192" s="305">
        <v>0</v>
      </c>
      <c r="U192" s="305">
        <v>0</v>
      </c>
      <c r="V192" s="305">
        <v>0</v>
      </c>
      <c r="W192" s="305">
        <v>0</v>
      </c>
      <c r="X192" s="305">
        <v>0</v>
      </c>
      <c r="Y192" s="305">
        <v>0</v>
      </c>
      <c r="Z192" s="305">
        <v>0</v>
      </c>
      <c r="AA192" s="305">
        <v>0</v>
      </c>
      <c r="AB192" s="305">
        <v>0</v>
      </c>
      <c r="AC192" s="305">
        <v>0</v>
      </c>
      <c r="AD192" s="305">
        <v>0</v>
      </c>
      <c r="AE192" s="305">
        <v>0</v>
      </c>
      <c r="AF192" s="305">
        <v>0</v>
      </c>
      <c r="AG192" s="305">
        <v>0</v>
      </c>
      <c r="AH192" s="305">
        <v>0</v>
      </c>
      <c r="AI192" s="305">
        <v>0</v>
      </c>
      <c r="AJ192" s="305">
        <v>0</v>
      </c>
      <c r="AK192" s="305">
        <v>0</v>
      </c>
      <c r="AL192" s="305">
        <v>0</v>
      </c>
      <c r="AM192" s="305">
        <v>0</v>
      </c>
      <c r="AN192" s="305">
        <v>0</v>
      </c>
      <c r="AO192" s="305">
        <v>0</v>
      </c>
      <c r="AP192" s="305">
        <v>0</v>
      </c>
      <c r="AQ192" s="305">
        <v>0</v>
      </c>
      <c r="AR192" s="305">
        <v>0</v>
      </c>
      <c r="AS192" s="305">
        <v>0</v>
      </c>
      <c r="AT192" s="305">
        <v>0</v>
      </c>
      <c r="AU192" s="305">
        <v>0</v>
      </c>
      <c r="AV192" s="305">
        <v>0</v>
      </c>
      <c r="AW192" s="305">
        <v>0</v>
      </c>
      <c r="AX192" s="305">
        <v>0</v>
      </c>
      <c r="AY192" s="305">
        <v>0</v>
      </c>
      <c r="AZ192" s="305">
        <v>0</v>
      </c>
      <c r="BA192" s="305">
        <v>0</v>
      </c>
      <c r="BB192" s="305">
        <v>0</v>
      </c>
      <c r="BC192" s="305">
        <v>0</v>
      </c>
      <c r="BD192" s="305">
        <v>4043367.3234254499</v>
      </c>
      <c r="BE192" s="305">
        <v>0</v>
      </c>
      <c r="BF192" s="305">
        <v>0</v>
      </c>
    </row>
    <row r="193" spans="1:58">
      <c r="A193" s="304" t="s">
        <v>689</v>
      </c>
      <c r="B193" s="305">
        <v>6408288.6211381704</v>
      </c>
      <c r="C193" s="305">
        <v>0</v>
      </c>
      <c r="D193" s="305">
        <v>8991.6203231094005</v>
      </c>
      <c r="E193" s="305">
        <v>0</v>
      </c>
      <c r="F193" s="305">
        <v>0</v>
      </c>
      <c r="G193" s="305">
        <v>0</v>
      </c>
      <c r="H193" s="305">
        <v>0</v>
      </c>
      <c r="I193" s="305">
        <v>0</v>
      </c>
      <c r="J193" s="305">
        <v>0</v>
      </c>
      <c r="K193" s="305">
        <v>4026178.1360752499</v>
      </c>
      <c r="L193" s="305">
        <v>0</v>
      </c>
      <c r="M193" s="305">
        <v>0</v>
      </c>
      <c r="N193" s="305">
        <v>0</v>
      </c>
      <c r="O193" s="305">
        <v>303788.26554911397</v>
      </c>
      <c r="P193" s="305">
        <v>0</v>
      </c>
      <c r="Q193" s="305">
        <v>0</v>
      </c>
      <c r="R193" s="305">
        <v>0</v>
      </c>
      <c r="S193" s="305">
        <v>0</v>
      </c>
      <c r="T193" s="305">
        <v>0</v>
      </c>
      <c r="U193" s="305">
        <v>0</v>
      </c>
      <c r="V193" s="305">
        <v>0</v>
      </c>
      <c r="W193" s="305">
        <v>0</v>
      </c>
      <c r="X193" s="305">
        <v>0</v>
      </c>
      <c r="Y193" s="305">
        <v>0</v>
      </c>
      <c r="Z193" s="305">
        <v>0</v>
      </c>
      <c r="AA193" s="305">
        <v>0</v>
      </c>
      <c r="AB193" s="305">
        <v>0</v>
      </c>
      <c r="AC193" s="305">
        <v>0</v>
      </c>
      <c r="AD193" s="305">
        <v>0</v>
      </c>
      <c r="AE193" s="305">
        <v>0</v>
      </c>
      <c r="AF193" s="305">
        <v>0</v>
      </c>
      <c r="AG193" s="305">
        <v>0</v>
      </c>
      <c r="AH193" s="305">
        <v>0</v>
      </c>
      <c r="AI193" s="305">
        <v>0</v>
      </c>
      <c r="AJ193" s="305">
        <v>0</v>
      </c>
      <c r="AK193" s="305">
        <v>0</v>
      </c>
      <c r="AL193" s="305">
        <v>0</v>
      </c>
      <c r="AM193" s="305">
        <v>0</v>
      </c>
      <c r="AN193" s="305">
        <v>0</v>
      </c>
      <c r="AO193" s="305">
        <v>0</v>
      </c>
      <c r="AP193" s="305">
        <v>0</v>
      </c>
      <c r="AQ193" s="305">
        <v>0</v>
      </c>
      <c r="AR193" s="305">
        <v>0</v>
      </c>
      <c r="AS193" s="305">
        <v>0</v>
      </c>
      <c r="AT193" s="305">
        <v>0</v>
      </c>
      <c r="AU193" s="305">
        <v>0</v>
      </c>
      <c r="AV193" s="305">
        <v>0</v>
      </c>
      <c r="AW193" s="305">
        <v>0</v>
      </c>
      <c r="AX193" s="305">
        <v>0</v>
      </c>
      <c r="AY193" s="305">
        <v>0</v>
      </c>
      <c r="AZ193" s="305">
        <v>0</v>
      </c>
      <c r="BA193" s="305">
        <v>0</v>
      </c>
      <c r="BB193" s="305">
        <v>955411.77850757004</v>
      </c>
      <c r="BC193" s="305">
        <v>0</v>
      </c>
      <c r="BD193" s="305">
        <v>0</v>
      </c>
      <c r="BE193" s="305">
        <v>0</v>
      </c>
      <c r="BF193" s="305">
        <v>0</v>
      </c>
    </row>
    <row r="194" spans="1:58">
      <c r="A194" s="304" t="s">
        <v>751</v>
      </c>
      <c r="B194" s="305">
        <v>0</v>
      </c>
      <c r="C194" s="305">
        <v>0</v>
      </c>
      <c r="D194" s="305">
        <v>0</v>
      </c>
      <c r="E194" s="305">
        <v>0</v>
      </c>
      <c r="F194" s="305">
        <v>0</v>
      </c>
      <c r="G194" s="305">
        <v>0</v>
      </c>
      <c r="H194" s="305">
        <v>0</v>
      </c>
      <c r="I194" s="305">
        <v>0</v>
      </c>
      <c r="J194" s="305">
        <v>0</v>
      </c>
      <c r="K194" s="305">
        <v>0</v>
      </c>
      <c r="L194" s="305">
        <v>0</v>
      </c>
      <c r="M194" s="305">
        <v>0</v>
      </c>
      <c r="N194" s="305">
        <v>0</v>
      </c>
      <c r="O194" s="305">
        <v>0</v>
      </c>
      <c r="P194" s="305">
        <v>0</v>
      </c>
      <c r="Q194" s="305">
        <v>0</v>
      </c>
      <c r="R194" s="305">
        <v>0</v>
      </c>
      <c r="S194" s="305">
        <v>0</v>
      </c>
      <c r="T194" s="305">
        <v>0</v>
      </c>
      <c r="U194" s="305">
        <v>0</v>
      </c>
      <c r="V194" s="305">
        <v>0</v>
      </c>
      <c r="W194" s="305">
        <v>0</v>
      </c>
      <c r="X194" s="305">
        <v>0</v>
      </c>
      <c r="Y194" s="305">
        <v>0</v>
      </c>
      <c r="Z194" s="305">
        <v>0</v>
      </c>
      <c r="AA194" s="305">
        <v>0</v>
      </c>
      <c r="AB194" s="305">
        <v>0</v>
      </c>
      <c r="AC194" s="305">
        <v>0</v>
      </c>
      <c r="AD194" s="305">
        <v>0</v>
      </c>
      <c r="AE194" s="305">
        <v>0</v>
      </c>
      <c r="AF194" s="305">
        <v>0</v>
      </c>
      <c r="AG194" s="305">
        <v>0</v>
      </c>
      <c r="AH194" s="305">
        <v>0</v>
      </c>
      <c r="AI194" s="305">
        <v>0</v>
      </c>
      <c r="AJ194" s="305">
        <v>0</v>
      </c>
      <c r="AK194" s="305">
        <v>0</v>
      </c>
      <c r="AL194" s="305">
        <v>0</v>
      </c>
      <c r="AM194" s="305">
        <v>0</v>
      </c>
      <c r="AN194" s="305">
        <v>0</v>
      </c>
      <c r="AO194" s="305">
        <v>0</v>
      </c>
      <c r="AP194" s="305">
        <v>0</v>
      </c>
      <c r="AQ194" s="305">
        <v>0</v>
      </c>
      <c r="AR194" s="305">
        <v>0</v>
      </c>
      <c r="AS194" s="305">
        <v>5653.4469866310001</v>
      </c>
      <c r="AT194" s="305">
        <v>0</v>
      </c>
      <c r="AU194" s="305">
        <v>0</v>
      </c>
      <c r="AV194" s="305">
        <v>0</v>
      </c>
      <c r="AW194" s="305">
        <v>0</v>
      </c>
      <c r="AX194" s="305">
        <v>0</v>
      </c>
      <c r="AY194" s="305">
        <v>0</v>
      </c>
      <c r="AZ194" s="305">
        <v>0</v>
      </c>
      <c r="BA194" s="305">
        <v>0</v>
      </c>
      <c r="BB194" s="305">
        <v>0</v>
      </c>
      <c r="BC194" s="305">
        <v>0</v>
      </c>
      <c r="BD194" s="305">
        <v>0</v>
      </c>
      <c r="BE194" s="305">
        <v>0</v>
      </c>
      <c r="BF194" s="305">
        <v>0</v>
      </c>
    </row>
    <row r="195" spans="1:58">
      <c r="A195" s="304" t="s">
        <v>690</v>
      </c>
      <c r="B195" s="305">
        <v>0</v>
      </c>
      <c r="C195" s="305">
        <v>0</v>
      </c>
      <c r="D195" s="305">
        <v>0</v>
      </c>
      <c r="E195" s="305">
        <v>0</v>
      </c>
      <c r="F195" s="305">
        <v>0</v>
      </c>
      <c r="G195" s="305">
        <v>0</v>
      </c>
      <c r="H195" s="305">
        <v>0</v>
      </c>
      <c r="I195" s="305">
        <v>0</v>
      </c>
      <c r="J195" s="305">
        <v>0</v>
      </c>
      <c r="K195" s="305">
        <v>0</v>
      </c>
      <c r="L195" s="305">
        <v>0</v>
      </c>
      <c r="M195" s="305">
        <v>0</v>
      </c>
      <c r="N195" s="305">
        <v>0</v>
      </c>
      <c r="O195" s="305">
        <v>0</v>
      </c>
      <c r="P195" s="305">
        <v>0</v>
      </c>
      <c r="Q195" s="305">
        <v>0</v>
      </c>
      <c r="R195" s="305">
        <v>0</v>
      </c>
      <c r="S195" s="305">
        <v>0</v>
      </c>
      <c r="T195" s="305">
        <v>0</v>
      </c>
      <c r="U195" s="305">
        <v>0</v>
      </c>
      <c r="V195" s="305">
        <v>0</v>
      </c>
      <c r="W195" s="305">
        <v>0</v>
      </c>
      <c r="X195" s="305">
        <v>0</v>
      </c>
      <c r="Y195" s="305">
        <v>88071.706245154506</v>
      </c>
      <c r="Z195" s="305">
        <v>0</v>
      </c>
      <c r="AA195" s="305">
        <v>0</v>
      </c>
      <c r="AB195" s="305">
        <v>0</v>
      </c>
      <c r="AC195" s="305">
        <v>21722.892325740399</v>
      </c>
      <c r="AD195" s="305">
        <v>0</v>
      </c>
      <c r="AE195" s="305">
        <v>0</v>
      </c>
      <c r="AF195" s="305">
        <v>0</v>
      </c>
      <c r="AG195" s="305">
        <v>0</v>
      </c>
      <c r="AH195" s="305">
        <v>0</v>
      </c>
      <c r="AI195" s="305">
        <v>0</v>
      </c>
      <c r="AJ195" s="305">
        <v>0</v>
      </c>
      <c r="AK195" s="305">
        <v>0</v>
      </c>
      <c r="AL195" s="305">
        <v>0</v>
      </c>
      <c r="AM195" s="305">
        <v>0</v>
      </c>
      <c r="AN195" s="305">
        <v>0</v>
      </c>
      <c r="AO195" s="305">
        <v>0</v>
      </c>
      <c r="AP195" s="305">
        <v>0</v>
      </c>
      <c r="AQ195" s="305">
        <v>0</v>
      </c>
      <c r="AR195" s="305">
        <v>0</v>
      </c>
      <c r="AS195" s="305">
        <v>0</v>
      </c>
      <c r="AT195" s="305">
        <v>0</v>
      </c>
      <c r="AU195" s="305">
        <v>0</v>
      </c>
      <c r="AV195" s="305">
        <v>0</v>
      </c>
      <c r="AW195" s="305">
        <v>0</v>
      </c>
      <c r="AX195" s="305">
        <v>0</v>
      </c>
      <c r="AY195" s="305">
        <v>0</v>
      </c>
      <c r="AZ195" s="305">
        <v>0</v>
      </c>
      <c r="BA195" s="305">
        <v>0</v>
      </c>
      <c r="BB195" s="305">
        <v>0</v>
      </c>
      <c r="BC195" s="305">
        <v>0</v>
      </c>
      <c r="BD195" s="305">
        <v>0</v>
      </c>
      <c r="BE195" s="305">
        <v>0</v>
      </c>
      <c r="BF195" s="305">
        <v>0</v>
      </c>
    </row>
    <row r="196" spans="1:58">
      <c r="A196" s="304" t="s">
        <v>691</v>
      </c>
      <c r="B196" s="305">
        <v>0</v>
      </c>
      <c r="C196" s="305">
        <v>0</v>
      </c>
      <c r="D196" s="305">
        <v>0</v>
      </c>
      <c r="E196" s="305">
        <v>0</v>
      </c>
      <c r="F196" s="305">
        <v>0</v>
      </c>
      <c r="G196" s="305">
        <v>0</v>
      </c>
      <c r="H196" s="305">
        <v>0</v>
      </c>
      <c r="I196" s="305">
        <v>0</v>
      </c>
      <c r="J196" s="305">
        <v>0</v>
      </c>
      <c r="K196" s="305">
        <v>0</v>
      </c>
      <c r="L196" s="305">
        <v>0</v>
      </c>
      <c r="M196" s="305">
        <v>0</v>
      </c>
      <c r="N196" s="305">
        <v>0</v>
      </c>
      <c r="O196" s="305">
        <v>0</v>
      </c>
      <c r="P196" s="305">
        <v>2244.7960862667501</v>
      </c>
      <c r="Q196" s="305">
        <v>0</v>
      </c>
      <c r="R196" s="305">
        <v>0</v>
      </c>
      <c r="S196" s="305">
        <v>0</v>
      </c>
      <c r="T196" s="305">
        <v>0</v>
      </c>
      <c r="U196" s="305">
        <v>0</v>
      </c>
      <c r="V196" s="305">
        <v>0</v>
      </c>
      <c r="W196" s="305">
        <v>0</v>
      </c>
      <c r="X196" s="305">
        <v>0</v>
      </c>
      <c r="Y196" s="305">
        <v>0</v>
      </c>
      <c r="Z196" s="305">
        <v>108184.85967288</v>
      </c>
      <c r="AA196" s="305">
        <v>0</v>
      </c>
      <c r="AB196" s="305">
        <v>0</v>
      </c>
      <c r="AC196" s="305">
        <v>0</v>
      </c>
      <c r="AD196" s="305">
        <v>0</v>
      </c>
      <c r="AE196" s="305">
        <v>0</v>
      </c>
      <c r="AF196" s="305">
        <v>0</v>
      </c>
      <c r="AG196" s="305">
        <v>0</v>
      </c>
      <c r="AH196" s="305">
        <v>0</v>
      </c>
      <c r="AI196" s="305">
        <v>0</v>
      </c>
      <c r="AJ196" s="305">
        <v>0</v>
      </c>
      <c r="AK196" s="305">
        <v>0</v>
      </c>
      <c r="AL196" s="305">
        <v>0</v>
      </c>
      <c r="AM196" s="305">
        <v>0</v>
      </c>
      <c r="AN196" s="305">
        <v>0</v>
      </c>
      <c r="AO196" s="305">
        <v>0</v>
      </c>
      <c r="AP196" s="305">
        <v>0</v>
      </c>
      <c r="AQ196" s="305">
        <v>0</v>
      </c>
      <c r="AR196" s="305">
        <v>0</v>
      </c>
      <c r="AS196" s="305">
        <v>0</v>
      </c>
      <c r="AT196" s="305">
        <v>0</v>
      </c>
      <c r="AU196" s="305">
        <v>0</v>
      </c>
      <c r="AV196" s="305">
        <v>0</v>
      </c>
      <c r="AW196" s="305">
        <v>0</v>
      </c>
      <c r="AX196" s="305">
        <v>0</v>
      </c>
      <c r="AY196" s="305">
        <v>0</v>
      </c>
      <c r="AZ196" s="305">
        <v>0</v>
      </c>
      <c r="BA196" s="305">
        <v>0</v>
      </c>
      <c r="BB196" s="305">
        <v>0</v>
      </c>
      <c r="BC196" s="305">
        <v>0</v>
      </c>
      <c r="BD196" s="305">
        <v>0</v>
      </c>
      <c r="BE196" s="305">
        <v>0</v>
      </c>
      <c r="BF196" s="305">
        <v>0</v>
      </c>
    </row>
    <row r="197" spans="1:58">
      <c r="A197" s="304" t="s">
        <v>692</v>
      </c>
      <c r="B197" s="305">
        <v>0</v>
      </c>
      <c r="C197" s="305">
        <v>0</v>
      </c>
      <c r="D197" s="305">
        <v>0</v>
      </c>
      <c r="E197" s="305">
        <v>0</v>
      </c>
      <c r="F197" s="305">
        <v>0</v>
      </c>
      <c r="G197" s="305">
        <v>0</v>
      </c>
      <c r="H197" s="305">
        <v>0</v>
      </c>
      <c r="I197" s="305">
        <v>0</v>
      </c>
      <c r="J197" s="305">
        <v>0</v>
      </c>
      <c r="K197" s="305">
        <v>0</v>
      </c>
      <c r="L197" s="305">
        <v>0</v>
      </c>
      <c r="M197" s="305">
        <v>0</v>
      </c>
      <c r="N197" s="305">
        <v>0</v>
      </c>
      <c r="O197" s="305">
        <v>0</v>
      </c>
      <c r="P197" s="305">
        <v>0</v>
      </c>
      <c r="Q197" s="305">
        <v>0</v>
      </c>
      <c r="R197" s="305">
        <v>0</v>
      </c>
      <c r="S197" s="305">
        <v>0</v>
      </c>
      <c r="T197" s="305">
        <v>0</v>
      </c>
      <c r="U197" s="305">
        <v>0</v>
      </c>
      <c r="V197" s="305">
        <v>0</v>
      </c>
      <c r="W197" s="305">
        <v>0</v>
      </c>
      <c r="X197" s="305">
        <v>0</v>
      </c>
      <c r="Y197" s="305">
        <v>0</v>
      </c>
      <c r="Z197" s="305">
        <v>0</v>
      </c>
      <c r="AA197" s="305">
        <v>108184.85967288</v>
      </c>
      <c r="AB197" s="305">
        <v>0</v>
      </c>
      <c r="AC197" s="305">
        <v>0</v>
      </c>
      <c r="AD197" s="305">
        <v>0</v>
      </c>
      <c r="AE197" s="305">
        <v>0</v>
      </c>
      <c r="AF197" s="305">
        <v>0</v>
      </c>
      <c r="AG197" s="305">
        <v>0</v>
      </c>
      <c r="AH197" s="305">
        <v>0</v>
      </c>
      <c r="AI197" s="305">
        <v>0</v>
      </c>
      <c r="AJ197" s="305">
        <v>0</v>
      </c>
      <c r="AK197" s="305">
        <v>0</v>
      </c>
      <c r="AL197" s="305">
        <v>0</v>
      </c>
      <c r="AM197" s="305">
        <v>0</v>
      </c>
      <c r="AN197" s="305">
        <v>0</v>
      </c>
      <c r="AO197" s="305">
        <v>0</v>
      </c>
      <c r="AP197" s="305">
        <v>0</v>
      </c>
      <c r="AQ197" s="305">
        <v>0</v>
      </c>
      <c r="AR197" s="305">
        <v>0</v>
      </c>
      <c r="AS197" s="305">
        <v>0</v>
      </c>
      <c r="AT197" s="305">
        <v>0</v>
      </c>
      <c r="AU197" s="305">
        <v>0</v>
      </c>
      <c r="AV197" s="305">
        <v>0</v>
      </c>
      <c r="AW197" s="305">
        <v>0</v>
      </c>
      <c r="AX197" s="305">
        <v>0</v>
      </c>
      <c r="AY197" s="305">
        <v>0</v>
      </c>
      <c r="AZ197" s="305">
        <v>0</v>
      </c>
      <c r="BA197" s="305">
        <v>0</v>
      </c>
      <c r="BB197" s="305">
        <v>0</v>
      </c>
      <c r="BC197" s="305">
        <v>0</v>
      </c>
      <c r="BD197" s="305">
        <v>0</v>
      </c>
      <c r="BE197" s="305">
        <v>0</v>
      </c>
      <c r="BF197" s="305">
        <v>0</v>
      </c>
    </row>
    <row r="198" spans="1:58">
      <c r="A198" s="304" t="s">
        <v>693</v>
      </c>
      <c r="B198" s="305">
        <v>0</v>
      </c>
      <c r="C198" s="305">
        <v>0</v>
      </c>
      <c r="D198" s="305">
        <v>0</v>
      </c>
      <c r="E198" s="305">
        <v>0</v>
      </c>
      <c r="F198" s="305">
        <v>0</v>
      </c>
      <c r="G198" s="305">
        <v>0</v>
      </c>
      <c r="H198" s="305">
        <v>0</v>
      </c>
      <c r="I198" s="305">
        <v>0</v>
      </c>
      <c r="J198" s="305">
        <v>0</v>
      </c>
      <c r="K198" s="305">
        <v>0</v>
      </c>
      <c r="L198" s="305">
        <v>0</v>
      </c>
      <c r="M198" s="305">
        <v>0</v>
      </c>
      <c r="N198" s="305">
        <v>0</v>
      </c>
      <c r="O198" s="305">
        <v>0</v>
      </c>
      <c r="P198" s="305">
        <v>0</v>
      </c>
      <c r="Q198" s="305">
        <v>0</v>
      </c>
      <c r="R198" s="305">
        <v>0</v>
      </c>
      <c r="S198" s="305">
        <v>0</v>
      </c>
      <c r="T198" s="305">
        <v>0</v>
      </c>
      <c r="U198" s="305">
        <v>0</v>
      </c>
      <c r="V198" s="305">
        <v>0</v>
      </c>
      <c r="W198" s="305">
        <v>0</v>
      </c>
      <c r="X198" s="305">
        <v>0</v>
      </c>
      <c r="Y198" s="305">
        <v>0</v>
      </c>
      <c r="Z198" s="305">
        <v>0</v>
      </c>
      <c r="AA198" s="305">
        <v>0</v>
      </c>
      <c r="AB198" s="305">
        <v>0</v>
      </c>
      <c r="AC198" s="305">
        <v>0</v>
      </c>
      <c r="AD198" s="305">
        <v>0</v>
      </c>
      <c r="AE198" s="305">
        <v>25297.051877142199</v>
      </c>
      <c r="AF198" s="305">
        <v>0</v>
      </c>
      <c r="AG198" s="305">
        <v>0</v>
      </c>
      <c r="AH198" s="305">
        <v>0</v>
      </c>
      <c r="AI198" s="305">
        <v>0</v>
      </c>
      <c r="AJ198" s="305">
        <v>0</v>
      </c>
      <c r="AK198" s="305">
        <v>0</v>
      </c>
      <c r="AL198" s="305">
        <v>0</v>
      </c>
      <c r="AM198" s="305">
        <v>0</v>
      </c>
      <c r="AN198" s="305">
        <v>0</v>
      </c>
      <c r="AO198" s="305">
        <v>0</v>
      </c>
      <c r="AP198" s="305">
        <v>0</v>
      </c>
      <c r="AQ198" s="305">
        <v>0</v>
      </c>
      <c r="AR198" s="305">
        <v>0</v>
      </c>
      <c r="AS198" s="305">
        <v>0</v>
      </c>
      <c r="AT198" s="305">
        <v>0</v>
      </c>
      <c r="AU198" s="305">
        <v>0</v>
      </c>
      <c r="AV198" s="305">
        <v>0</v>
      </c>
      <c r="AW198" s="305">
        <v>0</v>
      </c>
      <c r="AX198" s="305">
        <v>0</v>
      </c>
      <c r="AY198" s="305">
        <v>0</v>
      </c>
      <c r="AZ198" s="305">
        <v>0</v>
      </c>
      <c r="BA198" s="305">
        <v>0</v>
      </c>
      <c r="BB198" s="305">
        <v>0</v>
      </c>
      <c r="BC198" s="305">
        <v>0</v>
      </c>
      <c r="BD198" s="305">
        <v>0</v>
      </c>
      <c r="BE198" s="305">
        <v>0</v>
      </c>
      <c r="BF198" s="305">
        <v>0</v>
      </c>
    </row>
    <row r="199" spans="1:58">
      <c r="A199" s="304" t="s">
        <v>694</v>
      </c>
      <c r="B199" s="305">
        <v>0</v>
      </c>
      <c r="C199" s="305">
        <v>0</v>
      </c>
      <c r="D199" s="305">
        <v>0</v>
      </c>
      <c r="E199" s="305">
        <v>0</v>
      </c>
      <c r="F199" s="305">
        <v>0</v>
      </c>
      <c r="G199" s="305">
        <v>0</v>
      </c>
      <c r="H199" s="305">
        <v>0</v>
      </c>
      <c r="I199" s="305">
        <v>0</v>
      </c>
      <c r="J199" s="305">
        <v>0</v>
      </c>
      <c r="K199" s="305">
        <v>0</v>
      </c>
      <c r="L199" s="305">
        <v>0</v>
      </c>
      <c r="M199" s="305">
        <v>0</v>
      </c>
      <c r="N199" s="305">
        <v>0</v>
      </c>
      <c r="O199" s="305">
        <v>0</v>
      </c>
      <c r="P199" s="305">
        <v>0</v>
      </c>
      <c r="Q199" s="305">
        <v>6.7177820097776797</v>
      </c>
      <c r="R199" s="305">
        <v>0</v>
      </c>
      <c r="S199" s="305">
        <v>0</v>
      </c>
      <c r="T199" s="305">
        <v>0</v>
      </c>
      <c r="U199" s="305">
        <v>0</v>
      </c>
      <c r="V199" s="305">
        <v>0</v>
      </c>
      <c r="W199" s="305">
        <v>0</v>
      </c>
      <c r="X199" s="305">
        <v>0</v>
      </c>
      <c r="Y199" s="305">
        <v>0</v>
      </c>
      <c r="Z199" s="305">
        <v>0</v>
      </c>
      <c r="AA199" s="305">
        <v>0</v>
      </c>
      <c r="AB199" s="305">
        <v>0</v>
      </c>
      <c r="AC199" s="305">
        <v>0</v>
      </c>
      <c r="AD199" s="305">
        <v>0</v>
      </c>
      <c r="AE199" s="305">
        <v>0</v>
      </c>
      <c r="AF199" s="305">
        <v>25297.051877142199</v>
      </c>
      <c r="AG199" s="305">
        <v>0</v>
      </c>
      <c r="AH199" s="305">
        <v>0</v>
      </c>
      <c r="AI199" s="305">
        <v>0</v>
      </c>
      <c r="AJ199" s="305">
        <v>0</v>
      </c>
      <c r="AK199" s="305">
        <v>0</v>
      </c>
      <c r="AL199" s="305">
        <v>0</v>
      </c>
      <c r="AM199" s="305">
        <v>0</v>
      </c>
      <c r="AN199" s="305">
        <v>0</v>
      </c>
      <c r="AO199" s="305">
        <v>0</v>
      </c>
      <c r="AP199" s="305">
        <v>0</v>
      </c>
      <c r="AQ199" s="305">
        <v>0</v>
      </c>
      <c r="AR199" s="305">
        <v>0</v>
      </c>
      <c r="AS199" s="305">
        <v>0</v>
      </c>
      <c r="AT199" s="305">
        <v>0</v>
      </c>
      <c r="AU199" s="305">
        <v>0</v>
      </c>
      <c r="AV199" s="305">
        <v>0</v>
      </c>
      <c r="AW199" s="305">
        <v>0</v>
      </c>
      <c r="AX199" s="305">
        <v>0</v>
      </c>
      <c r="AY199" s="305">
        <v>0</v>
      </c>
      <c r="AZ199" s="305">
        <v>0</v>
      </c>
      <c r="BA199" s="305">
        <v>0</v>
      </c>
      <c r="BB199" s="305">
        <v>0</v>
      </c>
      <c r="BC199" s="305">
        <v>0</v>
      </c>
      <c r="BD199" s="305">
        <v>0</v>
      </c>
      <c r="BE199" s="305">
        <v>0</v>
      </c>
      <c r="BF199" s="305">
        <v>0</v>
      </c>
    </row>
    <row r="200" spans="1:58">
      <c r="A200" s="304" t="s">
        <v>695</v>
      </c>
      <c r="B200" s="305">
        <v>0</v>
      </c>
      <c r="C200" s="305">
        <v>0</v>
      </c>
      <c r="D200" s="305">
        <v>0</v>
      </c>
      <c r="E200" s="305">
        <v>0</v>
      </c>
      <c r="F200" s="305">
        <v>0</v>
      </c>
      <c r="G200" s="305">
        <v>0</v>
      </c>
      <c r="H200" s="305">
        <v>0</v>
      </c>
      <c r="I200" s="305">
        <v>0</v>
      </c>
      <c r="J200" s="305">
        <v>0</v>
      </c>
      <c r="K200" s="305">
        <v>0</v>
      </c>
      <c r="L200" s="305">
        <v>0</v>
      </c>
      <c r="M200" s="305">
        <v>0</v>
      </c>
      <c r="N200" s="305">
        <v>0</v>
      </c>
      <c r="O200" s="305">
        <v>0</v>
      </c>
      <c r="P200" s="305">
        <v>0</v>
      </c>
      <c r="Q200" s="305">
        <v>0</v>
      </c>
      <c r="R200" s="305">
        <v>0</v>
      </c>
      <c r="S200" s="305">
        <v>0</v>
      </c>
      <c r="T200" s="305">
        <v>0</v>
      </c>
      <c r="U200" s="305">
        <v>0</v>
      </c>
      <c r="V200" s="305">
        <v>0</v>
      </c>
      <c r="W200" s="305">
        <v>0</v>
      </c>
      <c r="X200" s="305">
        <v>0</v>
      </c>
      <c r="Y200" s="305">
        <v>0</v>
      </c>
      <c r="Z200" s="305">
        <v>0</v>
      </c>
      <c r="AA200" s="305">
        <v>0</v>
      </c>
      <c r="AB200" s="305">
        <v>0</v>
      </c>
      <c r="AC200" s="305">
        <v>0</v>
      </c>
      <c r="AD200" s="305">
        <v>0</v>
      </c>
      <c r="AE200" s="305">
        <v>0</v>
      </c>
      <c r="AF200" s="305">
        <v>0</v>
      </c>
      <c r="AG200" s="305">
        <v>25297.051877142199</v>
      </c>
      <c r="AH200" s="305">
        <v>0</v>
      </c>
      <c r="AI200" s="305">
        <v>0</v>
      </c>
      <c r="AJ200" s="305">
        <v>0</v>
      </c>
      <c r="AK200" s="305">
        <v>0</v>
      </c>
      <c r="AL200" s="305">
        <v>0</v>
      </c>
      <c r="AM200" s="305">
        <v>0</v>
      </c>
      <c r="AN200" s="305">
        <v>0</v>
      </c>
      <c r="AO200" s="305">
        <v>0</v>
      </c>
      <c r="AP200" s="305">
        <v>0</v>
      </c>
      <c r="AQ200" s="305">
        <v>0</v>
      </c>
      <c r="AR200" s="305">
        <v>0</v>
      </c>
      <c r="AS200" s="305">
        <v>0</v>
      </c>
      <c r="AT200" s="305">
        <v>0</v>
      </c>
      <c r="AU200" s="305">
        <v>0</v>
      </c>
      <c r="AV200" s="305">
        <v>0</v>
      </c>
      <c r="AW200" s="305">
        <v>0</v>
      </c>
      <c r="AX200" s="305">
        <v>0</v>
      </c>
      <c r="AY200" s="305">
        <v>0</v>
      </c>
      <c r="AZ200" s="305">
        <v>0</v>
      </c>
      <c r="BA200" s="305">
        <v>0</v>
      </c>
      <c r="BB200" s="305">
        <v>0</v>
      </c>
      <c r="BC200" s="305">
        <v>0</v>
      </c>
      <c r="BD200" s="305">
        <v>0</v>
      </c>
      <c r="BE200" s="305">
        <v>0</v>
      </c>
      <c r="BF200" s="305">
        <v>0</v>
      </c>
    </row>
    <row r="201" spans="1:58">
      <c r="A201" s="304" t="s">
        <v>752</v>
      </c>
      <c r="B201" s="305">
        <v>0</v>
      </c>
      <c r="C201" s="305">
        <v>0</v>
      </c>
      <c r="D201" s="305">
        <v>0</v>
      </c>
      <c r="E201" s="305">
        <v>0</v>
      </c>
      <c r="F201" s="305">
        <v>0</v>
      </c>
      <c r="G201" s="305">
        <v>0</v>
      </c>
      <c r="H201" s="305">
        <v>0</v>
      </c>
      <c r="I201" s="305">
        <v>0</v>
      </c>
      <c r="J201" s="305">
        <v>0</v>
      </c>
      <c r="K201" s="305">
        <v>0</v>
      </c>
      <c r="L201" s="305">
        <v>0</v>
      </c>
      <c r="M201" s="305">
        <v>0</v>
      </c>
      <c r="N201" s="305">
        <v>0</v>
      </c>
      <c r="O201" s="305">
        <v>0</v>
      </c>
      <c r="P201" s="305">
        <v>0</v>
      </c>
      <c r="Q201" s="305">
        <v>0</v>
      </c>
      <c r="R201" s="305">
        <v>0</v>
      </c>
      <c r="S201" s="305">
        <v>0</v>
      </c>
      <c r="T201" s="305">
        <v>1032997.83916021</v>
      </c>
      <c r="U201" s="305">
        <v>0</v>
      </c>
      <c r="V201" s="305">
        <v>0</v>
      </c>
      <c r="W201" s="305">
        <v>0</v>
      </c>
      <c r="X201" s="305">
        <v>0</v>
      </c>
      <c r="Y201" s="305">
        <v>0</v>
      </c>
      <c r="Z201" s="305">
        <v>0</v>
      </c>
      <c r="AA201" s="305">
        <v>0</v>
      </c>
      <c r="AB201" s="305">
        <v>0</v>
      </c>
      <c r="AC201" s="305">
        <v>0</v>
      </c>
      <c r="AD201" s="305">
        <v>0</v>
      </c>
      <c r="AE201" s="305">
        <v>0</v>
      </c>
      <c r="AF201" s="305">
        <v>0</v>
      </c>
      <c r="AG201" s="305">
        <v>0</v>
      </c>
      <c r="AH201" s="305">
        <v>0</v>
      </c>
      <c r="AI201" s="305">
        <v>0</v>
      </c>
      <c r="AJ201" s="305">
        <v>0</v>
      </c>
      <c r="AK201" s="305">
        <v>0</v>
      </c>
      <c r="AL201" s="305">
        <v>0</v>
      </c>
      <c r="AM201" s="305">
        <v>0</v>
      </c>
      <c r="AN201" s="305">
        <v>0</v>
      </c>
      <c r="AO201" s="305">
        <v>0</v>
      </c>
      <c r="AP201" s="305">
        <v>0</v>
      </c>
      <c r="AQ201" s="305">
        <v>0</v>
      </c>
      <c r="AR201" s="305">
        <v>0</v>
      </c>
      <c r="AS201" s="305">
        <v>0</v>
      </c>
      <c r="AT201" s="305">
        <v>0</v>
      </c>
      <c r="AU201" s="305">
        <v>0</v>
      </c>
      <c r="AV201" s="305">
        <v>0</v>
      </c>
      <c r="AW201" s="305">
        <v>0</v>
      </c>
      <c r="AX201" s="305">
        <v>0</v>
      </c>
      <c r="AY201" s="305">
        <v>0</v>
      </c>
      <c r="AZ201" s="305">
        <v>0</v>
      </c>
      <c r="BA201" s="305">
        <v>0</v>
      </c>
      <c r="BB201" s="305">
        <v>0</v>
      </c>
      <c r="BC201" s="305">
        <v>0</v>
      </c>
      <c r="BD201" s="305">
        <v>0</v>
      </c>
      <c r="BE201" s="305">
        <v>0</v>
      </c>
      <c r="BF201" s="305">
        <v>0</v>
      </c>
    </row>
    <row r="202" spans="1:58">
      <c r="A202" s="304" t="s">
        <v>753</v>
      </c>
      <c r="B202" s="305">
        <v>0</v>
      </c>
      <c r="C202" s="305">
        <v>0</v>
      </c>
      <c r="D202" s="305">
        <v>0</v>
      </c>
      <c r="E202" s="305">
        <v>0</v>
      </c>
      <c r="F202" s="305">
        <v>0</v>
      </c>
      <c r="G202" s="305">
        <v>0</v>
      </c>
      <c r="H202" s="305">
        <v>0</v>
      </c>
      <c r="I202" s="305">
        <v>0</v>
      </c>
      <c r="J202" s="305">
        <v>0</v>
      </c>
      <c r="K202" s="305">
        <v>0</v>
      </c>
      <c r="L202" s="305">
        <v>0</v>
      </c>
      <c r="M202" s="305">
        <v>0</v>
      </c>
      <c r="N202" s="305">
        <v>0</v>
      </c>
      <c r="O202" s="305">
        <v>0</v>
      </c>
      <c r="P202" s="305">
        <v>0</v>
      </c>
      <c r="Q202" s="305">
        <v>0</v>
      </c>
      <c r="R202" s="305">
        <v>0</v>
      </c>
      <c r="S202" s="305">
        <v>0</v>
      </c>
      <c r="T202" s="305">
        <v>0</v>
      </c>
      <c r="U202" s="305">
        <v>0</v>
      </c>
      <c r="V202" s="305">
        <v>0</v>
      </c>
      <c r="W202" s="305">
        <v>4830.4442158522497</v>
      </c>
      <c r="X202" s="305">
        <v>0</v>
      </c>
      <c r="Y202" s="305">
        <v>0</v>
      </c>
      <c r="Z202" s="305">
        <v>0</v>
      </c>
      <c r="AA202" s="305">
        <v>0</v>
      </c>
      <c r="AB202" s="305">
        <v>0</v>
      </c>
      <c r="AC202" s="305">
        <v>0</v>
      </c>
      <c r="AD202" s="305">
        <v>0</v>
      </c>
      <c r="AE202" s="305">
        <v>0</v>
      </c>
      <c r="AF202" s="305">
        <v>0</v>
      </c>
      <c r="AG202" s="305">
        <v>0</v>
      </c>
      <c r="AH202" s="305">
        <v>0</v>
      </c>
      <c r="AI202" s="305">
        <v>0</v>
      </c>
      <c r="AJ202" s="305">
        <v>0</v>
      </c>
      <c r="AK202" s="305">
        <v>0</v>
      </c>
      <c r="AL202" s="305">
        <v>0</v>
      </c>
      <c r="AM202" s="305">
        <v>0</v>
      </c>
      <c r="AN202" s="305">
        <v>0</v>
      </c>
      <c r="AO202" s="305">
        <v>0</v>
      </c>
      <c r="AP202" s="305">
        <v>0</v>
      </c>
      <c r="AQ202" s="305">
        <v>0</v>
      </c>
      <c r="AR202" s="305">
        <v>0</v>
      </c>
      <c r="AS202" s="305">
        <v>0</v>
      </c>
      <c r="AT202" s="305">
        <v>0</v>
      </c>
      <c r="AU202" s="305">
        <v>0</v>
      </c>
      <c r="AV202" s="305">
        <v>0</v>
      </c>
      <c r="AW202" s="305">
        <v>0</v>
      </c>
      <c r="AX202" s="305">
        <v>0</v>
      </c>
      <c r="AY202" s="305">
        <v>0</v>
      </c>
      <c r="AZ202" s="305">
        <v>0</v>
      </c>
      <c r="BA202" s="305">
        <v>0</v>
      </c>
      <c r="BB202" s="305">
        <v>0</v>
      </c>
      <c r="BC202" s="305">
        <v>0</v>
      </c>
      <c r="BD202" s="305">
        <v>0</v>
      </c>
      <c r="BE202" s="305">
        <v>0</v>
      </c>
      <c r="BF202" s="305">
        <v>0</v>
      </c>
    </row>
    <row r="203" spans="1:58">
      <c r="A203" s="304" t="s">
        <v>754</v>
      </c>
      <c r="B203" s="305">
        <v>0</v>
      </c>
      <c r="C203" s="305">
        <v>0</v>
      </c>
      <c r="D203" s="305">
        <v>0</v>
      </c>
      <c r="E203" s="305">
        <v>0</v>
      </c>
      <c r="F203" s="305">
        <v>0</v>
      </c>
      <c r="G203" s="305">
        <v>0</v>
      </c>
      <c r="H203" s="305">
        <v>0</v>
      </c>
      <c r="I203" s="305">
        <v>0</v>
      </c>
      <c r="J203" s="305">
        <v>0</v>
      </c>
      <c r="K203" s="305">
        <v>0</v>
      </c>
      <c r="L203" s="305">
        <v>0</v>
      </c>
      <c r="M203" s="305">
        <v>0</v>
      </c>
      <c r="N203" s="305">
        <v>0</v>
      </c>
      <c r="O203" s="305">
        <v>0</v>
      </c>
      <c r="P203" s="305">
        <v>0</v>
      </c>
      <c r="Q203" s="305">
        <v>0</v>
      </c>
      <c r="R203" s="305">
        <v>0</v>
      </c>
      <c r="S203" s="305">
        <v>0</v>
      </c>
      <c r="T203" s="305">
        <v>0</v>
      </c>
      <c r="U203" s="305">
        <v>0</v>
      </c>
      <c r="V203" s="305">
        <v>0</v>
      </c>
      <c r="W203" s="305">
        <v>0</v>
      </c>
      <c r="X203" s="305">
        <v>0</v>
      </c>
      <c r="Y203" s="305">
        <v>0</v>
      </c>
      <c r="Z203" s="305">
        <v>0</v>
      </c>
      <c r="AA203" s="305">
        <v>0</v>
      </c>
      <c r="AB203" s="305">
        <v>0</v>
      </c>
      <c r="AC203" s="305">
        <v>0</v>
      </c>
      <c r="AD203" s="305">
        <v>0</v>
      </c>
      <c r="AE203" s="305">
        <v>0</v>
      </c>
      <c r="AF203" s="305">
        <v>0</v>
      </c>
      <c r="AG203" s="305">
        <v>0</v>
      </c>
      <c r="AH203" s="305">
        <v>0</v>
      </c>
      <c r="AI203" s="305">
        <v>0</v>
      </c>
      <c r="AJ203" s="305">
        <v>0</v>
      </c>
      <c r="AK203" s="305">
        <v>0</v>
      </c>
      <c r="AL203" s="305">
        <v>0</v>
      </c>
      <c r="AM203" s="305">
        <v>0</v>
      </c>
      <c r="AN203" s="305">
        <v>0</v>
      </c>
      <c r="AO203" s="305">
        <v>184686.52821315001</v>
      </c>
      <c r="AP203" s="305">
        <v>0</v>
      </c>
      <c r="AQ203" s="305">
        <v>0</v>
      </c>
      <c r="AR203" s="305">
        <v>0</v>
      </c>
      <c r="AS203" s="305">
        <v>0</v>
      </c>
      <c r="AT203" s="305">
        <v>0</v>
      </c>
      <c r="AU203" s="305">
        <v>0</v>
      </c>
      <c r="AV203" s="305">
        <v>0</v>
      </c>
      <c r="AW203" s="305">
        <v>0</v>
      </c>
      <c r="AX203" s="305">
        <v>0</v>
      </c>
      <c r="AY203" s="305">
        <v>0</v>
      </c>
      <c r="AZ203" s="305">
        <v>0</v>
      </c>
      <c r="BA203" s="305">
        <v>0</v>
      </c>
      <c r="BB203" s="305">
        <v>0</v>
      </c>
      <c r="BC203" s="305">
        <v>0</v>
      </c>
      <c r="BD203" s="305">
        <v>0</v>
      </c>
      <c r="BE203" s="305">
        <v>0</v>
      </c>
      <c r="BF203" s="305">
        <v>0</v>
      </c>
    </row>
    <row r="204" spans="1:58">
      <c r="A204" s="304" t="s">
        <v>755</v>
      </c>
      <c r="B204" s="305">
        <v>0</v>
      </c>
      <c r="C204" s="305">
        <v>0</v>
      </c>
      <c r="D204" s="305">
        <v>0</v>
      </c>
      <c r="E204" s="305">
        <v>0</v>
      </c>
      <c r="F204" s="305">
        <v>0</v>
      </c>
      <c r="G204" s="305">
        <v>0</v>
      </c>
      <c r="H204" s="305">
        <v>0</v>
      </c>
      <c r="I204" s="305">
        <v>0</v>
      </c>
      <c r="J204" s="305">
        <v>0</v>
      </c>
      <c r="K204" s="305">
        <v>0</v>
      </c>
      <c r="L204" s="305">
        <v>0</v>
      </c>
      <c r="M204" s="305">
        <v>0</v>
      </c>
      <c r="N204" s="305">
        <v>0</v>
      </c>
      <c r="O204" s="305">
        <v>0</v>
      </c>
      <c r="P204" s="305">
        <v>0</v>
      </c>
      <c r="Q204" s="305">
        <v>0</v>
      </c>
      <c r="R204" s="305">
        <v>0</v>
      </c>
      <c r="S204" s="305">
        <v>0</v>
      </c>
      <c r="T204" s="305">
        <v>0</v>
      </c>
      <c r="U204" s="305">
        <v>0</v>
      </c>
      <c r="V204" s="305">
        <v>0</v>
      </c>
      <c r="W204" s="305">
        <v>0</v>
      </c>
      <c r="X204" s="305">
        <v>0</v>
      </c>
      <c r="Y204" s="305">
        <v>0</v>
      </c>
      <c r="Z204" s="305">
        <v>0</v>
      </c>
      <c r="AA204" s="305">
        <v>0</v>
      </c>
      <c r="AB204" s="305">
        <v>0</v>
      </c>
      <c r="AC204" s="305">
        <v>0</v>
      </c>
      <c r="AD204" s="305">
        <v>0</v>
      </c>
      <c r="AE204" s="305">
        <v>0</v>
      </c>
      <c r="AF204" s="305">
        <v>0</v>
      </c>
      <c r="AG204" s="305">
        <v>0</v>
      </c>
      <c r="AH204" s="305">
        <v>0</v>
      </c>
      <c r="AI204" s="305">
        <v>0</v>
      </c>
      <c r="AJ204" s="305">
        <v>0</v>
      </c>
      <c r="AK204" s="305">
        <v>0</v>
      </c>
      <c r="AL204" s="305">
        <v>0</v>
      </c>
      <c r="AM204" s="305">
        <v>0</v>
      </c>
      <c r="AN204" s="305">
        <v>0</v>
      </c>
      <c r="AO204" s="305">
        <v>0</v>
      </c>
      <c r="AP204" s="305">
        <v>0</v>
      </c>
      <c r="AQ204" s="305">
        <v>0</v>
      </c>
      <c r="AR204" s="305">
        <v>0</v>
      </c>
      <c r="AS204" s="305">
        <v>0</v>
      </c>
      <c r="AT204" s="305">
        <v>0</v>
      </c>
      <c r="AU204" s="305">
        <v>0</v>
      </c>
      <c r="AV204" s="305">
        <v>5023.7890204089899</v>
      </c>
      <c r="AW204" s="305">
        <v>0</v>
      </c>
      <c r="AX204" s="305">
        <v>0</v>
      </c>
      <c r="AY204" s="305">
        <v>0</v>
      </c>
      <c r="AZ204" s="305">
        <v>0</v>
      </c>
      <c r="BA204" s="305">
        <v>0</v>
      </c>
      <c r="BB204" s="305">
        <v>0</v>
      </c>
      <c r="BC204" s="305">
        <v>0</v>
      </c>
      <c r="BD204" s="305">
        <v>0</v>
      </c>
      <c r="BE204" s="305">
        <v>0</v>
      </c>
      <c r="BF204" s="305">
        <v>0</v>
      </c>
    </row>
    <row r="205" spans="1:58">
      <c r="A205" s="304" t="s">
        <v>756</v>
      </c>
      <c r="B205" s="305">
        <v>0</v>
      </c>
      <c r="C205" s="305">
        <v>0</v>
      </c>
      <c r="D205" s="305">
        <v>0</v>
      </c>
      <c r="E205" s="305">
        <v>0</v>
      </c>
      <c r="F205" s="305">
        <v>0</v>
      </c>
      <c r="G205" s="305">
        <v>0</v>
      </c>
      <c r="H205" s="305">
        <v>0</v>
      </c>
      <c r="I205" s="305">
        <v>0</v>
      </c>
      <c r="J205" s="305">
        <v>0</v>
      </c>
      <c r="K205" s="305">
        <v>0</v>
      </c>
      <c r="L205" s="305">
        <v>0</v>
      </c>
      <c r="M205" s="305">
        <v>0</v>
      </c>
      <c r="N205" s="305">
        <v>0</v>
      </c>
      <c r="O205" s="305">
        <v>0</v>
      </c>
      <c r="P205" s="305">
        <v>0</v>
      </c>
      <c r="Q205" s="305">
        <v>0</v>
      </c>
      <c r="R205" s="305">
        <v>0</v>
      </c>
      <c r="S205" s="305">
        <v>0</v>
      </c>
      <c r="T205" s="305">
        <v>0</v>
      </c>
      <c r="U205" s="305">
        <v>0</v>
      </c>
      <c r="V205" s="305">
        <v>0</v>
      </c>
      <c r="W205" s="305">
        <v>0</v>
      </c>
      <c r="X205" s="305">
        <v>0</v>
      </c>
      <c r="Y205" s="305">
        <v>0</v>
      </c>
      <c r="Z205" s="305">
        <v>0</v>
      </c>
      <c r="AA205" s="305">
        <v>0</v>
      </c>
      <c r="AB205" s="305">
        <v>0</v>
      </c>
      <c r="AC205" s="305">
        <v>0</v>
      </c>
      <c r="AD205" s="305">
        <v>0</v>
      </c>
      <c r="AE205" s="305">
        <v>0</v>
      </c>
      <c r="AF205" s="305">
        <v>0</v>
      </c>
      <c r="AG205" s="305">
        <v>0</v>
      </c>
      <c r="AH205" s="305">
        <v>0</v>
      </c>
      <c r="AI205" s="305">
        <v>0</v>
      </c>
      <c r="AJ205" s="305">
        <v>0</v>
      </c>
      <c r="AK205" s="305">
        <v>0</v>
      </c>
      <c r="AL205" s="305">
        <v>0</v>
      </c>
      <c r="AM205" s="305">
        <v>0</v>
      </c>
      <c r="AN205" s="305">
        <v>0</v>
      </c>
      <c r="AO205" s="305">
        <v>0</v>
      </c>
      <c r="AP205" s="305">
        <v>0</v>
      </c>
      <c r="AQ205" s="305">
        <v>0</v>
      </c>
      <c r="AR205" s="305">
        <v>0</v>
      </c>
      <c r="AS205" s="305">
        <v>0</v>
      </c>
      <c r="AT205" s="305">
        <v>0</v>
      </c>
      <c r="AU205" s="305">
        <v>0</v>
      </c>
      <c r="AV205" s="305">
        <v>0</v>
      </c>
      <c r="AW205" s="305">
        <v>0</v>
      </c>
      <c r="AX205" s="305">
        <v>0</v>
      </c>
      <c r="AY205" s="305">
        <v>0</v>
      </c>
      <c r="AZ205" s="305">
        <v>82.091627997489695</v>
      </c>
      <c r="BA205" s="305">
        <v>0</v>
      </c>
      <c r="BB205" s="305">
        <v>0</v>
      </c>
      <c r="BC205" s="305">
        <v>0</v>
      </c>
      <c r="BD205" s="305">
        <v>0</v>
      </c>
      <c r="BE205" s="305">
        <v>0</v>
      </c>
      <c r="BF205" s="305">
        <v>0</v>
      </c>
    </row>
    <row r="206" spans="1:58">
      <c r="A206" s="304" t="s">
        <v>757</v>
      </c>
      <c r="B206" s="305">
        <v>0</v>
      </c>
      <c r="C206" s="305">
        <v>0</v>
      </c>
      <c r="D206" s="305">
        <v>0</v>
      </c>
      <c r="E206" s="305">
        <v>0</v>
      </c>
      <c r="F206" s="305">
        <v>0</v>
      </c>
      <c r="G206" s="305">
        <v>0</v>
      </c>
      <c r="H206" s="305">
        <v>0</v>
      </c>
      <c r="I206" s="305">
        <v>0</v>
      </c>
      <c r="J206" s="305">
        <v>0</v>
      </c>
      <c r="K206" s="305">
        <v>0</v>
      </c>
      <c r="L206" s="305">
        <v>0</v>
      </c>
      <c r="M206" s="305">
        <v>0</v>
      </c>
      <c r="N206" s="305">
        <v>0</v>
      </c>
      <c r="O206" s="305">
        <v>0</v>
      </c>
      <c r="P206" s="305">
        <v>0</v>
      </c>
      <c r="Q206" s="305">
        <v>0</v>
      </c>
      <c r="R206" s="305">
        <v>0</v>
      </c>
      <c r="S206" s="305">
        <v>0</v>
      </c>
      <c r="T206" s="305">
        <v>0</v>
      </c>
      <c r="U206" s="305">
        <v>0</v>
      </c>
      <c r="V206" s="305">
        <v>0</v>
      </c>
      <c r="W206" s="305">
        <v>0</v>
      </c>
      <c r="X206" s="305">
        <v>0</v>
      </c>
      <c r="Y206" s="305">
        <v>0</v>
      </c>
      <c r="Z206" s="305">
        <v>0</v>
      </c>
      <c r="AA206" s="305">
        <v>0</v>
      </c>
      <c r="AB206" s="305">
        <v>0</v>
      </c>
      <c r="AC206" s="305">
        <v>0</v>
      </c>
      <c r="AD206" s="305">
        <v>0</v>
      </c>
      <c r="AE206" s="305">
        <v>0</v>
      </c>
      <c r="AF206" s="305">
        <v>0</v>
      </c>
      <c r="AG206" s="305">
        <v>0</v>
      </c>
      <c r="AH206" s="305">
        <v>0</v>
      </c>
      <c r="AI206" s="305">
        <v>0</v>
      </c>
      <c r="AJ206" s="305">
        <v>0</v>
      </c>
      <c r="AK206" s="305">
        <v>0</v>
      </c>
      <c r="AL206" s="305">
        <v>0</v>
      </c>
      <c r="AM206" s="305">
        <v>0</v>
      </c>
      <c r="AN206" s="305">
        <v>0</v>
      </c>
      <c r="AO206" s="305">
        <v>0</v>
      </c>
      <c r="AP206" s="305">
        <v>0</v>
      </c>
      <c r="AQ206" s="305">
        <v>0</v>
      </c>
      <c r="AR206" s="305">
        <v>0</v>
      </c>
      <c r="AS206" s="305">
        <v>0</v>
      </c>
      <c r="AT206" s="305">
        <v>0</v>
      </c>
      <c r="AU206" s="305">
        <v>0</v>
      </c>
      <c r="AV206" s="305">
        <v>0</v>
      </c>
      <c r="AW206" s="305">
        <v>0</v>
      </c>
      <c r="AX206" s="305">
        <v>0</v>
      </c>
      <c r="AY206" s="305">
        <v>0</v>
      </c>
      <c r="AZ206" s="305">
        <v>0</v>
      </c>
      <c r="BA206" s="305">
        <v>0</v>
      </c>
      <c r="BB206" s="305">
        <v>0</v>
      </c>
      <c r="BC206" s="305">
        <v>0</v>
      </c>
      <c r="BD206" s="305">
        <v>0</v>
      </c>
      <c r="BE206" s="305">
        <v>43.206119998678503</v>
      </c>
      <c r="BF206" s="305">
        <v>0</v>
      </c>
    </row>
    <row r="207" spans="1:58">
      <c r="A207" s="304" t="s">
        <v>696</v>
      </c>
      <c r="B207" s="305">
        <v>0</v>
      </c>
      <c r="C207" s="305">
        <v>0</v>
      </c>
      <c r="D207" s="305">
        <v>0</v>
      </c>
      <c r="E207" s="305">
        <v>0</v>
      </c>
      <c r="F207" s="305">
        <v>6682782.3361421302</v>
      </c>
      <c r="G207" s="305">
        <v>0</v>
      </c>
      <c r="H207" s="305">
        <v>0</v>
      </c>
      <c r="I207" s="305">
        <v>0</v>
      </c>
      <c r="J207" s="305">
        <v>0</v>
      </c>
      <c r="K207" s="305">
        <v>0</v>
      </c>
      <c r="L207" s="305">
        <v>0</v>
      </c>
      <c r="M207" s="305">
        <v>0</v>
      </c>
      <c r="N207" s="305">
        <v>0</v>
      </c>
      <c r="O207" s="305">
        <v>0</v>
      </c>
      <c r="P207" s="305">
        <v>0</v>
      </c>
      <c r="Q207" s="305">
        <v>0</v>
      </c>
      <c r="R207" s="305">
        <v>0</v>
      </c>
      <c r="S207" s="305">
        <v>0</v>
      </c>
      <c r="T207" s="305">
        <v>0</v>
      </c>
      <c r="U207" s="305">
        <v>0</v>
      </c>
      <c r="V207" s="305">
        <v>0</v>
      </c>
      <c r="W207" s="305">
        <v>0</v>
      </c>
      <c r="X207" s="305">
        <v>0</v>
      </c>
      <c r="Y207" s="305">
        <v>0</v>
      </c>
      <c r="Z207" s="305">
        <v>0</v>
      </c>
      <c r="AA207" s="305">
        <v>0</v>
      </c>
      <c r="AB207" s="305">
        <v>0</v>
      </c>
      <c r="AC207" s="305">
        <v>0</v>
      </c>
      <c r="AD207" s="305">
        <v>0</v>
      </c>
      <c r="AE207" s="305">
        <v>0</v>
      </c>
      <c r="AF207" s="305">
        <v>0</v>
      </c>
      <c r="AG207" s="305">
        <v>0</v>
      </c>
      <c r="AH207" s="305">
        <v>0</v>
      </c>
      <c r="AI207" s="305">
        <v>0</v>
      </c>
      <c r="AJ207" s="305">
        <v>0</v>
      </c>
      <c r="AK207" s="305">
        <v>0</v>
      </c>
      <c r="AL207" s="305">
        <v>0</v>
      </c>
      <c r="AM207" s="305">
        <v>0</v>
      </c>
      <c r="AN207" s="305">
        <v>0</v>
      </c>
      <c r="AO207" s="305">
        <v>0</v>
      </c>
      <c r="AP207" s="305">
        <v>0</v>
      </c>
      <c r="AQ207" s="305">
        <v>0</v>
      </c>
      <c r="AR207" s="305">
        <v>0</v>
      </c>
      <c r="AS207" s="305">
        <v>0</v>
      </c>
      <c r="AT207" s="305">
        <v>0</v>
      </c>
      <c r="AU207" s="305">
        <v>0</v>
      </c>
      <c r="AV207" s="305">
        <v>0</v>
      </c>
      <c r="AW207" s="305">
        <v>0</v>
      </c>
      <c r="AX207" s="305">
        <v>0</v>
      </c>
      <c r="AY207" s="305">
        <v>0</v>
      </c>
      <c r="AZ207" s="305">
        <v>0</v>
      </c>
      <c r="BA207" s="305">
        <v>0</v>
      </c>
      <c r="BB207" s="305">
        <v>0</v>
      </c>
      <c r="BC207" s="305">
        <v>0</v>
      </c>
      <c r="BD207" s="305">
        <v>0</v>
      </c>
      <c r="BE207" s="305">
        <v>0</v>
      </c>
      <c r="BF207" s="305">
        <v>0</v>
      </c>
    </row>
    <row r="208" spans="1:58">
      <c r="A208" s="304" t="s">
        <v>758</v>
      </c>
      <c r="B208" s="305">
        <v>0</v>
      </c>
      <c r="C208" s="305">
        <v>0</v>
      </c>
      <c r="D208" s="305">
        <v>0</v>
      </c>
      <c r="E208" s="305">
        <v>0</v>
      </c>
      <c r="F208" s="305">
        <v>0</v>
      </c>
      <c r="G208" s="305">
        <v>0</v>
      </c>
      <c r="H208" s="305">
        <v>0</v>
      </c>
      <c r="I208" s="305">
        <v>0</v>
      </c>
      <c r="J208" s="305">
        <v>0</v>
      </c>
      <c r="K208" s="305">
        <v>0</v>
      </c>
      <c r="L208" s="305">
        <v>0</v>
      </c>
      <c r="M208" s="305">
        <v>0</v>
      </c>
      <c r="N208" s="305">
        <v>0</v>
      </c>
      <c r="O208" s="305">
        <v>0</v>
      </c>
      <c r="P208" s="305">
        <v>0</v>
      </c>
      <c r="Q208" s="305">
        <v>0</v>
      </c>
      <c r="R208" s="305">
        <v>0</v>
      </c>
      <c r="S208" s="305">
        <v>0</v>
      </c>
      <c r="T208" s="305">
        <v>0</v>
      </c>
      <c r="U208" s="305">
        <v>0</v>
      </c>
      <c r="V208" s="305">
        <v>0</v>
      </c>
      <c r="W208" s="305">
        <v>0</v>
      </c>
      <c r="X208" s="305">
        <v>0</v>
      </c>
      <c r="Y208" s="305">
        <v>0</v>
      </c>
      <c r="Z208" s="305">
        <v>0</v>
      </c>
      <c r="AA208" s="305">
        <v>0</v>
      </c>
      <c r="AB208" s="305">
        <v>0</v>
      </c>
      <c r="AC208" s="305">
        <v>0</v>
      </c>
      <c r="AD208" s="305">
        <v>0</v>
      </c>
      <c r="AE208" s="305">
        <v>0</v>
      </c>
      <c r="AF208" s="305">
        <v>0</v>
      </c>
      <c r="AG208" s="305">
        <v>0</v>
      </c>
      <c r="AH208" s="305">
        <v>0</v>
      </c>
      <c r="AI208" s="305">
        <v>0</v>
      </c>
      <c r="AJ208" s="305">
        <v>0</v>
      </c>
      <c r="AK208" s="305">
        <v>3749358.3680556798</v>
      </c>
      <c r="AL208" s="305">
        <v>0</v>
      </c>
      <c r="AM208" s="305">
        <v>0</v>
      </c>
      <c r="AN208" s="305">
        <v>0</v>
      </c>
      <c r="AO208" s="305">
        <v>0</v>
      </c>
      <c r="AP208" s="305">
        <v>0</v>
      </c>
      <c r="AQ208" s="305">
        <v>0</v>
      </c>
      <c r="AR208" s="305">
        <v>0</v>
      </c>
      <c r="AS208" s="305">
        <v>0</v>
      </c>
      <c r="AT208" s="305">
        <v>0</v>
      </c>
      <c r="AU208" s="305">
        <v>0</v>
      </c>
      <c r="AV208" s="305">
        <v>0</v>
      </c>
      <c r="AW208" s="305">
        <v>0</v>
      </c>
      <c r="AX208" s="305">
        <v>0</v>
      </c>
      <c r="AY208" s="305">
        <v>0</v>
      </c>
      <c r="AZ208" s="305">
        <v>0</v>
      </c>
      <c r="BA208" s="305">
        <v>0</v>
      </c>
      <c r="BB208" s="305">
        <v>0</v>
      </c>
      <c r="BC208" s="305">
        <v>0</v>
      </c>
      <c r="BD208" s="305">
        <v>0</v>
      </c>
      <c r="BE208" s="305">
        <v>0</v>
      </c>
      <c r="BF208" s="305">
        <v>0</v>
      </c>
    </row>
    <row r="209" spans="1:58">
      <c r="A209" s="304" t="s">
        <v>759</v>
      </c>
      <c r="B209" s="305">
        <v>0</v>
      </c>
      <c r="C209" s="305">
        <v>0</v>
      </c>
      <c r="D209" s="305">
        <v>0</v>
      </c>
      <c r="E209" s="305">
        <v>0</v>
      </c>
      <c r="F209" s="305">
        <v>0</v>
      </c>
      <c r="G209" s="305">
        <v>0</v>
      </c>
      <c r="H209" s="305">
        <v>0</v>
      </c>
      <c r="I209" s="305">
        <v>0</v>
      </c>
      <c r="J209" s="305">
        <v>0</v>
      </c>
      <c r="K209" s="305">
        <v>0</v>
      </c>
      <c r="L209" s="305">
        <v>0</v>
      </c>
      <c r="M209" s="305">
        <v>0</v>
      </c>
      <c r="N209" s="305">
        <v>0</v>
      </c>
      <c r="O209" s="305">
        <v>0</v>
      </c>
      <c r="P209" s="305">
        <v>0</v>
      </c>
      <c r="Q209" s="305">
        <v>0</v>
      </c>
      <c r="R209" s="305">
        <v>0</v>
      </c>
      <c r="S209" s="305">
        <v>0</v>
      </c>
      <c r="T209" s="305">
        <v>60946.554310340602</v>
      </c>
      <c r="U209" s="305">
        <v>0</v>
      </c>
      <c r="V209" s="305">
        <v>0</v>
      </c>
      <c r="W209" s="305">
        <v>0</v>
      </c>
      <c r="X209" s="305">
        <v>0</v>
      </c>
      <c r="Y209" s="305">
        <v>0</v>
      </c>
      <c r="Z209" s="305">
        <v>0</v>
      </c>
      <c r="AA209" s="305">
        <v>0</v>
      </c>
      <c r="AB209" s="305">
        <v>0</v>
      </c>
      <c r="AC209" s="305">
        <v>0</v>
      </c>
      <c r="AD209" s="305">
        <v>0</v>
      </c>
      <c r="AE209" s="305">
        <v>0</v>
      </c>
      <c r="AF209" s="305">
        <v>0</v>
      </c>
      <c r="AG209" s="305">
        <v>0</v>
      </c>
      <c r="AH209" s="305">
        <v>0</v>
      </c>
      <c r="AI209" s="305">
        <v>0</v>
      </c>
      <c r="AJ209" s="305">
        <v>0</v>
      </c>
      <c r="AK209" s="305">
        <v>0</v>
      </c>
      <c r="AL209" s="305">
        <v>0</v>
      </c>
      <c r="AM209" s="305">
        <v>0</v>
      </c>
      <c r="AN209" s="305">
        <v>0</v>
      </c>
      <c r="AO209" s="305">
        <v>0</v>
      </c>
      <c r="AP209" s="305">
        <v>0</v>
      </c>
      <c r="AQ209" s="305">
        <v>0</v>
      </c>
      <c r="AR209" s="305">
        <v>0</v>
      </c>
      <c r="AS209" s="305">
        <v>0</v>
      </c>
      <c r="AT209" s="305">
        <v>0</v>
      </c>
      <c r="AU209" s="305">
        <v>0</v>
      </c>
      <c r="AV209" s="305">
        <v>0</v>
      </c>
      <c r="AW209" s="305">
        <v>0</v>
      </c>
      <c r="AX209" s="305">
        <v>0</v>
      </c>
      <c r="AY209" s="305">
        <v>0</v>
      </c>
      <c r="AZ209" s="305">
        <v>0</v>
      </c>
      <c r="BA209" s="305">
        <v>0</v>
      </c>
      <c r="BB209" s="305">
        <v>0</v>
      </c>
      <c r="BC209" s="305">
        <v>0</v>
      </c>
      <c r="BD209" s="305">
        <v>0</v>
      </c>
      <c r="BE209" s="305">
        <v>0</v>
      </c>
      <c r="BF209" s="305">
        <v>0</v>
      </c>
    </row>
    <row r="210" spans="1:58">
      <c r="A210" s="304" t="s">
        <v>760</v>
      </c>
      <c r="B210" s="305">
        <v>0</v>
      </c>
      <c r="C210" s="305">
        <v>0</v>
      </c>
      <c r="D210" s="305">
        <v>0</v>
      </c>
      <c r="E210" s="305">
        <v>0</v>
      </c>
      <c r="F210" s="305">
        <v>0</v>
      </c>
      <c r="G210" s="305">
        <v>0</v>
      </c>
      <c r="H210" s="305">
        <v>0</v>
      </c>
      <c r="I210" s="305">
        <v>0</v>
      </c>
      <c r="J210" s="305">
        <v>0</v>
      </c>
      <c r="K210" s="305">
        <v>0</v>
      </c>
      <c r="L210" s="305">
        <v>0</v>
      </c>
      <c r="M210" s="305">
        <v>0</v>
      </c>
      <c r="N210" s="305">
        <v>0</v>
      </c>
      <c r="O210" s="305">
        <v>0</v>
      </c>
      <c r="P210" s="305">
        <v>0</v>
      </c>
      <c r="Q210" s="305">
        <v>0</v>
      </c>
      <c r="R210" s="305">
        <v>290.15291867903898</v>
      </c>
      <c r="S210" s="305">
        <v>0</v>
      </c>
      <c r="T210" s="305">
        <v>0</v>
      </c>
      <c r="U210" s="305">
        <v>0</v>
      </c>
      <c r="V210" s="305">
        <v>0</v>
      </c>
      <c r="W210" s="305">
        <v>0</v>
      </c>
      <c r="X210" s="305">
        <v>0</v>
      </c>
      <c r="Y210" s="305">
        <v>0</v>
      </c>
      <c r="Z210" s="305">
        <v>0</v>
      </c>
      <c r="AA210" s="305">
        <v>0</v>
      </c>
      <c r="AB210" s="305">
        <v>0</v>
      </c>
      <c r="AC210" s="305">
        <v>0</v>
      </c>
      <c r="AD210" s="305">
        <v>0</v>
      </c>
      <c r="AE210" s="305">
        <v>0</v>
      </c>
      <c r="AF210" s="305">
        <v>0</v>
      </c>
      <c r="AG210" s="305">
        <v>0</v>
      </c>
      <c r="AH210" s="305">
        <v>0</v>
      </c>
      <c r="AI210" s="305">
        <v>0</v>
      </c>
      <c r="AJ210" s="305">
        <v>0</v>
      </c>
      <c r="AK210" s="305">
        <v>0</v>
      </c>
      <c r="AL210" s="305">
        <v>0</v>
      </c>
      <c r="AM210" s="305">
        <v>668.84165319492104</v>
      </c>
      <c r="AN210" s="305">
        <v>0</v>
      </c>
      <c r="AO210" s="305">
        <v>0</v>
      </c>
      <c r="AP210" s="305">
        <v>0</v>
      </c>
      <c r="AQ210" s="305">
        <v>0</v>
      </c>
      <c r="AR210" s="305">
        <v>0</v>
      </c>
      <c r="AS210" s="305">
        <v>0</v>
      </c>
      <c r="AT210" s="305">
        <v>0</v>
      </c>
      <c r="AU210" s="305">
        <v>0</v>
      </c>
      <c r="AV210" s="305">
        <v>0</v>
      </c>
      <c r="AW210" s="305">
        <v>0</v>
      </c>
      <c r="AX210" s="305">
        <v>0</v>
      </c>
      <c r="AY210" s="305">
        <v>0</v>
      </c>
      <c r="AZ210" s="305">
        <v>0</v>
      </c>
      <c r="BA210" s="305">
        <v>0</v>
      </c>
      <c r="BB210" s="305">
        <v>0</v>
      </c>
      <c r="BC210" s="305">
        <v>0</v>
      </c>
      <c r="BD210" s="305">
        <v>0</v>
      </c>
      <c r="BE210" s="305">
        <v>0</v>
      </c>
      <c r="BF210" s="305">
        <v>0</v>
      </c>
    </row>
    <row r="211" spans="1:58">
      <c r="A211" s="304" t="s">
        <v>761</v>
      </c>
      <c r="B211" s="305">
        <v>0</v>
      </c>
      <c r="C211" s="305">
        <v>0</v>
      </c>
      <c r="D211" s="305">
        <v>0</v>
      </c>
      <c r="E211" s="305">
        <v>0</v>
      </c>
      <c r="F211" s="305">
        <v>0</v>
      </c>
      <c r="G211" s="305">
        <v>0</v>
      </c>
      <c r="H211" s="305">
        <v>0</v>
      </c>
      <c r="I211" s="305">
        <v>0</v>
      </c>
      <c r="J211" s="305">
        <v>0</v>
      </c>
      <c r="K211" s="305">
        <v>0</v>
      </c>
      <c r="L211" s="305">
        <v>0</v>
      </c>
      <c r="M211" s="305">
        <v>0</v>
      </c>
      <c r="N211" s="305">
        <v>0</v>
      </c>
      <c r="O211" s="305">
        <v>0</v>
      </c>
      <c r="P211" s="305">
        <v>0</v>
      </c>
      <c r="Q211" s="305">
        <v>0</v>
      </c>
      <c r="R211" s="305">
        <v>0</v>
      </c>
      <c r="S211" s="305">
        <v>0</v>
      </c>
      <c r="T211" s="305">
        <v>0</v>
      </c>
      <c r="U211" s="305">
        <v>27606.454518918301</v>
      </c>
      <c r="V211" s="305">
        <v>60240.419732123897</v>
      </c>
      <c r="W211" s="305">
        <v>0</v>
      </c>
      <c r="X211" s="305">
        <v>0</v>
      </c>
      <c r="Y211" s="305">
        <v>0</v>
      </c>
      <c r="Z211" s="305">
        <v>0</v>
      </c>
      <c r="AA211" s="305">
        <v>0</v>
      </c>
      <c r="AB211" s="305">
        <v>0</v>
      </c>
      <c r="AC211" s="305">
        <v>0</v>
      </c>
      <c r="AD211" s="305">
        <v>0</v>
      </c>
      <c r="AE211" s="305">
        <v>0</v>
      </c>
      <c r="AF211" s="305">
        <v>0</v>
      </c>
      <c r="AG211" s="305">
        <v>0</v>
      </c>
      <c r="AH211" s="305">
        <v>0</v>
      </c>
      <c r="AI211" s="305">
        <v>0</v>
      </c>
      <c r="AJ211" s="305">
        <v>13.9069217450983</v>
      </c>
      <c r="AK211" s="305">
        <v>0</v>
      </c>
      <c r="AL211" s="305">
        <v>0</v>
      </c>
      <c r="AM211" s="305">
        <v>0</v>
      </c>
      <c r="AN211" s="305">
        <v>0</v>
      </c>
      <c r="AO211" s="305">
        <v>0</v>
      </c>
      <c r="AP211" s="305">
        <v>0</v>
      </c>
      <c r="AQ211" s="305">
        <v>0</v>
      </c>
      <c r="AR211" s="305">
        <v>0</v>
      </c>
      <c r="AS211" s="305">
        <v>0</v>
      </c>
      <c r="AT211" s="305">
        <v>0</v>
      </c>
      <c r="AU211" s="305">
        <v>0</v>
      </c>
      <c r="AV211" s="305">
        <v>0</v>
      </c>
      <c r="AW211" s="305">
        <v>0</v>
      </c>
      <c r="AX211" s="305">
        <v>0</v>
      </c>
      <c r="AY211" s="305">
        <v>4306.0802326205903</v>
      </c>
      <c r="AZ211" s="305">
        <v>0</v>
      </c>
      <c r="BA211" s="305">
        <v>0</v>
      </c>
      <c r="BB211" s="305">
        <v>0</v>
      </c>
      <c r="BC211" s="305">
        <v>0</v>
      </c>
      <c r="BD211" s="305">
        <v>0</v>
      </c>
      <c r="BE211" s="305">
        <v>0</v>
      </c>
      <c r="BF211" s="305">
        <v>0</v>
      </c>
    </row>
    <row r="212" spans="1:58">
      <c r="A212" s="304" t="s">
        <v>697</v>
      </c>
      <c r="B212" s="305">
        <v>0</v>
      </c>
      <c r="C212" s="305">
        <v>0</v>
      </c>
      <c r="D212" s="305">
        <v>0</v>
      </c>
      <c r="E212" s="305">
        <v>0</v>
      </c>
      <c r="F212" s="305">
        <v>0</v>
      </c>
      <c r="G212" s="305">
        <v>0</v>
      </c>
      <c r="H212" s="305">
        <v>0</v>
      </c>
      <c r="I212" s="305">
        <v>0</v>
      </c>
      <c r="J212" s="305">
        <v>0</v>
      </c>
      <c r="K212" s="305">
        <v>0</v>
      </c>
      <c r="L212" s="305">
        <v>0</v>
      </c>
      <c r="M212" s="305">
        <v>0</v>
      </c>
      <c r="N212" s="305">
        <v>0</v>
      </c>
      <c r="O212" s="305">
        <v>0</v>
      </c>
      <c r="P212" s="305">
        <v>0</v>
      </c>
      <c r="Q212" s="305">
        <v>0</v>
      </c>
      <c r="R212" s="305">
        <v>0</v>
      </c>
      <c r="S212" s="305">
        <v>0</v>
      </c>
      <c r="T212" s="305">
        <v>0</v>
      </c>
      <c r="U212" s="305">
        <v>0</v>
      </c>
      <c r="V212" s="305">
        <v>0</v>
      </c>
      <c r="W212" s="305">
        <v>0</v>
      </c>
      <c r="X212" s="305">
        <v>0</v>
      </c>
      <c r="Y212" s="305">
        <v>0</v>
      </c>
      <c r="Z212" s="305">
        <v>0</v>
      </c>
      <c r="AA212" s="305">
        <v>0</v>
      </c>
      <c r="AB212" s="305">
        <v>0</v>
      </c>
      <c r="AC212" s="305">
        <v>0</v>
      </c>
      <c r="AD212" s="305">
        <v>87222.135331413898</v>
      </c>
      <c r="AE212" s="305">
        <v>0</v>
      </c>
      <c r="AF212" s="305">
        <v>0</v>
      </c>
      <c r="AG212" s="305">
        <v>0</v>
      </c>
      <c r="AH212" s="305">
        <v>0</v>
      </c>
      <c r="AI212" s="305">
        <v>7739.25118007116</v>
      </c>
      <c r="AJ212" s="305">
        <v>0</v>
      </c>
      <c r="AK212" s="305">
        <v>0</v>
      </c>
      <c r="AL212" s="305">
        <v>0</v>
      </c>
      <c r="AM212" s="305">
        <v>0</v>
      </c>
      <c r="AN212" s="305">
        <v>0</v>
      </c>
      <c r="AO212" s="305">
        <v>0</v>
      </c>
      <c r="AP212" s="305">
        <v>0</v>
      </c>
      <c r="AQ212" s="305">
        <v>0</v>
      </c>
      <c r="AR212" s="305">
        <v>0</v>
      </c>
      <c r="AS212" s="305">
        <v>0</v>
      </c>
      <c r="AT212" s="305">
        <v>0</v>
      </c>
      <c r="AU212" s="305">
        <v>0</v>
      </c>
      <c r="AV212" s="305">
        <v>0</v>
      </c>
      <c r="AW212" s="305">
        <v>0</v>
      </c>
      <c r="AX212" s="305">
        <v>242016.07607977401</v>
      </c>
      <c r="AY212" s="305">
        <v>0</v>
      </c>
      <c r="AZ212" s="305">
        <v>0</v>
      </c>
      <c r="BA212" s="305">
        <v>0</v>
      </c>
      <c r="BB212" s="305">
        <v>0</v>
      </c>
      <c r="BC212" s="305">
        <v>0</v>
      </c>
      <c r="BD212" s="305">
        <v>0</v>
      </c>
      <c r="BE212" s="305">
        <v>0</v>
      </c>
      <c r="BF212" s="305">
        <v>0</v>
      </c>
    </row>
    <row r="213" spans="1:58">
      <c r="A213" s="304" t="s">
        <v>762</v>
      </c>
      <c r="B213" s="305">
        <v>0</v>
      </c>
      <c r="C213" s="305">
        <v>0</v>
      </c>
      <c r="D213" s="305">
        <v>0</v>
      </c>
      <c r="E213" s="305">
        <v>0</v>
      </c>
      <c r="F213" s="305">
        <v>0</v>
      </c>
      <c r="G213" s="305">
        <v>0</v>
      </c>
      <c r="H213" s="305">
        <v>0</v>
      </c>
      <c r="I213" s="305">
        <v>0</v>
      </c>
      <c r="J213" s="305">
        <v>0</v>
      </c>
      <c r="K213" s="305">
        <v>0</v>
      </c>
      <c r="L213" s="305">
        <v>0</v>
      </c>
      <c r="M213" s="305">
        <v>0</v>
      </c>
      <c r="N213" s="305">
        <v>0</v>
      </c>
      <c r="O213" s="305">
        <v>0</v>
      </c>
      <c r="P213" s="305">
        <v>0</v>
      </c>
      <c r="Q213" s="305">
        <v>0</v>
      </c>
      <c r="R213" s="305">
        <v>0</v>
      </c>
      <c r="S213" s="305">
        <v>0</v>
      </c>
      <c r="T213" s="305">
        <v>0</v>
      </c>
      <c r="U213" s="305">
        <v>0</v>
      </c>
      <c r="V213" s="305">
        <v>23202.895864865601</v>
      </c>
      <c r="W213" s="305">
        <v>0</v>
      </c>
      <c r="X213" s="305">
        <v>0</v>
      </c>
      <c r="Y213" s="305">
        <v>0</v>
      </c>
      <c r="Z213" s="305">
        <v>0</v>
      </c>
      <c r="AA213" s="305">
        <v>0</v>
      </c>
      <c r="AB213" s="305">
        <v>0</v>
      </c>
      <c r="AC213" s="305">
        <v>0</v>
      </c>
      <c r="AD213" s="305">
        <v>0</v>
      </c>
      <c r="AE213" s="305">
        <v>0</v>
      </c>
      <c r="AF213" s="305">
        <v>0</v>
      </c>
      <c r="AG213" s="305">
        <v>0</v>
      </c>
      <c r="AH213" s="305">
        <v>0</v>
      </c>
      <c r="AI213" s="305">
        <v>0</v>
      </c>
      <c r="AJ213" s="305">
        <v>5.54621255405754</v>
      </c>
      <c r="AK213" s="305">
        <v>0</v>
      </c>
      <c r="AL213" s="305">
        <v>0</v>
      </c>
      <c r="AM213" s="305">
        <v>0</v>
      </c>
      <c r="AN213" s="305">
        <v>0</v>
      </c>
      <c r="AO213" s="305">
        <v>0</v>
      </c>
      <c r="AP213" s="305">
        <v>0</v>
      </c>
      <c r="AQ213" s="305">
        <v>0</v>
      </c>
      <c r="AR213" s="305">
        <v>0</v>
      </c>
      <c r="AS213" s="305">
        <v>0</v>
      </c>
      <c r="AT213" s="305">
        <v>0</v>
      </c>
      <c r="AU213" s="305">
        <v>0</v>
      </c>
      <c r="AV213" s="305">
        <v>0</v>
      </c>
      <c r="AW213" s="305">
        <v>0</v>
      </c>
      <c r="AX213" s="305">
        <v>0</v>
      </c>
      <c r="AY213" s="305">
        <v>0</v>
      </c>
      <c r="AZ213" s="305">
        <v>0</v>
      </c>
      <c r="BA213" s="305">
        <v>0</v>
      </c>
      <c r="BB213" s="305">
        <v>0</v>
      </c>
      <c r="BC213" s="305">
        <v>0</v>
      </c>
      <c r="BD213" s="305">
        <v>0</v>
      </c>
      <c r="BE213" s="305">
        <v>0</v>
      </c>
      <c r="BF213" s="305">
        <v>0</v>
      </c>
    </row>
    <row r="214" spans="1:58">
      <c r="A214" s="304"/>
      <c r="B214" s="390" t="s">
        <v>699</v>
      </c>
      <c r="C214" s="402"/>
      <c r="D214" s="402"/>
      <c r="E214" s="402"/>
      <c r="F214" s="402"/>
      <c r="G214" s="402"/>
      <c r="H214" s="402"/>
      <c r="I214" s="402"/>
      <c r="J214" s="402"/>
      <c r="K214" s="402"/>
      <c r="L214" s="402"/>
      <c r="M214" s="402"/>
      <c r="N214" s="402"/>
      <c r="O214" s="402"/>
      <c r="P214" s="402"/>
      <c r="Q214" s="402"/>
      <c r="R214" s="402"/>
      <c r="S214" s="402"/>
      <c r="T214" s="402"/>
      <c r="U214" s="402"/>
      <c r="V214" s="402"/>
      <c r="W214" s="402"/>
      <c r="X214" s="402"/>
      <c r="Y214" s="402"/>
      <c r="Z214" s="402"/>
      <c r="AA214" s="402"/>
      <c r="AB214" s="402"/>
      <c r="AC214" s="402"/>
      <c r="AD214" s="402"/>
      <c r="AE214" s="402"/>
      <c r="AF214" s="402"/>
      <c r="AG214" s="402"/>
      <c r="AH214" s="402"/>
      <c r="AI214" s="402"/>
      <c r="AJ214" s="402"/>
      <c r="AK214" s="402"/>
      <c r="AL214" s="402"/>
      <c r="AM214" s="402"/>
      <c r="AN214" s="402"/>
      <c r="AO214" s="402"/>
      <c r="AP214" s="402"/>
      <c r="AQ214" s="402"/>
      <c r="AR214" s="402"/>
      <c r="AS214" s="402"/>
      <c r="AT214" s="402"/>
      <c r="AU214" s="402"/>
      <c r="AV214" s="402"/>
      <c r="AW214" s="402"/>
      <c r="AX214" s="402"/>
      <c r="AY214" s="402"/>
      <c r="AZ214" s="402"/>
      <c r="BA214" s="402"/>
      <c r="BB214" s="402"/>
      <c r="BC214" s="402"/>
      <c r="BD214" s="402"/>
      <c r="BE214" s="402"/>
      <c r="BF214" s="402"/>
    </row>
    <row r="217" spans="1:58" ht="228">
      <c r="A217" s="303" t="s">
        <v>641</v>
      </c>
      <c r="B217" s="234" t="s">
        <v>642</v>
      </c>
      <c r="C217" s="234" t="s">
        <v>708</v>
      </c>
      <c r="D217" s="234" t="s">
        <v>643</v>
      </c>
      <c r="E217" s="234" t="s">
        <v>644</v>
      </c>
      <c r="F217" s="234" t="s">
        <v>645</v>
      </c>
      <c r="G217" s="234" t="s">
        <v>646</v>
      </c>
      <c r="H217" s="234" t="s">
        <v>647</v>
      </c>
      <c r="I217" s="234" t="s">
        <v>648</v>
      </c>
      <c r="J217" s="234" t="s">
        <v>649</v>
      </c>
      <c r="K217" s="234" t="s">
        <v>650</v>
      </c>
      <c r="L217" s="234" t="s">
        <v>709</v>
      </c>
      <c r="M217" s="234" t="s">
        <v>651</v>
      </c>
      <c r="N217" s="234" t="s">
        <v>652</v>
      </c>
      <c r="O217" s="234" t="s">
        <v>653</v>
      </c>
      <c r="P217" s="234" t="s">
        <v>654</v>
      </c>
      <c r="Q217" s="234" t="s">
        <v>655</v>
      </c>
      <c r="R217" s="234" t="s">
        <v>710</v>
      </c>
      <c r="S217" s="234" t="s">
        <v>711</v>
      </c>
      <c r="T217" s="234" t="s">
        <v>656</v>
      </c>
      <c r="U217" s="234" t="s">
        <v>657</v>
      </c>
      <c r="V217" s="234" t="s">
        <v>658</v>
      </c>
      <c r="W217" s="234" t="s">
        <v>712</v>
      </c>
      <c r="X217" s="234" t="s">
        <v>713</v>
      </c>
      <c r="Y217" s="234" t="s">
        <v>659</v>
      </c>
      <c r="Z217" s="234" t="s">
        <v>660</v>
      </c>
      <c r="AA217" s="234" t="s">
        <v>661</v>
      </c>
      <c r="AB217" s="234" t="s">
        <v>662</v>
      </c>
      <c r="AC217" s="234" t="s">
        <v>663</v>
      </c>
      <c r="AD217" s="234" t="s">
        <v>664</v>
      </c>
      <c r="AE217" s="234" t="s">
        <v>665</v>
      </c>
      <c r="AF217" s="234" t="s">
        <v>666</v>
      </c>
      <c r="AG217" s="234" t="s">
        <v>667</v>
      </c>
      <c r="AH217" s="234" t="s">
        <v>668</v>
      </c>
      <c r="AI217" s="234" t="s">
        <v>669</v>
      </c>
      <c r="AJ217" s="234" t="s">
        <v>670</v>
      </c>
      <c r="AK217" s="234" t="s">
        <v>671</v>
      </c>
      <c r="AL217" s="234" t="s">
        <v>714</v>
      </c>
      <c r="AM217" s="234" t="s">
        <v>715</v>
      </c>
      <c r="AN217" s="234" t="s">
        <v>716</v>
      </c>
      <c r="AO217" s="234" t="s">
        <v>717</v>
      </c>
      <c r="AP217" s="234" t="s">
        <v>718</v>
      </c>
      <c r="AQ217" s="234" t="s">
        <v>719</v>
      </c>
      <c r="AR217" s="234" t="s">
        <v>720</v>
      </c>
      <c r="AS217" s="234" t="s">
        <v>721</v>
      </c>
      <c r="AT217" s="234" t="s">
        <v>672</v>
      </c>
      <c r="AU217" s="234" t="s">
        <v>673</v>
      </c>
      <c r="AV217" s="234" t="s">
        <v>722</v>
      </c>
      <c r="AW217" s="234" t="s">
        <v>723</v>
      </c>
      <c r="AX217" s="234" t="s">
        <v>674</v>
      </c>
      <c r="AY217" s="234" t="s">
        <v>724</v>
      </c>
      <c r="AZ217" s="234" t="s">
        <v>725</v>
      </c>
      <c r="BA217" s="234" t="s">
        <v>726</v>
      </c>
      <c r="BB217" s="234" t="s">
        <v>675</v>
      </c>
      <c r="BC217" s="234" t="s">
        <v>676</v>
      </c>
      <c r="BD217" s="234" t="s">
        <v>677</v>
      </c>
      <c r="BE217" s="234" t="s">
        <v>727</v>
      </c>
      <c r="BF217" s="234" t="s">
        <v>728</v>
      </c>
    </row>
    <row r="218" spans="1:58">
      <c r="A218" s="304" t="s">
        <v>729</v>
      </c>
      <c r="B218" s="302">
        <v>0</v>
      </c>
      <c r="C218" s="302">
        <v>0</v>
      </c>
      <c r="D218" s="302">
        <v>0</v>
      </c>
      <c r="E218" s="302">
        <v>0</v>
      </c>
      <c r="F218" s="302">
        <v>0</v>
      </c>
      <c r="G218" s="302">
        <v>0</v>
      </c>
      <c r="H218" s="302">
        <v>0</v>
      </c>
      <c r="I218" s="302">
        <v>0</v>
      </c>
      <c r="J218" s="302">
        <v>0</v>
      </c>
      <c r="K218" s="302">
        <v>0</v>
      </c>
      <c r="L218" s="302">
        <v>0</v>
      </c>
      <c r="M218" s="302">
        <v>0</v>
      </c>
      <c r="N218" s="302">
        <v>0</v>
      </c>
      <c r="O218" s="302">
        <v>0</v>
      </c>
      <c r="P218" s="302">
        <v>0</v>
      </c>
      <c r="Q218" s="302">
        <v>0</v>
      </c>
      <c r="R218" s="302">
        <v>82025.350859294602</v>
      </c>
      <c r="S218" s="302">
        <v>0</v>
      </c>
      <c r="T218" s="302">
        <v>0</v>
      </c>
      <c r="U218" s="302">
        <v>0</v>
      </c>
      <c r="V218" s="302">
        <v>0</v>
      </c>
      <c r="W218" s="302">
        <v>0</v>
      </c>
      <c r="X218" s="302">
        <v>0</v>
      </c>
      <c r="Y218" s="302">
        <v>0</v>
      </c>
      <c r="Z218" s="302">
        <v>0</v>
      </c>
      <c r="AA218" s="302">
        <v>0</v>
      </c>
      <c r="AB218" s="302">
        <v>0</v>
      </c>
      <c r="AC218" s="302">
        <v>0</v>
      </c>
      <c r="AD218" s="302">
        <v>0</v>
      </c>
      <c r="AE218" s="302">
        <v>0</v>
      </c>
      <c r="AF218" s="302">
        <v>0</v>
      </c>
      <c r="AG218" s="302">
        <v>0</v>
      </c>
      <c r="AH218" s="302">
        <v>0</v>
      </c>
      <c r="AI218" s="302">
        <v>0</v>
      </c>
      <c r="AJ218" s="302">
        <v>0</v>
      </c>
      <c r="AK218" s="302">
        <v>0</v>
      </c>
      <c r="AL218" s="302">
        <v>0</v>
      </c>
      <c r="AM218" s="302">
        <v>0</v>
      </c>
      <c r="AN218" s="302">
        <v>0</v>
      </c>
      <c r="AO218" s="302">
        <v>0</v>
      </c>
      <c r="AP218" s="302">
        <v>0</v>
      </c>
      <c r="AQ218" s="302">
        <v>0</v>
      </c>
      <c r="AR218" s="302">
        <v>0</v>
      </c>
      <c r="AS218" s="302">
        <v>0</v>
      </c>
      <c r="AT218" s="302">
        <v>0</v>
      </c>
      <c r="AU218" s="302">
        <v>0</v>
      </c>
      <c r="AV218" s="302">
        <v>0</v>
      </c>
      <c r="AW218" s="302">
        <v>0</v>
      </c>
      <c r="AX218" s="302">
        <v>0</v>
      </c>
      <c r="AY218" s="302">
        <v>0</v>
      </c>
      <c r="AZ218" s="302">
        <v>0</v>
      </c>
      <c r="BA218" s="302">
        <v>0</v>
      </c>
      <c r="BB218" s="302">
        <v>0</v>
      </c>
      <c r="BC218" s="302">
        <v>0</v>
      </c>
      <c r="BD218" s="302">
        <v>0</v>
      </c>
      <c r="BE218" s="302">
        <v>0</v>
      </c>
      <c r="BF218" s="302">
        <v>0</v>
      </c>
    </row>
    <row r="219" spans="1:58">
      <c r="A219" s="304" t="s">
        <v>730</v>
      </c>
      <c r="B219" s="302">
        <v>0</v>
      </c>
      <c r="C219" s="302">
        <v>0</v>
      </c>
      <c r="D219" s="302">
        <v>0</v>
      </c>
      <c r="E219" s="302">
        <v>0</v>
      </c>
      <c r="F219" s="302">
        <v>0</v>
      </c>
      <c r="G219" s="302">
        <v>0</v>
      </c>
      <c r="H219" s="302">
        <v>0</v>
      </c>
      <c r="I219" s="302">
        <v>0</v>
      </c>
      <c r="J219" s="302">
        <v>0</v>
      </c>
      <c r="K219" s="302">
        <v>0</v>
      </c>
      <c r="L219" s="302">
        <v>0</v>
      </c>
      <c r="M219" s="302">
        <v>0</v>
      </c>
      <c r="N219" s="302">
        <v>0</v>
      </c>
      <c r="O219" s="302">
        <v>0</v>
      </c>
      <c r="P219" s="302">
        <v>0</v>
      </c>
      <c r="Q219" s="302">
        <v>0</v>
      </c>
      <c r="R219" s="302">
        <v>0</v>
      </c>
      <c r="S219" s="302">
        <v>0</v>
      </c>
      <c r="T219" s="302">
        <v>40734.729934752402</v>
      </c>
      <c r="U219" s="302">
        <v>0</v>
      </c>
      <c r="V219" s="302">
        <v>0</v>
      </c>
      <c r="W219" s="302">
        <v>0</v>
      </c>
      <c r="X219" s="302">
        <v>0</v>
      </c>
      <c r="Y219" s="302">
        <v>0</v>
      </c>
      <c r="Z219" s="302">
        <v>0</v>
      </c>
      <c r="AA219" s="302">
        <v>0</v>
      </c>
      <c r="AB219" s="302">
        <v>0</v>
      </c>
      <c r="AC219" s="302">
        <v>0</v>
      </c>
      <c r="AD219" s="302">
        <v>0</v>
      </c>
      <c r="AE219" s="302">
        <v>0</v>
      </c>
      <c r="AF219" s="302">
        <v>0</v>
      </c>
      <c r="AG219" s="302">
        <v>0</v>
      </c>
      <c r="AH219" s="302">
        <v>0</v>
      </c>
      <c r="AI219" s="302">
        <v>0</v>
      </c>
      <c r="AJ219" s="302">
        <v>0</v>
      </c>
      <c r="AK219" s="302">
        <v>0</v>
      </c>
      <c r="AL219" s="302">
        <v>0</v>
      </c>
      <c r="AM219" s="302">
        <v>0</v>
      </c>
      <c r="AN219" s="302">
        <v>0</v>
      </c>
      <c r="AO219" s="302">
        <v>0</v>
      </c>
      <c r="AP219" s="302">
        <v>0</v>
      </c>
      <c r="AQ219" s="302">
        <v>0</v>
      </c>
      <c r="AR219" s="302">
        <v>0</v>
      </c>
      <c r="AS219" s="302">
        <v>0</v>
      </c>
      <c r="AT219" s="302">
        <v>0</v>
      </c>
      <c r="AU219" s="302">
        <v>0</v>
      </c>
      <c r="AV219" s="302">
        <v>0</v>
      </c>
      <c r="AW219" s="302">
        <v>0</v>
      </c>
      <c r="AX219" s="302">
        <v>0</v>
      </c>
      <c r="AY219" s="302">
        <v>0</v>
      </c>
      <c r="AZ219" s="302">
        <v>0</v>
      </c>
      <c r="BA219" s="302">
        <v>0</v>
      </c>
      <c r="BB219" s="302">
        <v>0</v>
      </c>
      <c r="BC219" s="302">
        <v>0</v>
      </c>
      <c r="BD219" s="302">
        <v>0</v>
      </c>
      <c r="BE219" s="302">
        <v>0</v>
      </c>
      <c r="BF219" s="302">
        <v>0</v>
      </c>
    </row>
    <row r="220" spans="1:58">
      <c r="A220" s="304" t="s">
        <v>731</v>
      </c>
      <c r="B220" s="302">
        <v>0</v>
      </c>
      <c r="C220" s="302">
        <v>0</v>
      </c>
      <c r="D220" s="302">
        <v>0</v>
      </c>
      <c r="E220" s="302">
        <v>0</v>
      </c>
      <c r="F220" s="302">
        <v>0</v>
      </c>
      <c r="G220" s="302">
        <v>0</v>
      </c>
      <c r="H220" s="302">
        <v>0</v>
      </c>
      <c r="I220" s="302">
        <v>0</v>
      </c>
      <c r="J220" s="302">
        <v>0</v>
      </c>
      <c r="K220" s="302">
        <v>0</v>
      </c>
      <c r="L220" s="302">
        <v>0</v>
      </c>
      <c r="M220" s="302">
        <v>0</v>
      </c>
      <c r="N220" s="302">
        <v>0</v>
      </c>
      <c r="O220" s="302">
        <v>0</v>
      </c>
      <c r="P220" s="302">
        <v>0</v>
      </c>
      <c r="Q220" s="302">
        <v>0</v>
      </c>
      <c r="R220" s="302">
        <v>0</v>
      </c>
      <c r="S220" s="302">
        <v>0</v>
      </c>
      <c r="T220" s="302">
        <v>0</v>
      </c>
      <c r="U220" s="302">
        <v>872.21663759437695</v>
      </c>
      <c r="V220" s="302">
        <v>0</v>
      </c>
      <c r="W220" s="302">
        <v>0</v>
      </c>
      <c r="X220" s="302">
        <v>0</v>
      </c>
      <c r="Y220" s="302">
        <v>0</v>
      </c>
      <c r="Z220" s="302">
        <v>0</v>
      </c>
      <c r="AA220" s="302">
        <v>0</v>
      </c>
      <c r="AB220" s="302">
        <v>0</v>
      </c>
      <c r="AC220" s="302">
        <v>0</v>
      </c>
      <c r="AD220" s="302">
        <v>0</v>
      </c>
      <c r="AE220" s="302">
        <v>0</v>
      </c>
      <c r="AF220" s="302">
        <v>0</v>
      </c>
      <c r="AG220" s="302">
        <v>0</v>
      </c>
      <c r="AH220" s="302">
        <v>0</v>
      </c>
      <c r="AI220" s="302">
        <v>0</v>
      </c>
      <c r="AJ220" s="302">
        <v>0</v>
      </c>
      <c r="AK220" s="302">
        <v>0</v>
      </c>
      <c r="AL220" s="302">
        <v>0</v>
      </c>
      <c r="AM220" s="302">
        <v>0</v>
      </c>
      <c r="AN220" s="302">
        <v>0</v>
      </c>
      <c r="AO220" s="302">
        <v>0</v>
      </c>
      <c r="AP220" s="302">
        <v>0</v>
      </c>
      <c r="AQ220" s="302">
        <v>0</v>
      </c>
      <c r="AR220" s="302">
        <v>0</v>
      </c>
      <c r="AS220" s="302">
        <v>0</v>
      </c>
      <c r="AT220" s="302">
        <v>0</v>
      </c>
      <c r="AU220" s="302">
        <v>0</v>
      </c>
      <c r="AV220" s="302">
        <v>0</v>
      </c>
      <c r="AW220" s="302">
        <v>0</v>
      </c>
      <c r="AX220" s="302">
        <v>0</v>
      </c>
      <c r="AY220" s="302">
        <v>0</v>
      </c>
      <c r="AZ220" s="302">
        <v>0</v>
      </c>
      <c r="BA220" s="302">
        <v>0</v>
      </c>
      <c r="BB220" s="302">
        <v>0</v>
      </c>
      <c r="BC220" s="302">
        <v>0</v>
      </c>
      <c r="BD220" s="302">
        <v>0</v>
      </c>
      <c r="BE220" s="302">
        <v>0</v>
      </c>
      <c r="BF220" s="302">
        <v>0</v>
      </c>
    </row>
    <row r="221" spans="1:58">
      <c r="A221" s="304" t="s">
        <v>732</v>
      </c>
      <c r="B221" s="302">
        <v>0</v>
      </c>
      <c r="C221" s="302">
        <v>0</v>
      </c>
      <c r="D221" s="302">
        <v>0</v>
      </c>
      <c r="E221" s="302">
        <v>0</v>
      </c>
      <c r="F221" s="302">
        <v>0</v>
      </c>
      <c r="G221" s="302">
        <v>0</v>
      </c>
      <c r="H221" s="302">
        <v>0</v>
      </c>
      <c r="I221" s="302">
        <v>0</v>
      </c>
      <c r="J221" s="302">
        <v>0</v>
      </c>
      <c r="K221" s="302">
        <v>0</v>
      </c>
      <c r="L221" s="302">
        <v>0</v>
      </c>
      <c r="M221" s="302">
        <v>0</v>
      </c>
      <c r="N221" s="302">
        <v>0</v>
      </c>
      <c r="O221" s="302">
        <v>0</v>
      </c>
      <c r="P221" s="302">
        <v>0</v>
      </c>
      <c r="Q221" s="302">
        <v>0</v>
      </c>
      <c r="R221" s="302">
        <v>0</v>
      </c>
      <c r="S221" s="302">
        <v>0</v>
      </c>
      <c r="T221" s="302">
        <v>0</v>
      </c>
      <c r="U221" s="302">
        <v>0</v>
      </c>
      <c r="V221" s="302">
        <v>36781.329005505002</v>
      </c>
      <c r="W221" s="302">
        <v>0</v>
      </c>
      <c r="X221" s="302">
        <v>0</v>
      </c>
      <c r="Y221" s="302">
        <v>0</v>
      </c>
      <c r="Z221" s="302">
        <v>0</v>
      </c>
      <c r="AA221" s="302">
        <v>0</v>
      </c>
      <c r="AB221" s="302">
        <v>0</v>
      </c>
      <c r="AC221" s="302">
        <v>0</v>
      </c>
      <c r="AD221" s="302">
        <v>0</v>
      </c>
      <c r="AE221" s="302">
        <v>0</v>
      </c>
      <c r="AF221" s="302">
        <v>0</v>
      </c>
      <c r="AG221" s="302">
        <v>0</v>
      </c>
      <c r="AH221" s="302">
        <v>0</v>
      </c>
      <c r="AI221" s="302">
        <v>0</v>
      </c>
      <c r="AJ221" s="302">
        <v>0</v>
      </c>
      <c r="AK221" s="302">
        <v>0</v>
      </c>
      <c r="AL221" s="302">
        <v>0</v>
      </c>
      <c r="AM221" s="302">
        <v>0</v>
      </c>
      <c r="AN221" s="302">
        <v>0</v>
      </c>
      <c r="AO221" s="302">
        <v>0</v>
      </c>
      <c r="AP221" s="302">
        <v>0</v>
      </c>
      <c r="AQ221" s="302">
        <v>0</v>
      </c>
      <c r="AR221" s="302">
        <v>0</v>
      </c>
      <c r="AS221" s="302">
        <v>0</v>
      </c>
      <c r="AT221" s="302">
        <v>0</v>
      </c>
      <c r="AU221" s="302">
        <v>0</v>
      </c>
      <c r="AV221" s="302">
        <v>0</v>
      </c>
      <c r="AW221" s="302">
        <v>0</v>
      </c>
      <c r="AX221" s="302">
        <v>0</v>
      </c>
      <c r="AY221" s="302">
        <v>0</v>
      </c>
      <c r="AZ221" s="302">
        <v>0</v>
      </c>
      <c r="BA221" s="302">
        <v>0</v>
      </c>
      <c r="BB221" s="302">
        <v>0</v>
      </c>
      <c r="BC221" s="302">
        <v>0</v>
      </c>
      <c r="BD221" s="302">
        <v>0</v>
      </c>
      <c r="BE221" s="302">
        <v>0</v>
      </c>
      <c r="BF221" s="302">
        <v>0</v>
      </c>
    </row>
    <row r="222" spans="1:58">
      <c r="A222" s="304" t="s">
        <v>733</v>
      </c>
      <c r="B222" s="302">
        <v>0</v>
      </c>
      <c r="C222" s="302">
        <v>0</v>
      </c>
      <c r="D222" s="302">
        <v>0</v>
      </c>
      <c r="E222" s="302">
        <v>0</v>
      </c>
      <c r="F222" s="302">
        <v>0</v>
      </c>
      <c r="G222" s="302">
        <v>0</v>
      </c>
      <c r="H222" s="302">
        <v>0</v>
      </c>
      <c r="I222" s="302">
        <v>0</v>
      </c>
      <c r="J222" s="302">
        <v>0</v>
      </c>
      <c r="K222" s="302">
        <v>0</v>
      </c>
      <c r="L222" s="302">
        <v>0</v>
      </c>
      <c r="M222" s="302">
        <v>0</v>
      </c>
      <c r="N222" s="302">
        <v>0</v>
      </c>
      <c r="O222" s="302">
        <v>0</v>
      </c>
      <c r="P222" s="302">
        <v>0</v>
      </c>
      <c r="Q222" s="302">
        <v>0</v>
      </c>
      <c r="R222" s="302">
        <v>0</v>
      </c>
      <c r="S222" s="302">
        <v>0</v>
      </c>
      <c r="T222" s="302">
        <v>0</v>
      </c>
      <c r="U222" s="302">
        <v>0</v>
      </c>
      <c r="V222" s="302">
        <v>0</v>
      </c>
      <c r="W222" s="302">
        <v>0</v>
      </c>
      <c r="X222" s="302">
        <v>0</v>
      </c>
      <c r="Y222" s="302">
        <v>0</v>
      </c>
      <c r="Z222" s="302">
        <v>0</v>
      </c>
      <c r="AA222" s="302">
        <v>0</v>
      </c>
      <c r="AB222" s="302">
        <v>0</v>
      </c>
      <c r="AC222" s="302">
        <v>0</v>
      </c>
      <c r="AD222" s="302">
        <v>0</v>
      </c>
      <c r="AE222" s="302">
        <v>0</v>
      </c>
      <c r="AF222" s="302">
        <v>0</v>
      </c>
      <c r="AG222" s="302">
        <v>0</v>
      </c>
      <c r="AH222" s="302">
        <v>0</v>
      </c>
      <c r="AI222" s="302">
        <v>0</v>
      </c>
      <c r="AJ222" s="302">
        <v>2.7994452863509598</v>
      </c>
      <c r="AK222" s="302">
        <v>0</v>
      </c>
      <c r="AL222" s="302">
        <v>0</v>
      </c>
      <c r="AM222" s="302">
        <v>0</v>
      </c>
      <c r="AN222" s="302">
        <v>0</v>
      </c>
      <c r="AO222" s="302">
        <v>0</v>
      </c>
      <c r="AP222" s="302">
        <v>0</v>
      </c>
      <c r="AQ222" s="302">
        <v>0</v>
      </c>
      <c r="AR222" s="302">
        <v>0</v>
      </c>
      <c r="AS222" s="302">
        <v>0</v>
      </c>
      <c r="AT222" s="302">
        <v>0</v>
      </c>
      <c r="AU222" s="302">
        <v>0</v>
      </c>
      <c r="AV222" s="302">
        <v>0</v>
      </c>
      <c r="AW222" s="302">
        <v>0</v>
      </c>
      <c r="AX222" s="302">
        <v>0</v>
      </c>
      <c r="AY222" s="302">
        <v>0</v>
      </c>
      <c r="AZ222" s="302">
        <v>0</v>
      </c>
      <c r="BA222" s="302">
        <v>0</v>
      </c>
      <c r="BB222" s="302">
        <v>0</v>
      </c>
      <c r="BC222" s="302">
        <v>0</v>
      </c>
      <c r="BD222" s="302">
        <v>0</v>
      </c>
      <c r="BE222" s="302">
        <v>0</v>
      </c>
      <c r="BF222" s="302">
        <v>0</v>
      </c>
    </row>
    <row r="223" spans="1:58">
      <c r="A223" s="304" t="s">
        <v>734</v>
      </c>
      <c r="B223" s="302">
        <v>0</v>
      </c>
      <c r="C223" s="302">
        <v>0</v>
      </c>
      <c r="D223" s="302">
        <v>0</v>
      </c>
      <c r="E223" s="302">
        <v>0</v>
      </c>
      <c r="F223" s="302">
        <v>0</v>
      </c>
      <c r="G223" s="302">
        <v>0</v>
      </c>
      <c r="H223" s="302">
        <v>0</v>
      </c>
      <c r="I223" s="302">
        <v>0</v>
      </c>
      <c r="J223" s="302">
        <v>0</v>
      </c>
      <c r="K223" s="302">
        <v>0</v>
      </c>
      <c r="L223" s="302">
        <v>0</v>
      </c>
      <c r="M223" s="302">
        <v>0</v>
      </c>
      <c r="N223" s="302">
        <v>0</v>
      </c>
      <c r="O223" s="302">
        <v>0</v>
      </c>
      <c r="P223" s="302">
        <v>0</v>
      </c>
      <c r="Q223" s="302">
        <v>0</v>
      </c>
      <c r="R223" s="302">
        <v>0</v>
      </c>
      <c r="S223" s="302">
        <v>0</v>
      </c>
      <c r="T223" s="302">
        <v>0</v>
      </c>
      <c r="U223" s="302">
        <v>0</v>
      </c>
      <c r="V223" s="302">
        <v>0</v>
      </c>
      <c r="W223" s="302">
        <v>0</v>
      </c>
      <c r="X223" s="302">
        <v>0</v>
      </c>
      <c r="Y223" s="302">
        <v>0</v>
      </c>
      <c r="Z223" s="302">
        <v>0</v>
      </c>
      <c r="AA223" s="302">
        <v>0</v>
      </c>
      <c r="AB223" s="302">
        <v>0</v>
      </c>
      <c r="AC223" s="302">
        <v>0</v>
      </c>
      <c r="AD223" s="302">
        <v>0</v>
      </c>
      <c r="AE223" s="302">
        <v>0</v>
      </c>
      <c r="AF223" s="302">
        <v>0</v>
      </c>
      <c r="AG223" s="302">
        <v>0</v>
      </c>
      <c r="AH223" s="302">
        <v>0</v>
      </c>
      <c r="AI223" s="302">
        <v>0</v>
      </c>
      <c r="AJ223" s="302">
        <v>0</v>
      </c>
      <c r="AK223" s="302">
        <v>11125349.8339001</v>
      </c>
      <c r="AL223" s="302">
        <v>0</v>
      </c>
      <c r="AM223" s="302">
        <v>0</v>
      </c>
      <c r="AN223" s="302">
        <v>0</v>
      </c>
      <c r="AO223" s="302">
        <v>0</v>
      </c>
      <c r="AP223" s="302">
        <v>0</v>
      </c>
      <c r="AQ223" s="302">
        <v>0</v>
      </c>
      <c r="AR223" s="302">
        <v>0</v>
      </c>
      <c r="AS223" s="302">
        <v>0</v>
      </c>
      <c r="AT223" s="302">
        <v>0</v>
      </c>
      <c r="AU223" s="302">
        <v>0</v>
      </c>
      <c r="AV223" s="302">
        <v>0</v>
      </c>
      <c r="AW223" s="302">
        <v>0</v>
      </c>
      <c r="AX223" s="302">
        <v>0</v>
      </c>
      <c r="AY223" s="302">
        <v>0</v>
      </c>
      <c r="AZ223" s="302">
        <v>0</v>
      </c>
      <c r="BA223" s="302">
        <v>0</v>
      </c>
      <c r="BB223" s="302">
        <v>0</v>
      </c>
      <c r="BC223" s="302">
        <v>0</v>
      </c>
      <c r="BD223" s="302">
        <v>0</v>
      </c>
      <c r="BE223" s="302">
        <v>0</v>
      </c>
      <c r="BF223" s="302">
        <v>0</v>
      </c>
    </row>
    <row r="224" spans="1:58">
      <c r="A224" s="304" t="s">
        <v>735</v>
      </c>
      <c r="B224" s="302">
        <v>0</v>
      </c>
      <c r="C224" s="302">
        <v>0</v>
      </c>
      <c r="D224" s="302">
        <v>0</v>
      </c>
      <c r="E224" s="302">
        <v>0</v>
      </c>
      <c r="F224" s="302">
        <v>0</v>
      </c>
      <c r="G224" s="302">
        <v>0</v>
      </c>
      <c r="H224" s="302">
        <v>0</v>
      </c>
      <c r="I224" s="302">
        <v>0</v>
      </c>
      <c r="J224" s="302">
        <v>0</v>
      </c>
      <c r="K224" s="302">
        <v>0</v>
      </c>
      <c r="L224" s="302">
        <v>0</v>
      </c>
      <c r="M224" s="302">
        <v>0</v>
      </c>
      <c r="N224" s="302">
        <v>0</v>
      </c>
      <c r="O224" s="302">
        <v>0</v>
      </c>
      <c r="P224" s="302">
        <v>0</v>
      </c>
      <c r="Q224" s="302">
        <v>0</v>
      </c>
      <c r="R224" s="302">
        <v>0</v>
      </c>
      <c r="S224" s="302">
        <v>0</v>
      </c>
      <c r="T224" s="302">
        <v>0</v>
      </c>
      <c r="U224" s="302">
        <v>0</v>
      </c>
      <c r="V224" s="302">
        <v>0</v>
      </c>
      <c r="W224" s="302">
        <v>0</v>
      </c>
      <c r="X224" s="302">
        <v>0</v>
      </c>
      <c r="Y224" s="302">
        <v>0</v>
      </c>
      <c r="Z224" s="302">
        <v>0</v>
      </c>
      <c r="AA224" s="302">
        <v>0</v>
      </c>
      <c r="AB224" s="302">
        <v>0</v>
      </c>
      <c r="AC224" s="302">
        <v>0</v>
      </c>
      <c r="AD224" s="302">
        <v>0</v>
      </c>
      <c r="AE224" s="302">
        <v>0</v>
      </c>
      <c r="AF224" s="302">
        <v>0</v>
      </c>
      <c r="AG224" s="302">
        <v>0</v>
      </c>
      <c r="AH224" s="302">
        <v>0</v>
      </c>
      <c r="AI224" s="302">
        <v>0</v>
      </c>
      <c r="AJ224" s="302">
        <v>0</v>
      </c>
      <c r="AK224" s="302">
        <v>0</v>
      </c>
      <c r="AL224" s="302">
        <v>0</v>
      </c>
      <c r="AM224" s="302">
        <v>0</v>
      </c>
      <c r="AN224" s="302">
        <v>0</v>
      </c>
      <c r="AO224" s="302">
        <v>0</v>
      </c>
      <c r="AP224" s="302">
        <v>0</v>
      </c>
      <c r="AQ224" s="302">
        <v>0</v>
      </c>
      <c r="AR224" s="302">
        <v>0</v>
      </c>
      <c r="AS224" s="302">
        <v>0</v>
      </c>
      <c r="AT224" s="302">
        <v>0</v>
      </c>
      <c r="AU224" s="302">
        <v>0</v>
      </c>
      <c r="AV224" s="302">
        <v>24.966118436670801</v>
      </c>
      <c r="AW224" s="302">
        <v>0</v>
      </c>
      <c r="AX224" s="302">
        <v>0</v>
      </c>
      <c r="AY224" s="302">
        <v>0</v>
      </c>
      <c r="AZ224" s="302">
        <v>0</v>
      </c>
      <c r="BA224" s="302">
        <v>0</v>
      </c>
      <c r="BB224" s="302">
        <v>0</v>
      </c>
      <c r="BC224" s="302">
        <v>0</v>
      </c>
      <c r="BD224" s="302">
        <v>0</v>
      </c>
      <c r="BE224" s="302">
        <v>0</v>
      </c>
      <c r="BF224" s="302">
        <v>0</v>
      </c>
    </row>
    <row r="225" spans="1:58">
      <c r="A225" s="304" t="s">
        <v>736</v>
      </c>
      <c r="B225" s="302">
        <v>0</v>
      </c>
      <c r="C225" s="302">
        <v>45017.590801780199</v>
      </c>
      <c r="D225" s="302">
        <v>0</v>
      </c>
      <c r="E225" s="302">
        <v>0</v>
      </c>
      <c r="F225" s="302">
        <v>0</v>
      </c>
      <c r="G225" s="302">
        <v>0</v>
      </c>
      <c r="H225" s="302">
        <v>0</v>
      </c>
      <c r="I225" s="302">
        <v>0</v>
      </c>
      <c r="J225" s="302">
        <v>0</v>
      </c>
      <c r="K225" s="302">
        <v>0</v>
      </c>
      <c r="L225" s="302">
        <v>0</v>
      </c>
      <c r="M225" s="302">
        <v>0</v>
      </c>
      <c r="N225" s="302">
        <v>0</v>
      </c>
      <c r="O225" s="302">
        <v>0</v>
      </c>
      <c r="P225" s="302">
        <v>0</v>
      </c>
      <c r="Q225" s="302">
        <v>0</v>
      </c>
      <c r="R225" s="302">
        <v>0</v>
      </c>
      <c r="S225" s="302">
        <v>0</v>
      </c>
      <c r="T225" s="302">
        <v>0</v>
      </c>
      <c r="U225" s="302">
        <v>0</v>
      </c>
      <c r="V225" s="302">
        <v>0</v>
      </c>
      <c r="W225" s="302">
        <v>0</v>
      </c>
      <c r="X225" s="302">
        <v>0</v>
      </c>
      <c r="Y225" s="302">
        <v>0</v>
      </c>
      <c r="Z225" s="302">
        <v>0</v>
      </c>
      <c r="AA225" s="302">
        <v>0</v>
      </c>
      <c r="AB225" s="302">
        <v>0</v>
      </c>
      <c r="AC225" s="302">
        <v>0</v>
      </c>
      <c r="AD225" s="302">
        <v>0</v>
      </c>
      <c r="AE225" s="302">
        <v>0</v>
      </c>
      <c r="AF225" s="302">
        <v>0</v>
      </c>
      <c r="AG225" s="302">
        <v>0</v>
      </c>
      <c r="AH225" s="302">
        <v>0</v>
      </c>
      <c r="AI225" s="302">
        <v>0</v>
      </c>
      <c r="AJ225" s="302">
        <v>0</v>
      </c>
      <c r="AK225" s="302">
        <v>0</v>
      </c>
      <c r="AL225" s="302">
        <v>0</v>
      </c>
      <c r="AM225" s="302">
        <v>0</v>
      </c>
      <c r="AN225" s="302">
        <v>0</v>
      </c>
      <c r="AO225" s="302">
        <v>0</v>
      </c>
      <c r="AP225" s="302">
        <v>0</v>
      </c>
      <c r="AQ225" s="302">
        <v>0</v>
      </c>
      <c r="AR225" s="302">
        <v>0</v>
      </c>
      <c r="AS225" s="302">
        <v>0</v>
      </c>
      <c r="AT225" s="302">
        <v>0</v>
      </c>
      <c r="AU225" s="302">
        <v>0</v>
      </c>
      <c r="AV225" s="302">
        <v>0</v>
      </c>
      <c r="AW225" s="302">
        <v>0</v>
      </c>
      <c r="AX225" s="302">
        <v>0</v>
      </c>
      <c r="AY225" s="302">
        <v>0</v>
      </c>
      <c r="AZ225" s="302">
        <v>0</v>
      </c>
      <c r="BA225" s="302">
        <v>0</v>
      </c>
      <c r="BB225" s="302">
        <v>0</v>
      </c>
      <c r="BC225" s="302">
        <v>0</v>
      </c>
      <c r="BD225" s="302">
        <v>0</v>
      </c>
      <c r="BE225" s="302">
        <v>0</v>
      </c>
      <c r="BF225" s="302">
        <v>0</v>
      </c>
    </row>
    <row r="226" spans="1:58">
      <c r="A226" s="304" t="s">
        <v>680</v>
      </c>
      <c r="B226" s="302">
        <v>0</v>
      </c>
      <c r="C226" s="302">
        <v>0</v>
      </c>
      <c r="D226" s="302">
        <v>0</v>
      </c>
      <c r="E226" s="302">
        <v>0</v>
      </c>
      <c r="F226" s="302">
        <v>0</v>
      </c>
      <c r="G226" s="302">
        <v>0</v>
      </c>
      <c r="H226" s="302">
        <v>0</v>
      </c>
      <c r="I226" s="302">
        <v>0</v>
      </c>
      <c r="J226" s="302">
        <v>8850991.3601140399</v>
      </c>
      <c r="K226" s="302">
        <v>0</v>
      </c>
      <c r="L226" s="302">
        <v>0</v>
      </c>
      <c r="M226" s="302">
        <v>0</v>
      </c>
      <c r="N226" s="302">
        <v>0</v>
      </c>
      <c r="O226" s="302">
        <v>0</v>
      </c>
      <c r="P226" s="302">
        <v>0</v>
      </c>
      <c r="Q226" s="302">
        <v>0</v>
      </c>
      <c r="R226" s="302">
        <v>0</v>
      </c>
      <c r="S226" s="302">
        <v>0</v>
      </c>
      <c r="T226" s="302">
        <v>0</v>
      </c>
      <c r="U226" s="302">
        <v>0</v>
      </c>
      <c r="V226" s="302">
        <v>0</v>
      </c>
      <c r="W226" s="302">
        <v>0</v>
      </c>
      <c r="X226" s="302">
        <v>0</v>
      </c>
      <c r="Y226" s="302">
        <v>0</v>
      </c>
      <c r="Z226" s="302">
        <v>0</v>
      </c>
      <c r="AA226" s="302">
        <v>0</v>
      </c>
      <c r="AB226" s="302">
        <v>0</v>
      </c>
      <c r="AC226" s="302">
        <v>0</v>
      </c>
      <c r="AD226" s="302">
        <v>0</v>
      </c>
      <c r="AE226" s="302">
        <v>0</v>
      </c>
      <c r="AF226" s="302">
        <v>0</v>
      </c>
      <c r="AG226" s="302">
        <v>0</v>
      </c>
      <c r="AH226" s="302">
        <v>0</v>
      </c>
      <c r="AI226" s="302">
        <v>0</v>
      </c>
      <c r="AJ226" s="302">
        <v>0</v>
      </c>
      <c r="AK226" s="302">
        <v>0</v>
      </c>
      <c r="AL226" s="302">
        <v>0</v>
      </c>
      <c r="AM226" s="302">
        <v>0</v>
      </c>
      <c r="AN226" s="302">
        <v>0</v>
      </c>
      <c r="AO226" s="302">
        <v>0</v>
      </c>
      <c r="AP226" s="302">
        <v>0</v>
      </c>
      <c r="AQ226" s="302">
        <v>0</v>
      </c>
      <c r="AR226" s="302">
        <v>0</v>
      </c>
      <c r="AS226" s="302">
        <v>0</v>
      </c>
      <c r="AT226" s="302">
        <v>0</v>
      </c>
      <c r="AU226" s="302">
        <v>0</v>
      </c>
      <c r="AV226" s="302">
        <v>0</v>
      </c>
      <c r="AW226" s="302">
        <v>0</v>
      </c>
      <c r="AX226" s="302">
        <v>0</v>
      </c>
      <c r="AY226" s="302">
        <v>0</v>
      </c>
      <c r="AZ226" s="302">
        <v>0</v>
      </c>
      <c r="BA226" s="302">
        <v>0</v>
      </c>
      <c r="BB226" s="302">
        <v>0</v>
      </c>
      <c r="BC226" s="302">
        <v>0</v>
      </c>
      <c r="BD226" s="302">
        <v>0</v>
      </c>
      <c r="BE226" s="302">
        <v>0</v>
      </c>
      <c r="BF226" s="302">
        <v>0</v>
      </c>
    </row>
    <row r="227" spans="1:58">
      <c r="A227" s="304" t="s">
        <v>737</v>
      </c>
      <c r="B227" s="302">
        <v>0</v>
      </c>
      <c r="C227" s="302">
        <v>0</v>
      </c>
      <c r="D227" s="302">
        <v>0</v>
      </c>
      <c r="E227" s="302">
        <v>0</v>
      </c>
      <c r="F227" s="302">
        <v>0</v>
      </c>
      <c r="G227" s="302">
        <v>0</v>
      </c>
      <c r="H227" s="302">
        <v>0</v>
      </c>
      <c r="I227" s="302">
        <v>0</v>
      </c>
      <c r="J227" s="302">
        <v>0</v>
      </c>
      <c r="K227" s="302">
        <v>0</v>
      </c>
      <c r="L227" s="302">
        <v>66251.174567632304</v>
      </c>
      <c r="M227" s="302">
        <v>0</v>
      </c>
      <c r="N227" s="302">
        <v>0</v>
      </c>
      <c r="O227" s="302">
        <v>0</v>
      </c>
      <c r="P227" s="302">
        <v>0</v>
      </c>
      <c r="Q227" s="302">
        <v>0</v>
      </c>
      <c r="R227" s="302">
        <v>0</v>
      </c>
      <c r="S227" s="302">
        <v>0</v>
      </c>
      <c r="T227" s="302">
        <v>0</v>
      </c>
      <c r="U227" s="302">
        <v>0</v>
      </c>
      <c r="V227" s="302">
        <v>0</v>
      </c>
      <c r="W227" s="302">
        <v>0</v>
      </c>
      <c r="X227" s="302">
        <v>0</v>
      </c>
      <c r="Y227" s="302">
        <v>0</v>
      </c>
      <c r="Z227" s="302">
        <v>0</v>
      </c>
      <c r="AA227" s="302">
        <v>0</v>
      </c>
      <c r="AB227" s="302">
        <v>0</v>
      </c>
      <c r="AC227" s="302">
        <v>0</v>
      </c>
      <c r="AD227" s="302">
        <v>0</v>
      </c>
      <c r="AE227" s="302">
        <v>0</v>
      </c>
      <c r="AF227" s="302">
        <v>0</v>
      </c>
      <c r="AG227" s="302">
        <v>0</v>
      </c>
      <c r="AH227" s="302">
        <v>0</v>
      </c>
      <c r="AI227" s="302">
        <v>0</v>
      </c>
      <c r="AJ227" s="302">
        <v>0</v>
      </c>
      <c r="AK227" s="302">
        <v>0</v>
      </c>
      <c r="AL227" s="302">
        <v>0</v>
      </c>
      <c r="AM227" s="302">
        <v>0</v>
      </c>
      <c r="AN227" s="302">
        <v>0</v>
      </c>
      <c r="AO227" s="302">
        <v>0</v>
      </c>
      <c r="AP227" s="302">
        <v>0</v>
      </c>
      <c r="AQ227" s="302">
        <v>0</v>
      </c>
      <c r="AR227" s="302">
        <v>0</v>
      </c>
      <c r="AS227" s="302">
        <v>0</v>
      </c>
      <c r="AT227" s="302">
        <v>0</v>
      </c>
      <c r="AU227" s="302">
        <v>0</v>
      </c>
      <c r="AV227" s="302">
        <v>0</v>
      </c>
      <c r="AW227" s="302">
        <v>0</v>
      </c>
      <c r="AX227" s="302">
        <v>0</v>
      </c>
      <c r="AY227" s="302">
        <v>0</v>
      </c>
      <c r="AZ227" s="302">
        <v>0</v>
      </c>
      <c r="BA227" s="302">
        <v>0</v>
      </c>
      <c r="BB227" s="302">
        <v>0</v>
      </c>
      <c r="BC227" s="302">
        <v>0</v>
      </c>
      <c r="BD227" s="302">
        <v>0</v>
      </c>
      <c r="BE227" s="302">
        <v>0</v>
      </c>
      <c r="BF227" s="302">
        <v>0</v>
      </c>
    </row>
    <row r="228" spans="1:58">
      <c r="A228" s="304" t="s">
        <v>681</v>
      </c>
      <c r="B228" s="302">
        <v>0</v>
      </c>
      <c r="C228" s="302">
        <v>0</v>
      </c>
      <c r="D228" s="302">
        <v>0</v>
      </c>
      <c r="E228" s="302">
        <v>0</v>
      </c>
      <c r="F228" s="302">
        <v>0</v>
      </c>
      <c r="G228" s="302">
        <v>0</v>
      </c>
      <c r="H228" s="302">
        <v>0</v>
      </c>
      <c r="I228" s="302">
        <v>0</v>
      </c>
      <c r="J228" s="302">
        <v>0</v>
      </c>
      <c r="K228" s="302">
        <v>0</v>
      </c>
      <c r="L228" s="302">
        <v>0</v>
      </c>
      <c r="M228" s="302">
        <v>29146.460466184501</v>
      </c>
      <c r="N228" s="302">
        <v>0</v>
      </c>
      <c r="O228" s="302">
        <v>0</v>
      </c>
      <c r="P228" s="302">
        <v>0</v>
      </c>
      <c r="Q228" s="302">
        <v>0</v>
      </c>
      <c r="R228" s="302">
        <v>0</v>
      </c>
      <c r="S228" s="302">
        <v>0</v>
      </c>
      <c r="T228" s="302">
        <v>0</v>
      </c>
      <c r="U228" s="302">
        <v>0</v>
      </c>
      <c r="V228" s="302">
        <v>0</v>
      </c>
      <c r="W228" s="302">
        <v>0</v>
      </c>
      <c r="X228" s="302">
        <v>0</v>
      </c>
      <c r="Y228" s="302">
        <v>0</v>
      </c>
      <c r="Z228" s="302">
        <v>0</v>
      </c>
      <c r="AA228" s="302">
        <v>0</v>
      </c>
      <c r="AB228" s="302">
        <v>0</v>
      </c>
      <c r="AC228" s="302">
        <v>0</v>
      </c>
      <c r="AD228" s="302">
        <v>0</v>
      </c>
      <c r="AE228" s="302">
        <v>0</v>
      </c>
      <c r="AF228" s="302">
        <v>0</v>
      </c>
      <c r="AG228" s="302">
        <v>0</v>
      </c>
      <c r="AH228" s="302">
        <v>0</v>
      </c>
      <c r="AI228" s="302">
        <v>0</v>
      </c>
      <c r="AJ228" s="302">
        <v>0</v>
      </c>
      <c r="AK228" s="302">
        <v>0</v>
      </c>
      <c r="AL228" s="302">
        <v>0</v>
      </c>
      <c r="AM228" s="302">
        <v>0</v>
      </c>
      <c r="AN228" s="302">
        <v>0</v>
      </c>
      <c r="AO228" s="302">
        <v>0</v>
      </c>
      <c r="AP228" s="302">
        <v>0</v>
      </c>
      <c r="AQ228" s="302">
        <v>0</v>
      </c>
      <c r="AR228" s="302">
        <v>0</v>
      </c>
      <c r="AS228" s="302">
        <v>0</v>
      </c>
      <c r="AT228" s="302">
        <v>0</v>
      </c>
      <c r="AU228" s="302">
        <v>0</v>
      </c>
      <c r="AV228" s="302">
        <v>0</v>
      </c>
      <c r="AW228" s="302">
        <v>0</v>
      </c>
      <c r="AX228" s="302">
        <v>0</v>
      </c>
      <c r="AY228" s="302">
        <v>0</v>
      </c>
      <c r="AZ228" s="302">
        <v>0</v>
      </c>
      <c r="BA228" s="302">
        <v>0</v>
      </c>
      <c r="BB228" s="302">
        <v>0</v>
      </c>
      <c r="BC228" s="302">
        <v>0</v>
      </c>
      <c r="BD228" s="302">
        <v>0</v>
      </c>
      <c r="BE228" s="302">
        <v>0</v>
      </c>
      <c r="BF228" s="302">
        <v>0</v>
      </c>
    </row>
    <row r="229" spans="1:58">
      <c r="A229" s="304" t="s">
        <v>738</v>
      </c>
      <c r="B229" s="302">
        <v>0</v>
      </c>
      <c r="C229" s="302">
        <v>0</v>
      </c>
      <c r="D229" s="302">
        <v>0</v>
      </c>
      <c r="E229" s="302">
        <v>0</v>
      </c>
      <c r="F229" s="302">
        <v>0</v>
      </c>
      <c r="G229" s="302">
        <v>0</v>
      </c>
      <c r="H229" s="302">
        <v>0</v>
      </c>
      <c r="I229" s="302">
        <v>0</v>
      </c>
      <c r="J229" s="302">
        <v>0</v>
      </c>
      <c r="K229" s="302">
        <v>0</v>
      </c>
      <c r="L229" s="302">
        <v>0</v>
      </c>
      <c r="M229" s="302">
        <v>0</v>
      </c>
      <c r="N229" s="302">
        <v>0</v>
      </c>
      <c r="O229" s="302">
        <v>0</v>
      </c>
      <c r="P229" s="302">
        <v>0</v>
      </c>
      <c r="Q229" s="302">
        <v>0</v>
      </c>
      <c r="R229" s="302">
        <v>0</v>
      </c>
      <c r="S229" s="302">
        <v>290.15291867903898</v>
      </c>
      <c r="T229" s="302">
        <v>0</v>
      </c>
      <c r="U229" s="302">
        <v>0</v>
      </c>
      <c r="V229" s="302">
        <v>0</v>
      </c>
      <c r="W229" s="302">
        <v>0</v>
      </c>
      <c r="X229" s="302">
        <v>0</v>
      </c>
      <c r="Y229" s="302">
        <v>0</v>
      </c>
      <c r="Z229" s="302">
        <v>0</v>
      </c>
      <c r="AA229" s="302">
        <v>0</v>
      </c>
      <c r="AB229" s="302">
        <v>0</v>
      </c>
      <c r="AC229" s="302">
        <v>0</v>
      </c>
      <c r="AD229" s="302">
        <v>0</v>
      </c>
      <c r="AE229" s="302">
        <v>0</v>
      </c>
      <c r="AF229" s="302">
        <v>0</v>
      </c>
      <c r="AG229" s="302">
        <v>0</v>
      </c>
      <c r="AH229" s="302">
        <v>0</v>
      </c>
      <c r="AI229" s="302">
        <v>0</v>
      </c>
      <c r="AJ229" s="302">
        <v>0</v>
      </c>
      <c r="AK229" s="302">
        <v>0</v>
      </c>
      <c r="AL229" s="302">
        <v>0</v>
      </c>
      <c r="AM229" s="302">
        <v>0</v>
      </c>
      <c r="AN229" s="302">
        <v>0</v>
      </c>
      <c r="AO229" s="302">
        <v>0</v>
      </c>
      <c r="AP229" s="302">
        <v>0</v>
      </c>
      <c r="AQ229" s="302">
        <v>0</v>
      </c>
      <c r="AR229" s="302">
        <v>0</v>
      </c>
      <c r="AS229" s="302">
        <v>0</v>
      </c>
      <c r="AT229" s="302">
        <v>0</v>
      </c>
      <c r="AU229" s="302">
        <v>0</v>
      </c>
      <c r="AV229" s="302">
        <v>0</v>
      </c>
      <c r="AW229" s="302">
        <v>0</v>
      </c>
      <c r="AX229" s="302">
        <v>0</v>
      </c>
      <c r="AY229" s="302">
        <v>0</v>
      </c>
      <c r="AZ229" s="302">
        <v>0</v>
      </c>
      <c r="BA229" s="302">
        <v>0</v>
      </c>
      <c r="BB229" s="302">
        <v>0</v>
      </c>
      <c r="BC229" s="302">
        <v>0</v>
      </c>
      <c r="BD229" s="302">
        <v>0</v>
      </c>
      <c r="BE229" s="302">
        <v>0</v>
      </c>
      <c r="BF229" s="302">
        <v>0</v>
      </c>
    </row>
    <row r="230" spans="1:58">
      <c r="A230" s="304" t="s">
        <v>739</v>
      </c>
      <c r="B230" s="302">
        <v>0</v>
      </c>
      <c r="C230" s="302">
        <v>0</v>
      </c>
      <c r="D230" s="302">
        <v>0</v>
      </c>
      <c r="E230" s="302">
        <v>0</v>
      </c>
      <c r="F230" s="302">
        <v>0</v>
      </c>
      <c r="G230" s="302">
        <v>0</v>
      </c>
      <c r="H230" s="302">
        <v>0</v>
      </c>
      <c r="I230" s="302">
        <v>0</v>
      </c>
      <c r="J230" s="302">
        <v>0</v>
      </c>
      <c r="K230" s="302">
        <v>0</v>
      </c>
      <c r="L230" s="302">
        <v>0</v>
      </c>
      <c r="M230" s="302">
        <v>0</v>
      </c>
      <c r="N230" s="302">
        <v>0</v>
      </c>
      <c r="O230" s="302">
        <v>0</v>
      </c>
      <c r="P230" s="302">
        <v>0</v>
      </c>
      <c r="Q230" s="302">
        <v>0</v>
      </c>
      <c r="R230" s="302">
        <v>0</v>
      </c>
      <c r="S230" s="302">
        <v>0</v>
      </c>
      <c r="T230" s="302">
        <v>0</v>
      </c>
      <c r="U230" s="302">
        <v>0</v>
      </c>
      <c r="V230" s="302">
        <v>0</v>
      </c>
      <c r="W230" s="302">
        <v>0</v>
      </c>
      <c r="X230" s="302">
        <v>4830.4442158522497</v>
      </c>
      <c r="Y230" s="302">
        <v>0</v>
      </c>
      <c r="Z230" s="302">
        <v>0</v>
      </c>
      <c r="AA230" s="302">
        <v>0</v>
      </c>
      <c r="AB230" s="302">
        <v>0</v>
      </c>
      <c r="AC230" s="302">
        <v>0</v>
      </c>
      <c r="AD230" s="302">
        <v>0</v>
      </c>
      <c r="AE230" s="302">
        <v>0</v>
      </c>
      <c r="AF230" s="302">
        <v>0</v>
      </c>
      <c r="AG230" s="302">
        <v>0</v>
      </c>
      <c r="AH230" s="302">
        <v>0</v>
      </c>
      <c r="AI230" s="302">
        <v>0</v>
      </c>
      <c r="AJ230" s="302">
        <v>0</v>
      </c>
      <c r="AK230" s="302">
        <v>0</v>
      </c>
      <c r="AL230" s="302">
        <v>0</v>
      </c>
      <c r="AM230" s="302">
        <v>0</v>
      </c>
      <c r="AN230" s="302">
        <v>0</v>
      </c>
      <c r="AO230" s="302">
        <v>0</v>
      </c>
      <c r="AP230" s="302">
        <v>0</v>
      </c>
      <c r="AQ230" s="302">
        <v>0</v>
      </c>
      <c r="AR230" s="302">
        <v>0</v>
      </c>
      <c r="AS230" s="302">
        <v>0</v>
      </c>
      <c r="AT230" s="302">
        <v>0</v>
      </c>
      <c r="AU230" s="302">
        <v>0</v>
      </c>
      <c r="AV230" s="302">
        <v>0</v>
      </c>
      <c r="AW230" s="302">
        <v>0</v>
      </c>
      <c r="AX230" s="302">
        <v>0</v>
      </c>
      <c r="AY230" s="302">
        <v>0</v>
      </c>
      <c r="AZ230" s="302">
        <v>0</v>
      </c>
      <c r="BA230" s="302">
        <v>0</v>
      </c>
      <c r="BB230" s="302">
        <v>0</v>
      </c>
      <c r="BC230" s="302">
        <v>0</v>
      </c>
      <c r="BD230" s="302">
        <v>0</v>
      </c>
      <c r="BE230" s="302">
        <v>0</v>
      </c>
      <c r="BF230" s="302">
        <v>0</v>
      </c>
    </row>
    <row r="231" spans="1:58">
      <c r="A231" s="304" t="s">
        <v>678</v>
      </c>
      <c r="B231" s="302">
        <v>0</v>
      </c>
      <c r="C231" s="302">
        <v>0</v>
      </c>
      <c r="D231" s="302">
        <v>0</v>
      </c>
      <c r="E231" s="302">
        <v>0</v>
      </c>
      <c r="F231" s="302">
        <v>0</v>
      </c>
      <c r="G231" s="302">
        <v>0</v>
      </c>
      <c r="H231" s="302">
        <v>0</v>
      </c>
      <c r="I231" s="302">
        <v>0</v>
      </c>
      <c r="J231" s="302">
        <v>0</v>
      </c>
      <c r="K231" s="302">
        <v>0</v>
      </c>
      <c r="L231" s="302">
        <v>0</v>
      </c>
      <c r="M231" s="302">
        <v>0</v>
      </c>
      <c r="N231" s="302">
        <v>0</v>
      </c>
      <c r="O231" s="302">
        <v>0</v>
      </c>
      <c r="P231" s="302">
        <v>0</v>
      </c>
      <c r="Q231" s="302">
        <v>0</v>
      </c>
      <c r="R231" s="302">
        <v>0</v>
      </c>
      <c r="S231" s="302">
        <v>0</v>
      </c>
      <c r="T231" s="302">
        <v>0</v>
      </c>
      <c r="U231" s="302">
        <v>0</v>
      </c>
      <c r="V231" s="302">
        <v>0</v>
      </c>
      <c r="W231" s="302">
        <v>0</v>
      </c>
      <c r="X231" s="302">
        <v>0</v>
      </c>
      <c r="Y231" s="302">
        <v>0</v>
      </c>
      <c r="Z231" s="302">
        <v>0</v>
      </c>
      <c r="AA231" s="302">
        <v>0</v>
      </c>
      <c r="AB231" s="302">
        <v>108184.85967288</v>
      </c>
      <c r="AC231" s="302">
        <v>0</v>
      </c>
      <c r="AD231" s="302">
        <v>0</v>
      </c>
      <c r="AE231" s="302">
        <v>0</v>
      </c>
      <c r="AF231" s="302">
        <v>0</v>
      </c>
      <c r="AG231" s="302">
        <v>0</v>
      </c>
      <c r="AH231" s="302">
        <v>0</v>
      </c>
      <c r="AI231" s="302">
        <v>0</v>
      </c>
      <c r="AJ231" s="302">
        <v>0</v>
      </c>
      <c r="AK231" s="302">
        <v>0</v>
      </c>
      <c r="AL231" s="302">
        <v>0</v>
      </c>
      <c r="AM231" s="302">
        <v>0</v>
      </c>
      <c r="AN231" s="302">
        <v>0</v>
      </c>
      <c r="AO231" s="302">
        <v>0</v>
      </c>
      <c r="AP231" s="302">
        <v>0</v>
      </c>
      <c r="AQ231" s="302">
        <v>0</v>
      </c>
      <c r="AR231" s="302">
        <v>0</v>
      </c>
      <c r="AS231" s="302">
        <v>0</v>
      </c>
      <c r="AT231" s="302">
        <v>0</v>
      </c>
      <c r="AU231" s="302">
        <v>0</v>
      </c>
      <c r="AV231" s="302">
        <v>0</v>
      </c>
      <c r="AW231" s="302">
        <v>0</v>
      </c>
      <c r="AX231" s="302">
        <v>0</v>
      </c>
      <c r="AY231" s="302">
        <v>0</v>
      </c>
      <c r="AZ231" s="302">
        <v>0</v>
      </c>
      <c r="BA231" s="302">
        <v>0</v>
      </c>
      <c r="BB231" s="302">
        <v>0</v>
      </c>
      <c r="BC231" s="302">
        <v>0</v>
      </c>
      <c r="BD231" s="302">
        <v>0</v>
      </c>
      <c r="BE231" s="302">
        <v>0</v>
      </c>
      <c r="BF231" s="302">
        <v>0</v>
      </c>
    </row>
    <row r="232" spans="1:58">
      <c r="A232" s="304" t="s">
        <v>679</v>
      </c>
      <c r="B232" s="302">
        <v>0</v>
      </c>
      <c r="C232" s="302">
        <v>0</v>
      </c>
      <c r="D232" s="302">
        <v>0</v>
      </c>
      <c r="E232" s="302">
        <v>0</v>
      </c>
      <c r="F232" s="302">
        <v>0</v>
      </c>
      <c r="G232" s="302">
        <v>0</v>
      </c>
      <c r="H232" s="302">
        <v>0</v>
      </c>
      <c r="I232" s="302">
        <v>0</v>
      </c>
      <c r="J232" s="302">
        <v>0</v>
      </c>
      <c r="K232" s="302">
        <v>0</v>
      </c>
      <c r="L232" s="302">
        <v>0</v>
      </c>
      <c r="M232" s="302">
        <v>0</v>
      </c>
      <c r="N232" s="302">
        <v>0</v>
      </c>
      <c r="O232" s="302">
        <v>0</v>
      </c>
      <c r="P232" s="302">
        <v>0</v>
      </c>
      <c r="Q232" s="302">
        <v>0</v>
      </c>
      <c r="R232" s="302">
        <v>0</v>
      </c>
      <c r="S232" s="302">
        <v>0</v>
      </c>
      <c r="T232" s="302">
        <v>0</v>
      </c>
      <c r="U232" s="302">
        <v>0</v>
      </c>
      <c r="V232" s="302">
        <v>0</v>
      </c>
      <c r="W232" s="302">
        <v>0</v>
      </c>
      <c r="X232" s="302">
        <v>0</v>
      </c>
      <c r="Y232" s="302">
        <v>0</v>
      </c>
      <c r="Z232" s="302">
        <v>0</v>
      </c>
      <c r="AA232" s="302">
        <v>0</v>
      </c>
      <c r="AB232" s="302">
        <v>0</v>
      </c>
      <c r="AC232" s="302">
        <v>0</v>
      </c>
      <c r="AD232" s="302">
        <v>0</v>
      </c>
      <c r="AE232" s="302">
        <v>0</v>
      </c>
      <c r="AF232" s="302">
        <v>0</v>
      </c>
      <c r="AG232" s="302">
        <v>0</v>
      </c>
      <c r="AH232" s="302">
        <v>25297.051877142199</v>
      </c>
      <c r="AI232" s="302">
        <v>0</v>
      </c>
      <c r="AJ232" s="302">
        <v>0</v>
      </c>
      <c r="AK232" s="302">
        <v>0</v>
      </c>
      <c r="AL232" s="302">
        <v>0</v>
      </c>
      <c r="AM232" s="302">
        <v>0</v>
      </c>
      <c r="AN232" s="302">
        <v>0</v>
      </c>
      <c r="AO232" s="302">
        <v>0</v>
      </c>
      <c r="AP232" s="302">
        <v>0</v>
      </c>
      <c r="AQ232" s="302">
        <v>0</v>
      </c>
      <c r="AR232" s="302">
        <v>0</v>
      </c>
      <c r="AS232" s="302">
        <v>0</v>
      </c>
      <c r="AT232" s="302">
        <v>0</v>
      </c>
      <c r="AU232" s="302">
        <v>0</v>
      </c>
      <c r="AV232" s="302">
        <v>0</v>
      </c>
      <c r="AW232" s="302">
        <v>0</v>
      </c>
      <c r="AX232" s="302">
        <v>0</v>
      </c>
      <c r="AY232" s="302">
        <v>0</v>
      </c>
      <c r="AZ232" s="302">
        <v>0</v>
      </c>
      <c r="BA232" s="302">
        <v>0</v>
      </c>
      <c r="BB232" s="302">
        <v>0</v>
      </c>
      <c r="BC232" s="302">
        <v>0</v>
      </c>
      <c r="BD232" s="302">
        <v>0</v>
      </c>
      <c r="BE232" s="302">
        <v>0</v>
      </c>
      <c r="BF232" s="302">
        <v>0</v>
      </c>
    </row>
    <row r="233" spans="1:58">
      <c r="A233" s="304" t="s">
        <v>740</v>
      </c>
      <c r="B233" s="302">
        <v>0</v>
      </c>
      <c r="C233" s="302">
        <v>0</v>
      </c>
      <c r="D233" s="302">
        <v>0</v>
      </c>
      <c r="E233" s="302">
        <v>0</v>
      </c>
      <c r="F233" s="302">
        <v>0</v>
      </c>
      <c r="G233" s="302">
        <v>0</v>
      </c>
      <c r="H233" s="302">
        <v>0</v>
      </c>
      <c r="I233" s="302">
        <v>0</v>
      </c>
      <c r="J233" s="302">
        <v>0</v>
      </c>
      <c r="K233" s="302">
        <v>0</v>
      </c>
      <c r="L233" s="302">
        <v>0</v>
      </c>
      <c r="M233" s="302">
        <v>0</v>
      </c>
      <c r="N233" s="302">
        <v>0</v>
      </c>
      <c r="O233" s="302">
        <v>0</v>
      </c>
      <c r="P233" s="302">
        <v>0</v>
      </c>
      <c r="Q233" s="302">
        <v>0</v>
      </c>
      <c r="R233" s="302">
        <v>0</v>
      </c>
      <c r="S233" s="302">
        <v>0</v>
      </c>
      <c r="T233" s="302">
        <v>0</v>
      </c>
      <c r="U233" s="302">
        <v>0</v>
      </c>
      <c r="V233" s="302">
        <v>0</v>
      </c>
      <c r="W233" s="302">
        <v>0</v>
      </c>
      <c r="X233" s="302">
        <v>0</v>
      </c>
      <c r="Y233" s="302">
        <v>0</v>
      </c>
      <c r="Z233" s="302">
        <v>0</v>
      </c>
      <c r="AA233" s="302">
        <v>0</v>
      </c>
      <c r="AB233" s="302">
        <v>0</v>
      </c>
      <c r="AC233" s="302">
        <v>0</v>
      </c>
      <c r="AD233" s="302">
        <v>0</v>
      </c>
      <c r="AE233" s="302">
        <v>0</v>
      </c>
      <c r="AF233" s="302">
        <v>0</v>
      </c>
      <c r="AG233" s="302">
        <v>0</v>
      </c>
      <c r="AH233" s="302">
        <v>0</v>
      </c>
      <c r="AI233" s="302">
        <v>0</v>
      </c>
      <c r="AJ233" s="302">
        <v>0</v>
      </c>
      <c r="AK233" s="302">
        <v>0</v>
      </c>
      <c r="AL233" s="302">
        <v>0</v>
      </c>
      <c r="AM233" s="302">
        <v>0</v>
      </c>
      <c r="AN233" s="302">
        <v>668.84165319492104</v>
      </c>
      <c r="AO233" s="302">
        <v>0</v>
      </c>
      <c r="AP233" s="302">
        <v>0</v>
      </c>
      <c r="AQ233" s="302">
        <v>0</v>
      </c>
      <c r="AR233" s="302">
        <v>0</v>
      </c>
      <c r="AS233" s="302">
        <v>0</v>
      </c>
      <c r="AT233" s="302">
        <v>0</v>
      </c>
      <c r="AU233" s="302">
        <v>0</v>
      </c>
      <c r="AV233" s="302">
        <v>0</v>
      </c>
      <c r="AW233" s="302">
        <v>0</v>
      </c>
      <c r="AX233" s="302">
        <v>0</v>
      </c>
      <c r="AY233" s="302">
        <v>0</v>
      </c>
      <c r="AZ233" s="302">
        <v>0</v>
      </c>
      <c r="BA233" s="302">
        <v>0</v>
      </c>
      <c r="BB233" s="302">
        <v>0</v>
      </c>
      <c r="BC233" s="302">
        <v>0</v>
      </c>
      <c r="BD233" s="302">
        <v>0</v>
      </c>
      <c r="BE233" s="302">
        <v>0</v>
      </c>
      <c r="BF233" s="302">
        <v>0</v>
      </c>
    </row>
    <row r="234" spans="1:58">
      <c r="A234" s="304" t="s">
        <v>741</v>
      </c>
      <c r="B234" s="302">
        <v>0</v>
      </c>
      <c r="C234" s="302">
        <v>0</v>
      </c>
      <c r="D234" s="302">
        <v>0</v>
      </c>
      <c r="E234" s="302">
        <v>0</v>
      </c>
      <c r="F234" s="302">
        <v>0</v>
      </c>
      <c r="G234" s="302">
        <v>0</v>
      </c>
      <c r="H234" s="302">
        <v>0</v>
      </c>
      <c r="I234" s="302">
        <v>0</v>
      </c>
      <c r="J234" s="302">
        <v>0</v>
      </c>
      <c r="K234" s="302">
        <v>0</v>
      </c>
      <c r="L234" s="302">
        <v>0</v>
      </c>
      <c r="M234" s="302">
        <v>0</v>
      </c>
      <c r="N234" s="302">
        <v>0</v>
      </c>
      <c r="O234" s="302">
        <v>0</v>
      </c>
      <c r="P234" s="302">
        <v>0</v>
      </c>
      <c r="Q234" s="302">
        <v>0</v>
      </c>
      <c r="R234" s="302">
        <v>0</v>
      </c>
      <c r="S234" s="302">
        <v>0</v>
      </c>
      <c r="T234" s="302">
        <v>0</v>
      </c>
      <c r="U234" s="302">
        <v>0</v>
      </c>
      <c r="V234" s="302">
        <v>0</v>
      </c>
      <c r="W234" s="302">
        <v>0</v>
      </c>
      <c r="X234" s="302">
        <v>0</v>
      </c>
      <c r="Y234" s="302">
        <v>0</v>
      </c>
      <c r="Z234" s="302">
        <v>0</v>
      </c>
      <c r="AA234" s="302">
        <v>0</v>
      </c>
      <c r="AB234" s="302">
        <v>0</v>
      </c>
      <c r="AC234" s="302">
        <v>0</v>
      </c>
      <c r="AD234" s="302">
        <v>0</v>
      </c>
      <c r="AE234" s="302">
        <v>0</v>
      </c>
      <c r="AF234" s="302">
        <v>0</v>
      </c>
      <c r="AG234" s="302">
        <v>0</v>
      </c>
      <c r="AH234" s="302">
        <v>0</v>
      </c>
      <c r="AI234" s="302">
        <v>0</v>
      </c>
      <c r="AJ234" s="302">
        <v>0</v>
      </c>
      <c r="AK234" s="302">
        <v>0</v>
      </c>
      <c r="AL234" s="302">
        <v>3749358.3680556798</v>
      </c>
      <c r="AM234" s="302">
        <v>0</v>
      </c>
      <c r="AN234" s="302">
        <v>0</v>
      </c>
      <c r="AO234" s="302">
        <v>0</v>
      </c>
      <c r="AP234" s="302">
        <v>0</v>
      </c>
      <c r="AQ234" s="302">
        <v>0</v>
      </c>
      <c r="AR234" s="302">
        <v>0</v>
      </c>
      <c r="AS234" s="302">
        <v>0</v>
      </c>
      <c r="AT234" s="302">
        <v>0</v>
      </c>
      <c r="AU234" s="302">
        <v>0</v>
      </c>
      <c r="AV234" s="302">
        <v>0</v>
      </c>
      <c r="AW234" s="302">
        <v>0</v>
      </c>
      <c r="AX234" s="302">
        <v>0</v>
      </c>
      <c r="AY234" s="302">
        <v>0</v>
      </c>
      <c r="AZ234" s="302">
        <v>0</v>
      </c>
      <c r="BA234" s="302">
        <v>0</v>
      </c>
      <c r="BB234" s="302">
        <v>0</v>
      </c>
      <c r="BC234" s="302">
        <v>0</v>
      </c>
      <c r="BD234" s="302">
        <v>0</v>
      </c>
      <c r="BE234" s="302">
        <v>0</v>
      </c>
      <c r="BF234" s="302">
        <v>0</v>
      </c>
    </row>
    <row r="235" spans="1:58">
      <c r="A235" s="304" t="s">
        <v>742</v>
      </c>
      <c r="B235" s="302">
        <v>0</v>
      </c>
      <c r="C235" s="302">
        <v>0</v>
      </c>
      <c r="D235" s="302">
        <v>0</v>
      </c>
      <c r="E235" s="302">
        <v>0</v>
      </c>
      <c r="F235" s="302">
        <v>0</v>
      </c>
      <c r="G235" s="302">
        <v>0</v>
      </c>
      <c r="H235" s="302">
        <v>0</v>
      </c>
      <c r="I235" s="302">
        <v>0</v>
      </c>
      <c r="J235" s="302">
        <v>0</v>
      </c>
      <c r="K235" s="302">
        <v>0</v>
      </c>
      <c r="L235" s="302">
        <v>0</v>
      </c>
      <c r="M235" s="302">
        <v>0</v>
      </c>
      <c r="N235" s="302">
        <v>0</v>
      </c>
      <c r="O235" s="302">
        <v>0</v>
      </c>
      <c r="P235" s="302">
        <v>0</v>
      </c>
      <c r="Q235" s="302">
        <v>0</v>
      </c>
      <c r="R235" s="302">
        <v>0</v>
      </c>
      <c r="S235" s="302">
        <v>0</v>
      </c>
      <c r="T235" s="302">
        <v>0</v>
      </c>
      <c r="U235" s="302">
        <v>0</v>
      </c>
      <c r="V235" s="302">
        <v>0</v>
      </c>
      <c r="W235" s="302">
        <v>0</v>
      </c>
      <c r="X235" s="302">
        <v>0</v>
      </c>
      <c r="Y235" s="302">
        <v>0</v>
      </c>
      <c r="Z235" s="302">
        <v>0</v>
      </c>
      <c r="AA235" s="302">
        <v>0</v>
      </c>
      <c r="AB235" s="302">
        <v>0</v>
      </c>
      <c r="AC235" s="302">
        <v>0</v>
      </c>
      <c r="AD235" s="302">
        <v>0</v>
      </c>
      <c r="AE235" s="302">
        <v>0</v>
      </c>
      <c r="AF235" s="302">
        <v>0</v>
      </c>
      <c r="AG235" s="302">
        <v>0</v>
      </c>
      <c r="AH235" s="302">
        <v>0</v>
      </c>
      <c r="AI235" s="302">
        <v>0</v>
      </c>
      <c r="AJ235" s="302">
        <v>0</v>
      </c>
      <c r="AK235" s="302">
        <v>0</v>
      </c>
      <c r="AL235" s="302">
        <v>0</v>
      </c>
      <c r="AM235" s="302">
        <v>0</v>
      </c>
      <c r="AN235" s="302">
        <v>0</v>
      </c>
      <c r="AO235" s="302">
        <v>0</v>
      </c>
      <c r="AP235" s="302">
        <v>184686.52821315001</v>
      </c>
      <c r="AQ235" s="302">
        <v>0</v>
      </c>
      <c r="AR235" s="302">
        <v>0</v>
      </c>
      <c r="AS235" s="302">
        <v>0</v>
      </c>
      <c r="AT235" s="302">
        <v>0</v>
      </c>
      <c r="AU235" s="302">
        <v>0</v>
      </c>
      <c r="AV235" s="302">
        <v>0</v>
      </c>
      <c r="AW235" s="302">
        <v>0</v>
      </c>
      <c r="AX235" s="302">
        <v>0</v>
      </c>
      <c r="AY235" s="302">
        <v>0</v>
      </c>
      <c r="AZ235" s="302">
        <v>0</v>
      </c>
      <c r="BA235" s="302">
        <v>0</v>
      </c>
      <c r="BB235" s="302">
        <v>0</v>
      </c>
      <c r="BC235" s="302">
        <v>0</v>
      </c>
      <c r="BD235" s="302">
        <v>0</v>
      </c>
      <c r="BE235" s="302">
        <v>0</v>
      </c>
      <c r="BF235" s="302">
        <v>0</v>
      </c>
    </row>
    <row r="236" spans="1:58">
      <c r="A236" s="304" t="s">
        <v>743</v>
      </c>
      <c r="B236" s="302">
        <v>0</v>
      </c>
      <c r="C236" s="302">
        <v>0</v>
      </c>
      <c r="D236" s="302">
        <v>0</v>
      </c>
      <c r="E236" s="302">
        <v>0</v>
      </c>
      <c r="F236" s="302">
        <v>0</v>
      </c>
      <c r="G236" s="302">
        <v>0</v>
      </c>
      <c r="H236" s="302">
        <v>0</v>
      </c>
      <c r="I236" s="302">
        <v>0</v>
      </c>
      <c r="J236" s="302">
        <v>0</v>
      </c>
      <c r="K236" s="302">
        <v>0</v>
      </c>
      <c r="L236" s="302">
        <v>0</v>
      </c>
      <c r="M236" s="302">
        <v>0</v>
      </c>
      <c r="N236" s="302">
        <v>0</v>
      </c>
      <c r="O236" s="302">
        <v>0</v>
      </c>
      <c r="P236" s="302">
        <v>0</v>
      </c>
      <c r="Q236" s="302">
        <v>0</v>
      </c>
      <c r="R236" s="302">
        <v>0</v>
      </c>
      <c r="S236" s="302">
        <v>0</v>
      </c>
      <c r="T236" s="302">
        <v>0</v>
      </c>
      <c r="U236" s="302">
        <v>0</v>
      </c>
      <c r="V236" s="302">
        <v>0</v>
      </c>
      <c r="W236" s="302">
        <v>0</v>
      </c>
      <c r="X236" s="302">
        <v>0</v>
      </c>
      <c r="Y236" s="302">
        <v>0</v>
      </c>
      <c r="Z236" s="302">
        <v>0</v>
      </c>
      <c r="AA236" s="302">
        <v>0</v>
      </c>
      <c r="AB236" s="302">
        <v>0</v>
      </c>
      <c r="AC236" s="302">
        <v>0</v>
      </c>
      <c r="AD236" s="302">
        <v>0</v>
      </c>
      <c r="AE236" s="302">
        <v>0</v>
      </c>
      <c r="AF236" s="302">
        <v>0</v>
      </c>
      <c r="AG236" s="302">
        <v>0</v>
      </c>
      <c r="AH236" s="302">
        <v>0</v>
      </c>
      <c r="AI236" s="302">
        <v>0</v>
      </c>
      <c r="AJ236" s="302">
        <v>0</v>
      </c>
      <c r="AK236" s="302">
        <v>0</v>
      </c>
      <c r="AL236" s="302">
        <v>0</v>
      </c>
      <c r="AM236" s="302">
        <v>0</v>
      </c>
      <c r="AN236" s="302">
        <v>0</v>
      </c>
      <c r="AO236" s="302">
        <v>0</v>
      </c>
      <c r="AP236" s="302">
        <v>0</v>
      </c>
      <c r="AQ236" s="302">
        <v>0</v>
      </c>
      <c r="AR236" s="302">
        <v>3090735.3644190198</v>
      </c>
      <c r="AS236" s="302">
        <v>0</v>
      </c>
      <c r="AT236" s="302">
        <v>0</v>
      </c>
      <c r="AU236" s="302">
        <v>0</v>
      </c>
      <c r="AV236" s="302">
        <v>0</v>
      </c>
      <c r="AW236" s="302">
        <v>0</v>
      </c>
      <c r="AX236" s="302">
        <v>0</v>
      </c>
      <c r="AY236" s="302">
        <v>0</v>
      </c>
      <c r="AZ236" s="302">
        <v>0</v>
      </c>
      <c r="BA236" s="302">
        <v>0</v>
      </c>
      <c r="BB236" s="302">
        <v>0</v>
      </c>
      <c r="BC236" s="302">
        <v>0</v>
      </c>
      <c r="BD236" s="302">
        <v>0</v>
      </c>
      <c r="BE236" s="302">
        <v>0</v>
      </c>
      <c r="BF236" s="302">
        <v>0</v>
      </c>
    </row>
    <row r="237" spans="1:58">
      <c r="A237" s="304" t="s">
        <v>744</v>
      </c>
      <c r="B237" s="302">
        <v>0</v>
      </c>
      <c r="C237" s="302">
        <v>0</v>
      </c>
      <c r="D237" s="302">
        <v>0</v>
      </c>
      <c r="E237" s="302">
        <v>0</v>
      </c>
      <c r="F237" s="302">
        <v>0</v>
      </c>
      <c r="G237" s="302">
        <v>0</v>
      </c>
      <c r="H237" s="302">
        <v>0</v>
      </c>
      <c r="I237" s="302">
        <v>0</v>
      </c>
      <c r="J237" s="302">
        <v>0</v>
      </c>
      <c r="K237" s="302">
        <v>0</v>
      </c>
      <c r="L237" s="302">
        <v>0</v>
      </c>
      <c r="M237" s="302">
        <v>0</v>
      </c>
      <c r="N237" s="302">
        <v>0</v>
      </c>
      <c r="O237" s="302">
        <v>0</v>
      </c>
      <c r="P237" s="302">
        <v>0</v>
      </c>
      <c r="Q237" s="302">
        <v>0</v>
      </c>
      <c r="R237" s="302">
        <v>0</v>
      </c>
      <c r="S237" s="302">
        <v>0</v>
      </c>
      <c r="T237" s="302">
        <v>0</v>
      </c>
      <c r="U237" s="302">
        <v>0</v>
      </c>
      <c r="V237" s="302">
        <v>0</v>
      </c>
      <c r="W237" s="302">
        <v>0</v>
      </c>
      <c r="X237" s="302">
        <v>0</v>
      </c>
      <c r="Y237" s="302">
        <v>0</v>
      </c>
      <c r="Z237" s="302">
        <v>0</v>
      </c>
      <c r="AA237" s="302">
        <v>0</v>
      </c>
      <c r="AB237" s="302">
        <v>0</v>
      </c>
      <c r="AC237" s="302">
        <v>0</v>
      </c>
      <c r="AD237" s="302">
        <v>0</v>
      </c>
      <c r="AE237" s="302">
        <v>0</v>
      </c>
      <c r="AF237" s="302">
        <v>0</v>
      </c>
      <c r="AG237" s="302">
        <v>0</v>
      </c>
      <c r="AH237" s="302">
        <v>0</v>
      </c>
      <c r="AI237" s="302">
        <v>0</v>
      </c>
      <c r="AJ237" s="302">
        <v>0</v>
      </c>
      <c r="AK237" s="302">
        <v>0</v>
      </c>
      <c r="AL237" s="302">
        <v>0</v>
      </c>
      <c r="AM237" s="302">
        <v>0</v>
      </c>
      <c r="AN237" s="302">
        <v>0</v>
      </c>
      <c r="AO237" s="302">
        <v>0</v>
      </c>
      <c r="AP237" s="302">
        <v>0</v>
      </c>
      <c r="AQ237" s="302">
        <v>0</v>
      </c>
      <c r="AR237" s="302">
        <v>0</v>
      </c>
      <c r="AS237" s="302">
        <v>0</v>
      </c>
      <c r="AT237" s="302">
        <v>0</v>
      </c>
      <c r="AU237" s="302">
        <v>0</v>
      </c>
      <c r="AV237" s="302">
        <v>0</v>
      </c>
      <c r="AW237" s="302">
        <v>5023.7890204089899</v>
      </c>
      <c r="AX237" s="302">
        <v>0</v>
      </c>
      <c r="AY237" s="302">
        <v>0</v>
      </c>
      <c r="AZ237" s="302">
        <v>0</v>
      </c>
      <c r="BA237" s="302">
        <v>0</v>
      </c>
      <c r="BB237" s="302">
        <v>0</v>
      </c>
      <c r="BC237" s="302">
        <v>0</v>
      </c>
      <c r="BD237" s="302">
        <v>0</v>
      </c>
      <c r="BE237" s="302">
        <v>0</v>
      </c>
      <c r="BF237" s="302">
        <v>0</v>
      </c>
    </row>
    <row r="238" spans="1:58">
      <c r="A238" s="304" t="s">
        <v>745</v>
      </c>
      <c r="B238" s="302">
        <v>0</v>
      </c>
      <c r="C238" s="302">
        <v>0</v>
      </c>
      <c r="D238" s="302">
        <v>0</v>
      </c>
      <c r="E238" s="302">
        <v>0</v>
      </c>
      <c r="F238" s="302">
        <v>0</v>
      </c>
      <c r="G238" s="302">
        <v>0</v>
      </c>
      <c r="H238" s="302">
        <v>0</v>
      </c>
      <c r="I238" s="302">
        <v>0</v>
      </c>
      <c r="J238" s="302">
        <v>0</v>
      </c>
      <c r="K238" s="302">
        <v>0</v>
      </c>
      <c r="L238" s="302">
        <v>0</v>
      </c>
      <c r="M238" s="302">
        <v>0</v>
      </c>
      <c r="N238" s="302">
        <v>0</v>
      </c>
      <c r="O238" s="302">
        <v>0</v>
      </c>
      <c r="P238" s="302">
        <v>0</v>
      </c>
      <c r="Q238" s="302">
        <v>0</v>
      </c>
      <c r="R238" s="302">
        <v>0</v>
      </c>
      <c r="S238" s="302">
        <v>0</v>
      </c>
      <c r="T238" s="302">
        <v>0</v>
      </c>
      <c r="U238" s="302">
        <v>0</v>
      </c>
      <c r="V238" s="302">
        <v>0</v>
      </c>
      <c r="W238" s="302">
        <v>0</v>
      </c>
      <c r="X238" s="302">
        <v>0</v>
      </c>
      <c r="Y238" s="302">
        <v>0</v>
      </c>
      <c r="Z238" s="302">
        <v>0</v>
      </c>
      <c r="AA238" s="302">
        <v>0</v>
      </c>
      <c r="AB238" s="302">
        <v>0</v>
      </c>
      <c r="AC238" s="302">
        <v>0</v>
      </c>
      <c r="AD238" s="302">
        <v>0</v>
      </c>
      <c r="AE238" s="302">
        <v>0</v>
      </c>
      <c r="AF238" s="302">
        <v>0</v>
      </c>
      <c r="AG238" s="302">
        <v>0</v>
      </c>
      <c r="AH238" s="302">
        <v>0</v>
      </c>
      <c r="AI238" s="302">
        <v>0</v>
      </c>
      <c r="AJ238" s="302">
        <v>0</v>
      </c>
      <c r="AK238" s="302">
        <v>0</v>
      </c>
      <c r="AL238" s="302">
        <v>0</v>
      </c>
      <c r="AM238" s="302">
        <v>0</v>
      </c>
      <c r="AN238" s="302">
        <v>0</v>
      </c>
      <c r="AO238" s="302">
        <v>0</v>
      </c>
      <c r="AP238" s="302">
        <v>0</v>
      </c>
      <c r="AQ238" s="302">
        <v>0</v>
      </c>
      <c r="AR238" s="302">
        <v>0</v>
      </c>
      <c r="AS238" s="302">
        <v>0</v>
      </c>
      <c r="AT238" s="302">
        <v>0</v>
      </c>
      <c r="AU238" s="302">
        <v>0</v>
      </c>
      <c r="AV238" s="302">
        <v>0</v>
      </c>
      <c r="AW238" s="302">
        <v>0</v>
      </c>
      <c r="AX238" s="302">
        <v>0</v>
      </c>
      <c r="AY238" s="302">
        <v>0</v>
      </c>
      <c r="AZ238" s="302">
        <v>0</v>
      </c>
      <c r="BA238" s="302">
        <v>82.091627997489695</v>
      </c>
      <c r="BB238" s="302">
        <v>0</v>
      </c>
      <c r="BC238" s="302">
        <v>0</v>
      </c>
      <c r="BD238" s="302">
        <v>0</v>
      </c>
      <c r="BE238" s="302">
        <v>0</v>
      </c>
      <c r="BF238" s="302">
        <v>0</v>
      </c>
    </row>
    <row r="239" spans="1:58">
      <c r="A239" s="304" t="s">
        <v>746</v>
      </c>
      <c r="B239" s="302">
        <v>0</v>
      </c>
      <c r="C239" s="302">
        <v>0</v>
      </c>
      <c r="D239" s="302">
        <v>0</v>
      </c>
      <c r="E239" s="302">
        <v>0</v>
      </c>
      <c r="F239" s="302">
        <v>0</v>
      </c>
      <c r="G239" s="302">
        <v>0</v>
      </c>
      <c r="H239" s="302">
        <v>0</v>
      </c>
      <c r="I239" s="302">
        <v>0</v>
      </c>
      <c r="J239" s="302">
        <v>0</v>
      </c>
      <c r="K239" s="302">
        <v>0</v>
      </c>
      <c r="L239" s="302">
        <v>0</v>
      </c>
      <c r="M239" s="302">
        <v>0</v>
      </c>
      <c r="N239" s="302">
        <v>0</v>
      </c>
      <c r="O239" s="302">
        <v>0</v>
      </c>
      <c r="P239" s="302">
        <v>0</v>
      </c>
      <c r="Q239" s="302">
        <v>0</v>
      </c>
      <c r="R239" s="302">
        <v>0</v>
      </c>
      <c r="S239" s="302">
        <v>0</v>
      </c>
      <c r="T239" s="302">
        <v>0</v>
      </c>
      <c r="U239" s="302">
        <v>0</v>
      </c>
      <c r="V239" s="302">
        <v>0</v>
      </c>
      <c r="W239" s="302">
        <v>0</v>
      </c>
      <c r="X239" s="302">
        <v>0</v>
      </c>
      <c r="Y239" s="302">
        <v>0</v>
      </c>
      <c r="Z239" s="302">
        <v>0</v>
      </c>
      <c r="AA239" s="302">
        <v>0</v>
      </c>
      <c r="AB239" s="302">
        <v>0</v>
      </c>
      <c r="AC239" s="302">
        <v>0</v>
      </c>
      <c r="AD239" s="302">
        <v>0</v>
      </c>
      <c r="AE239" s="302">
        <v>0</v>
      </c>
      <c r="AF239" s="302">
        <v>0</v>
      </c>
      <c r="AG239" s="302">
        <v>0</v>
      </c>
      <c r="AH239" s="302">
        <v>0</v>
      </c>
      <c r="AI239" s="302">
        <v>0</v>
      </c>
      <c r="AJ239" s="302">
        <v>0</v>
      </c>
      <c r="AK239" s="302">
        <v>0</v>
      </c>
      <c r="AL239" s="302">
        <v>0</v>
      </c>
      <c r="AM239" s="302">
        <v>0</v>
      </c>
      <c r="AN239" s="302">
        <v>0</v>
      </c>
      <c r="AO239" s="302">
        <v>0</v>
      </c>
      <c r="AP239" s="302">
        <v>0</v>
      </c>
      <c r="AQ239" s="302">
        <v>0</v>
      </c>
      <c r="AR239" s="302">
        <v>0</v>
      </c>
      <c r="AS239" s="302">
        <v>0</v>
      </c>
      <c r="AT239" s="302">
        <v>0</v>
      </c>
      <c r="AU239" s="302">
        <v>0</v>
      </c>
      <c r="AV239" s="302">
        <v>0</v>
      </c>
      <c r="AW239" s="302">
        <v>0</v>
      </c>
      <c r="AX239" s="302">
        <v>0</v>
      </c>
      <c r="AY239" s="302">
        <v>0</v>
      </c>
      <c r="AZ239" s="302">
        <v>0</v>
      </c>
      <c r="BA239" s="302">
        <v>0</v>
      </c>
      <c r="BB239" s="302">
        <v>0</v>
      </c>
      <c r="BC239" s="302">
        <v>0</v>
      </c>
      <c r="BD239" s="302">
        <v>0</v>
      </c>
      <c r="BE239" s="302">
        <v>0</v>
      </c>
      <c r="BF239" s="302">
        <v>43.206119998678503</v>
      </c>
    </row>
    <row r="240" spans="1:58">
      <c r="A240" s="304" t="s">
        <v>747</v>
      </c>
      <c r="B240" s="302">
        <v>0</v>
      </c>
      <c r="C240" s="302">
        <v>0</v>
      </c>
      <c r="D240" s="302">
        <v>0</v>
      </c>
      <c r="E240" s="302">
        <v>0</v>
      </c>
      <c r="F240" s="302">
        <v>0</v>
      </c>
      <c r="G240" s="302">
        <v>0</v>
      </c>
      <c r="H240" s="302">
        <v>0</v>
      </c>
      <c r="I240" s="302">
        <v>0</v>
      </c>
      <c r="J240" s="302">
        <v>0</v>
      </c>
      <c r="K240" s="302">
        <v>0</v>
      </c>
      <c r="L240" s="302">
        <v>0</v>
      </c>
      <c r="M240" s="302">
        <v>0</v>
      </c>
      <c r="N240" s="302">
        <v>0</v>
      </c>
      <c r="O240" s="302">
        <v>0</v>
      </c>
      <c r="P240" s="302">
        <v>0</v>
      </c>
      <c r="Q240" s="302">
        <v>0</v>
      </c>
      <c r="R240" s="302">
        <v>8889.2303268031592</v>
      </c>
      <c r="S240" s="302">
        <v>0</v>
      </c>
      <c r="T240" s="302">
        <v>0</v>
      </c>
      <c r="U240" s="302">
        <v>633.59233329487495</v>
      </c>
      <c r="V240" s="302">
        <v>0</v>
      </c>
      <c r="W240" s="302">
        <v>0</v>
      </c>
      <c r="X240" s="302">
        <v>0</v>
      </c>
      <c r="Y240" s="302">
        <v>0</v>
      </c>
      <c r="Z240" s="302">
        <v>0</v>
      </c>
      <c r="AA240" s="302">
        <v>0</v>
      </c>
      <c r="AB240" s="302">
        <v>0</v>
      </c>
      <c r="AC240" s="302">
        <v>0</v>
      </c>
      <c r="AD240" s="302">
        <v>0</v>
      </c>
      <c r="AE240" s="302">
        <v>0</v>
      </c>
      <c r="AF240" s="302">
        <v>0</v>
      </c>
      <c r="AG240" s="302">
        <v>0</v>
      </c>
      <c r="AH240" s="302">
        <v>0</v>
      </c>
      <c r="AI240" s="302">
        <v>0</v>
      </c>
      <c r="AJ240" s="302">
        <v>1.82365383204162</v>
      </c>
      <c r="AK240" s="302">
        <v>0</v>
      </c>
      <c r="AL240" s="302">
        <v>0</v>
      </c>
      <c r="AM240" s="302">
        <v>0</v>
      </c>
      <c r="AN240" s="302">
        <v>0</v>
      </c>
      <c r="AO240" s="302">
        <v>0</v>
      </c>
      <c r="AP240" s="302">
        <v>0</v>
      </c>
      <c r="AQ240" s="302">
        <v>82605.805246579795</v>
      </c>
      <c r="AR240" s="302">
        <v>0</v>
      </c>
      <c r="AS240" s="302">
        <v>0</v>
      </c>
      <c r="AT240" s="302">
        <v>0</v>
      </c>
      <c r="AU240" s="302">
        <v>0</v>
      </c>
      <c r="AV240" s="302">
        <v>0</v>
      </c>
      <c r="AW240" s="302">
        <v>0</v>
      </c>
      <c r="AX240" s="302">
        <v>0</v>
      </c>
      <c r="AY240" s="302">
        <v>0</v>
      </c>
      <c r="AZ240" s="302">
        <v>0</v>
      </c>
      <c r="BA240" s="302">
        <v>0</v>
      </c>
      <c r="BB240" s="302">
        <v>0</v>
      </c>
      <c r="BC240" s="302">
        <v>0</v>
      </c>
      <c r="BD240" s="302">
        <v>0</v>
      </c>
      <c r="BE240" s="302">
        <v>0</v>
      </c>
      <c r="BF240" s="302">
        <v>0</v>
      </c>
    </row>
    <row r="241" spans="1:58">
      <c r="A241" s="304" t="s">
        <v>748</v>
      </c>
      <c r="B241" s="302">
        <v>0</v>
      </c>
      <c r="C241" s="302">
        <v>0</v>
      </c>
      <c r="D241" s="302">
        <v>0</v>
      </c>
      <c r="E241" s="302">
        <v>0</v>
      </c>
      <c r="F241" s="302">
        <v>0</v>
      </c>
      <c r="G241" s="302">
        <v>0</v>
      </c>
      <c r="H241" s="302">
        <v>0</v>
      </c>
      <c r="I241" s="302">
        <v>0</v>
      </c>
      <c r="J241" s="302">
        <v>0</v>
      </c>
      <c r="K241" s="302">
        <v>0</v>
      </c>
      <c r="L241" s="302">
        <v>0</v>
      </c>
      <c r="M241" s="302">
        <v>0</v>
      </c>
      <c r="N241" s="302">
        <v>0</v>
      </c>
      <c r="O241" s="302">
        <v>0</v>
      </c>
      <c r="P241" s="302">
        <v>0</v>
      </c>
      <c r="Q241" s="302">
        <v>0</v>
      </c>
      <c r="R241" s="302">
        <v>633.060913481537</v>
      </c>
      <c r="S241" s="302">
        <v>0</v>
      </c>
      <c r="T241" s="302">
        <v>0</v>
      </c>
      <c r="U241" s="302">
        <v>0</v>
      </c>
      <c r="V241" s="302">
        <v>0</v>
      </c>
      <c r="W241" s="302">
        <v>0</v>
      </c>
      <c r="X241" s="302">
        <v>0</v>
      </c>
      <c r="Y241" s="302">
        <v>0</v>
      </c>
      <c r="Z241" s="302">
        <v>0</v>
      </c>
      <c r="AA241" s="302">
        <v>0</v>
      </c>
      <c r="AB241" s="302">
        <v>0</v>
      </c>
      <c r="AC241" s="302">
        <v>0</v>
      </c>
      <c r="AD241" s="302">
        <v>0</v>
      </c>
      <c r="AE241" s="302">
        <v>0</v>
      </c>
      <c r="AF241" s="302">
        <v>0</v>
      </c>
      <c r="AG241" s="302">
        <v>0</v>
      </c>
      <c r="AH241" s="302">
        <v>0</v>
      </c>
      <c r="AI241" s="302">
        <v>0</v>
      </c>
      <c r="AJ241" s="302">
        <v>0</v>
      </c>
      <c r="AK241" s="302">
        <v>0</v>
      </c>
      <c r="AL241" s="302">
        <v>0</v>
      </c>
      <c r="AM241" s="302">
        <v>0</v>
      </c>
      <c r="AN241" s="302">
        <v>0</v>
      </c>
      <c r="AO241" s="302">
        <v>0</v>
      </c>
      <c r="AP241" s="302">
        <v>0</v>
      </c>
      <c r="AQ241" s="302">
        <v>0</v>
      </c>
      <c r="AR241" s="302">
        <v>0</v>
      </c>
      <c r="AS241" s="302">
        <v>0</v>
      </c>
      <c r="AT241" s="302">
        <v>0</v>
      </c>
      <c r="AU241" s="302">
        <v>0</v>
      </c>
      <c r="AV241" s="302">
        <v>0</v>
      </c>
      <c r="AW241" s="302">
        <v>0</v>
      </c>
      <c r="AX241" s="302">
        <v>0</v>
      </c>
      <c r="AY241" s="302">
        <v>0</v>
      </c>
      <c r="AZ241" s="302">
        <v>0</v>
      </c>
      <c r="BA241" s="302">
        <v>0</v>
      </c>
      <c r="BB241" s="302">
        <v>0</v>
      </c>
      <c r="BC241" s="302">
        <v>0</v>
      </c>
      <c r="BD241" s="302">
        <v>0</v>
      </c>
      <c r="BE241" s="302">
        <v>0</v>
      </c>
      <c r="BF241" s="302">
        <v>0</v>
      </c>
    </row>
    <row r="242" spans="1:58">
      <c r="A242" s="304"/>
      <c r="B242" s="390" t="s">
        <v>682</v>
      </c>
      <c r="C242" s="402"/>
      <c r="D242" s="402"/>
      <c r="E242" s="402"/>
      <c r="F242" s="402"/>
      <c r="G242" s="402"/>
      <c r="H242" s="402"/>
      <c r="I242" s="402"/>
      <c r="J242" s="402"/>
      <c r="K242" s="402"/>
      <c r="L242" s="402"/>
      <c r="M242" s="402"/>
      <c r="N242" s="402"/>
      <c r="O242" s="402"/>
      <c r="P242" s="402"/>
      <c r="Q242" s="402"/>
      <c r="R242" s="402"/>
      <c r="S242" s="402"/>
      <c r="T242" s="402"/>
      <c r="U242" s="402"/>
      <c r="V242" s="402"/>
      <c r="W242" s="402"/>
      <c r="X242" s="402"/>
      <c r="Y242" s="402"/>
      <c r="Z242" s="402"/>
      <c r="AA242" s="402"/>
      <c r="AB242" s="402"/>
      <c r="AC242" s="402"/>
      <c r="AD242" s="402"/>
      <c r="AE242" s="402"/>
      <c r="AF242" s="402"/>
      <c r="AG242" s="402"/>
      <c r="AH242" s="402"/>
      <c r="AI242" s="402"/>
      <c r="AJ242" s="402"/>
      <c r="AK242" s="402"/>
      <c r="AL242" s="402"/>
      <c r="AM242" s="402"/>
      <c r="AN242" s="402"/>
      <c r="AO242" s="402"/>
      <c r="AP242" s="402"/>
      <c r="AQ242" s="402"/>
      <c r="AR242" s="402"/>
      <c r="AS242" s="402"/>
      <c r="AT242" s="402"/>
      <c r="AU242" s="402"/>
      <c r="AV242" s="402"/>
      <c r="AW242" s="402"/>
      <c r="AX242" s="402"/>
      <c r="AY242" s="402"/>
      <c r="AZ242" s="402"/>
      <c r="BA242" s="402"/>
      <c r="BB242" s="402"/>
      <c r="BC242" s="402"/>
      <c r="BD242" s="402"/>
      <c r="BE242" s="402"/>
      <c r="BF242" s="402"/>
    </row>
  </sheetData>
  <mergeCells count="8">
    <mergeCell ref="B242:BF242"/>
    <mergeCell ref="BJ181:CL181"/>
    <mergeCell ref="B214:BF214"/>
    <mergeCell ref="CP181:CQ181"/>
    <mergeCell ref="CP59:DR59"/>
    <mergeCell ref="BJ59:CL59"/>
    <mergeCell ref="BJ120:CL120"/>
    <mergeCell ref="B77"/>
  </mergeCells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FT294"/>
  <sheetViews>
    <sheetView topLeftCell="EX145" zoomScaleNormal="25" workbookViewId="0">
      <selection activeCell="AY65" sqref="AY65"/>
    </sheetView>
  </sheetViews>
  <sheetFormatPr defaultColWidth="11.5546875" defaultRowHeight="14.4"/>
  <cols>
    <col min="6" max="6" width="11.109375" customWidth="1"/>
    <col min="8" max="8" width="11.109375" customWidth="1"/>
    <col min="9" max="9" width="9.109375" customWidth="1"/>
    <col min="10" max="10" width="13.33203125" customWidth="1"/>
    <col min="11" max="11" width="22.6640625" customWidth="1"/>
    <col min="12" max="13" width="9.33203125" customWidth="1"/>
    <col min="14" max="15" width="14.44140625" customWidth="1"/>
    <col min="16" max="16" width="9.33203125" customWidth="1"/>
    <col min="17" max="17" width="13.44140625" customWidth="1"/>
    <col min="18" max="18" width="13.109375" customWidth="1"/>
    <col min="19" max="19" width="18.109375" customWidth="1"/>
    <col min="20" max="20" width="9.44140625" customWidth="1"/>
    <col min="21" max="21" width="18.109375" customWidth="1"/>
    <col min="22" max="22" width="14.77734375" customWidth="1"/>
    <col min="23" max="23" width="9.109375" customWidth="1"/>
    <col min="24" max="24" width="13.44140625" customWidth="1"/>
    <col min="25" max="25" width="12.6640625" customWidth="1"/>
    <col min="26" max="27" width="12" customWidth="1"/>
    <col min="28" max="28" width="9.44140625" customWidth="1"/>
    <col min="29" max="29" width="12" customWidth="1"/>
    <col min="30" max="30" width="9.33203125" customWidth="1"/>
    <col min="31" max="31" width="18.109375" customWidth="1"/>
    <col min="32" max="32" width="9.6640625" customWidth="1"/>
    <col min="33" max="34" width="12" customWidth="1"/>
    <col min="35" max="35" width="17.44140625" customWidth="1"/>
    <col min="36" max="36" width="13.6640625" customWidth="1"/>
    <col min="37" max="37" width="10" customWidth="1"/>
    <col min="38" max="39" width="18.33203125" customWidth="1"/>
    <col min="40" max="40" width="14.33203125" customWidth="1"/>
    <col min="41" max="41" width="18.33203125" customWidth="1"/>
    <col min="42" max="42" width="15" customWidth="1"/>
    <col min="43" max="43" width="13.109375" customWidth="1"/>
    <col min="44" max="44" width="13.6640625" customWidth="1"/>
    <col min="45" max="45" width="9" customWidth="1"/>
    <col min="46" max="46" width="10" customWidth="1"/>
    <col min="47" max="47" width="14.44140625" customWidth="1"/>
    <col min="48" max="48" width="12.6640625" customWidth="1"/>
    <col min="49" max="49" width="29.6640625" customWidth="1"/>
    <col min="50" max="52" width="10.44140625" customWidth="1"/>
    <col min="53" max="53" width="10.33203125" customWidth="1"/>
    <col min="54" max="54" width="14.77734375" customWidth="1"/>
    <col min="55" max="55" width="10.44140625" customWidth="1"/>
    <col min="56" max="56" width="15.6640625" customWidth="1"/>
    <col min="57" max="57" width="13.6640625" customWidth="1"/>
    <col min="58" max="58" width="14.77734375" customWidth="1"/>
    <col min="59" max="59" width="11.33203125" customWidth="1"/>
    <col min="60" max="60" width="13.44140625" customWidth="1"/>
    <col min="61" max="61" width="15.109375" customWidth="1"/>
    <col min="62" max="62" width="10.44140625" customWidth="1"/>
    <col min="63" max="63" width="9" customWidth="1"/>
    <col min="64" max="64" width="11.33203125" customWidth="1"/>
    <col min="65" max="65" width="11.6640625" customWidth="1"/>
    <col min="66" max="66" width="10.77734375" customWidth="1"/>
    <col min="67" max="67" width="10" customWidth="1"/>
    <col min="68" max="69" width="11.33203125" customWidth="1"/>
    <col min="70" max="71" width="10.44140625" customWidth="1"/>
    <col min="72" max="72" width="10.33203125" customWidth="1"/>
    <col min="73" max="73" width="12" customWidth="1"/>
    <col min="74" max="74" width="14.33203125" customWidth="1"/>
    <col min="75" max="75" width="14.44140625" customWidth="1"/>
    <col min="76" max="76" width="12" customWidth="1"/>
    <col min="77" max="77" width="13.33203125" customWidth="1"/>
    <col min="78" max="78" width="13.109375" customWidth="1"/>
    <col min="79" max="79" width="14.44140625" customWidth="1"/>
    <col min="80" max="80" width="10.77734375" customWidth="1"/>
    <col min="81" max="81" width="13.109375" customWidth="1"/>
    <col min="82" max="82" width="11.44140625" customWidth="1"/>
    <col min="83" max="83" width="12.44140625" customWidth="1"/>
    <col min="84" max="84" width="11.33203125" customWidth="1"/>
    <col min="85" max="85" width="12.33203125" customWidth="1"/>
    <col min="86" max="86" width="9" customWidth="1"/>
    <col min="87" max="87" width="13.6640625" customWidth="1"/>
    <col min="88" max="88" width="12.109375" customWidth="1"/>
    <col min="89" max="89" width="11.33203125" customWidth="1"/>
    <col min="90" max="90" width="15" customWidth="1"/>
    <col min="91" max="91" width="10" customWidth="1"/>
    <col min="92" max="92" width="9.77734375" customWidth="1"/>
    <col min="93" max="94" width="11.77734375" customWidth="1"/>
    <col min="95" max="95" width="12.6640625" customWidth="1"/>
    <col min="96" max="96" width="9.77734375" customWidth="1"/>
    <col min="97" max="97" width="13.6640625" customWidth="1"/>
    <col min="98" max="98" width="12.109375" customWidth="1"/>
    <col min="99" max="99" width="13.33203125" customWidth="1"/>
    <col min="100" max="100" width="9.44140625" customWidth="1"/>
    <col min="101" max="101" width="11.77734375" customWidth="1"/>
    <col min="102" max="102" width="9.33203125" customWidth="1"/>
    <col min="103" max="106" width="9" customWidth="1"/>
    <col min="108" max="118" width="9" customWidth="1"/>
    <col min="122" max="122" width="10.6640625" customWidth="1"/>
    <col min="123" max="123" width="9.109375" customWidth="1"/>
    <col min="124" max="124" width="9.33203125" customWidth="1"/>
    <col min="125" max="125" width="10.33203125" customWidth="1"/>
    <col min="126" max="126" width="9.33203125" customWidth="1"/>
    <col min="128" max="128" width="9.33203125" customWidth="1"/>
    <col min="129" max="129" width="9.77734375" customWidth="1"/>
    <col min="130" max="130" width="9.33203125" customWidth="1"/>
    <col min="131" max="131" width="11.77734375" customWidth="1"/>
    <col min="132" max="132" width="10.33203125" customWidth="1"/>
    <col min="133" max="133" width="13" customWidth="1"/>
    <col min="134" max="134" width="10.77734375" customWidth="1"/>
    <col min="135" max="137" width="14.44140625" customWidth="1"/>
    <col min="138" max="138" width="11.33203125" customWidth="1"/>
    <col min="139" max="139" width="15.109375" customWidth="1"/>
    <col min="140" max="140" width="9.44140625" customWidth="1"/>
    <col min="141" max="141" width="11.109375" customWidth="1"/>
    <col min="142" max="142" width="12.77734375" customWidth="1"/>
    <col min="143" max="143" width="13.33203125" customWidth="1"/>
    <col min="144" max="144" width="11.6640625" customWidth="1"/>
    <col min="145" max="145" width="12.77734375" customWidth="1"/>
    <col min="146" max="146" width="10.6640625" customWidth="1"/>
    <col min="147" max="147" width="11.44140625" customWidth="1"/>
    <col min="148" max="150" width="9" customWidth="1"/>
    <col min="152" max="152" width="12.109375" customWidth="1"/>
    <col min="154" max="155" width="9" customWidth="1"/>
    <col min="156" max="156" width="10.6640625" customWidth="1"/>
    <col min="157" max="163" width="9.109375" customWidth="1"/>
    <col min="164" max="164" width="13.44140625" customWidth="1"/>
    <col min="165" max="167" width="9" customWidth="1"/>
  </cols>
  <sheetData>
    <row r="1" spans="20:20">
      <c r="T1" s="3"/>
    </row>
    <row r="2" spans="20:20">
      <c r="T2" s="3"/>
    </row>
    <row r="3" spans="20:20">
      <c r="T3" s="3"/>
    </row>
    <row r="6" spans="20:20">
      <c r="T6" s="3"/>
    </row>
    <row r="7" spans="20:20">
      <c r="T7" s="3"/>
    </row>
    <row r="8" spans="20:20">
      <c r="T8" s="3"/>
    </row>
    <row r="9" spans="20:20">
      <c r="T9" s="3"/>
    </row>
    <row r="11" spans="20:20">
      <c r="T11" s="3"/>
    </row>
    <row r="12" spans="20:20">
      <c r="T12" s="3"/>
    </row>
    <row r="13" spans="20:20">
      <c r="T13" s="3"/>
    </row>
    <row r="23" spans="14:66" ht="15" customHeight="1">
      <c r="P23" s="367" t="s">
        <v>285</v>
      </c>
      <c r="Q23" s="367"/>
      <c r="AQ23" s="3" t="s">
        <v>141</v>
      </c>
      <c r="AR23" s="14" t="s">
        <v>143</v>
      </c>
      <c r="AS23" s="14" t="s">
        <v>142</v>
      </c>
      <c r="BJ23" s="3" t="s">
        <v>139</v>
      </c>
      <c r="BK23" s="14" t="s">
        <v>230</v>
      </c>
      <c r="BL23" s="14" t="s">
        <v>231</v>
      </c>
    </row>
    <row r="24" spans="14:66" ht="16.05" customHeight="1">
      <c r="P24" s="368"/>
      <c r="Q24" s="368"/>
    </row>
    <row r="25" spans="14:66" ht="16.05" customHeight="1">
      <c r="P25" s="345" t="s">
        <v>269</v>
      </c>
      <c r="Q25" s="98" t="s">
        <v>245</v>
      </c>
      <c r="AO25" s="355" t="s">
        <v>346</v>
      </c>
      <c r="AP25" s="355"/>
      <c r="AQ25" s="355"/>
      <c r="AR25" s="355"/>
      <c r="AS25" s="355"/>
      <c r="AT25" s="355"/>
      <c r="AU25" s="355"/>
      <c r="BH25" s="355" t="s">
        <v>350</v>
      </c>
      <c r="BI25" s="355"/>
      <c r="BJ25" s="355"/>
      <c r="BK25" s="355"/>
      <c r="BL25" s="355"/>
      <c r="BM25" s="355"/>
      <c r="BN25" s="355"/>
    </row>
    <row r="26" spans="14:66">
      <c r="P26" s="346"/>
      <c r="Q26" s="96" t="s">
        <v>47</v>
      </c>
      <c r="AO26" s="20" t="s">
        <v>219</v>
      </c>
      <c r="AP26" s="20" t="s">
        <v>197</v>
      </c>
      <c r="AQ26" s="20" t="s">
        <v>166</v>
      </c>
      <c r="AR26" s="20" t="s">
        <v>35</v>
      </c>
      <c r="AS26" s="20" t="s">
        <v>166</v>
      </c>
      <c r="AT26" s="9" t="s">
        <v>250</v>
      </c>
      <c r="AU26" s="20" t="s">
        <v>244</v>
      </c>
      <c r="BH26" s="20" t="s">
        <v>195</v>
      </c>
      <c r="BI26" s="20" t="s">
        <v>197</v>
      </c>
      <c r="BJ26" s="20" t="s">
        <v>166</v>
      </c>
      <c r="BK26" s="20" t="s">
        <v>166</v>
      </c>
      <c r="BL26" s="20" t="s">
        <v>166</v>
      </c>
      <c r="BM26" s="9" t="s">
        <v>250</v>
      </c>
      <c r="BN26" s="20" t="s">
        <v>244</v>
      </c>
    </row>
    <row r="27" spans="14:66" ht="16.95" customHeight="1">
      <c r="P27" s="99" t="s">
        <v>266</v>
      </c>
      <c r="Q27" s="96">
        <f>(($AG$46*($AN$46-0))/$H$72)</f>
        <v>0.7073466118498688</v>
      </c>
      <c r="AO27" s="20" t="s">
        <v>91</v>
      </c>
      <c r="AP27" s="20" t="s">
        <v>91</v>
      </c>
      <c r="AQ27" s="20" t="s">
        <v>168</v>
      </c>
      <c r="AR27" s="20" t="s">
        <v>167</v>
      </c>
      <c r="AS27" s="20" t="s">
        <v>47</v>
      </c>
      <c r="AT27" s="9" t="s">
        <v>91</v>
      </c>
      <c r="AU27" s="20" t="s">
        <v>47</v>
      </c>
      <c r="BH27" s="20" t="s">
        <v>91</v>
      </c>
      <c r="BI27" s="20" t="s">
        <v>91</v>
      </c>
      <c r="BJ27" s="20" t="s">
        <v>162</v>
      </c>
      <c r="BK27" s="20" t="s">
        <v>165</v>
      </c>
      <c r="BL27" s="20" t="s">
        <v>47</v>
      </c>
      <c r="BM27" s="9" t="s">
        <v>91</v>
      </c>
      <c r="BN27" s="20" t="s">
        <v>47</v>
      </c>
    </row>
    <row r="28" spans="14:66">
      <c r="N28" s="21"/>
      <c r="O28" s="21"/>
      <c r="P28" s="99" t="s">
        <v>489</v>
      </c>
      <c r="Q28" s="96">
        <f>V42/V59</f>
        <v>1.1491154339468286</v>
      </c>
      <c r="AO28" s="20" t="s">
        <v>196</v>
      </c>
      <c r="AP28" s="20" t="s">
        <v>223</v>
      </c>
      <c r="AQ28" s="20">
        <v>700</v>
      </c>
      <c r="AR28" s="20">
        <v>861</v>
      </c>
      <c r="AS28" s="22">
        <f>AQ28*AR28*(AD52/1000)</f>
        <v>609792.2517593482</v>
      </c>
      <c r="AT28" s="9">
        <v>1</v>
      </c>
      <c r="AU28" s="20">
        <f>AS28*AT28</f>
        <v>609792.2517593482</v>
      </c>
      <c r="BH28" s="20" t="s">
        <v>196</v>
      </c>
      <c r="BI28" s="20" t="s">
        <v>224</v>
      </c>
      <c r="BJ28" s="20">
        <v>3870</v>
      </c>
      <c r="BK28" s="20">
        <f t="shared" ref="BK28:BK34" si="0">BJ28*Btu_to_kJ</f>
        <v>4083.0822000000003</v>
      </c>
      <c r="BL28" s="22">
        <f t="shared" ref="BL28:BL34" si="1">BK28*($AW$52/1000)</f>
        <v>4131.1297309714846</v>
      </c>
      <c r="BM28" s="20">
        <v>1</v>
      </c>
      <c r="BN28" s="20">
        <f>BL28*BM28</f>
        <v>4131.1297309714846</v>
      </c>
    </row>
    <row r="29" spans="14:66" ht="16.05" customHeight="1">
      <c r="N29" s="21"/>
      <c r="O29" s="21"/>
      <c r="P29" s="100" t="s">
        <v>268</v>
      </c>
      <c r="Q29" s="97">
        <f>V46/V59</f>
        <v>0.97030529353160899</v>
      </c>
      <c r="BH29" s="20" t="s">
        <v>196</v>
      </c>
      <c r="BI29" s="20" t="s">
        <v>225</v>
      </c>
      <c r="BJ29" s="20">
        <f>2580+1940+1550</f>
        <v>6070</v>
      </c>
      <c r="BK29" s="20">
        <f t="shared" si="0"/>
        <v>6404.2142000000003</v>
      </c>
      <c r="BL29" s="22">
        <f t="shared" si="1"/>
        <v>6479.5755728674185</v>
      </c>
      <c r="BM29" s="20">
        <v>1</v>
      </c>
      <c r="BN29" s="20">
        <f t="shared" ref="BN29:BN34" si="2">BL29*BM29</f>
        <v>6479.5755728674185</v>
      </c>
    </row>
    <row r="30" spans="14:66">
      <c r="BH30" s="20" t="s">
        <v>196</v>
      </c>
      <c r="BI30" s="20" t="s">
        <v>226</v>
      </c>
      <c r="BJ30" s="20">
        <v>1550</v>
      </c>
      <c r="BK30" s="20">
        <f t="shared" si="0"/>
        <v>1635.3430000000001</v>
      </c>
      <c r="BL30" s="22">
        <f t="shared" si="1"/>
        <v>1654.5868431539536</v>
      </c>
      <c r="BM30" s="20">
        <v>1</v>
      </c>
      <c r="BN30" s="20">
        <f t="shared" si="2"/>
        <v>1654.5868431539536</v>
      </c>
    </row>
    <row r="31" spans="14:66">
      <c r="BH31" s="20" t="s">
        <v>196</v>
      </c>
      <c r="BI31" s="20" t="s">
        <v>180</v>
      </c>
      <c r="BJ31" s="20">
        <v>205</v>
      </c>
      <c r="BK31" s="20">
        <f t="shared" si="0"/>
        <v>216.28730000000002</v>
      </c>
      <c r="BL31" s="22">
        <f t="shared" si="1"/>
        <v>218.83245344939388</v>
      </c>
      <c r="BM31" s="20">
        <v>1</v>
      </c>
      <c r="BN31" s="20">
        <f t="shared" si="2"/>
        <v>218.83245344939388</v>
      </c>
    </row>
    <row r="32" spans="14:66">
      <c r="BH32" s="20" t="s">
        <v>196</v>
      </c>
      <c r="BI32" s="20" t="s">
        <v>227</v>
      </c>
      <c r="BJ32" s="20">
        <v>76</v>
      </c>
      <c r="BK32" s="20">
        <f t="shared" si="0"/>
        <v>80.184560000000005</v>
      </c>
      <c r="BL32" s="22">
        <f t="shared" si="1"/>
        <v>81.128129083677734</v>
      </c>
      <c r="BM32" s="20">
        <v>1</v>
      </c>
      <c r="BN32" s="20">
        <f t="shared" si="2"/>
        <v>81.128129083677734</v>
      </c>
    </row>
    <row r="33" spans="5:80">
      <c r="T33" s="21"/>
      <c r="U33" s="21"/>
      <c r="V33" s="21"/>
      <c r="BH33" s="20" t="s">
        <v>196</v>
      </c>
      <c r="BI33" s="20" t="s">
        <v>228</v>
      </c>
      <c r="BJ33" s="20">
        <v>38</v>
      </c>
      <c r="BK33" s="20">
        <f t="shared" si="0"/>
        <v>40.092280000000002</v>
      </c>
      <c r="BL33" s="22">
        <f t="shared" si="1"/>
        <v>40.564064541838867</v>
      </c>
      <c r="BM33" s="20">
        <v>1</v>
      </c>
      <c r="BN33" s="20">
        <f t="shared" si="2"/>
        <v>40.564064541838867</v>
      </c>
    </row>
    <row r="34" spans="5:80">
      <c r="BH34" s="20" t="s">
        <v>196</v>
      </c>
      <c r="BI34" s="20" t="s">
        <v>229</v>
      </c>
      <c r="BJ34" s="20">
        <v>19</v>
      </c>
      <c r="BK34" s="20">
        <f t="shared" si="0"/>
        <v>20.046140000000001</v>
      </c>
      <c r="BL34" s="22">
        <f t="shared" si="1"/>
        <v>20.282032270919434</v>
      </c>
      <c r="BM34" s="20">
        <v>1</v>
      </c>
      <c r="BN34" s="20">
        <f t="shared" si="2"/>
        <v>20.282032270919434</v>
      </c>
    </row>
    <row r="35" spans="5:80">
      <c r="BH35" s="20"/>
      <c r="BI35" s="20" t="s">
        <v>18</v>
      </c>
      <c r="BJ35" s="20">
        <f>SUM(BI28:BI34)</f>
        <v>0</v>
      </c>
      <c r="BK35" s="20">
        <f>SUM(BJ28:BJ34)</f>
        <v>11828</v>
      </c>
      <c r="BL35" s="20">
        <f>SUM(BK28:BK34)</f>
        <v>12479.249680000003</v>
      </c>
      <c r="BM35" s="20"/>
      <c r="BN35" s="20">
        <f>SUM(BN28:BN34)</f>
        <v>12626.098826338684</v>
      </c>
    </row>
    <row r="39" spans="5:80" ht="16.05" customHeight="1"/>
    <row r="40" spans="5:80">
      <c r="U40" s="179" t="s">
        <v>1</v>
      </c>
      <c r="V40" s="178" t="s">
        <v>0</v>
      </c>
      <c r="AN40" s="179" t="s">
        <v>1</v>
      </c>
      <c r="AO40" s="178" t="s">
        <v>0</v>
      </c>
      <c r="BG40" s="179" t="s">
        <v>1</v>
      </c>
      <c r="BH40" s="178" t="s">
        <v>0</v>
      </c>
      <c r="BZ40" s="179" t="s">
        <v>1</v>
      </c>
      <c r="CA40" s="178" t="s">
        <v>0</v>
      </c>
    </row>
    <row r="41" spans="5:80" ht="18" customHeight="1">
      <c r="J41" s="21"/>
      <c r="K41" s="21"/>
      <c r="N41" s="21"/>
      <c r="O41" s="21"/>
      <c r="Q41" s="154"/>
      <c r="R41" s="154"/>
      <c r="S41" s="21"/>
      <c r="T41" s="21"/>
      <c r="U41" s="181" t="s">
        <v>83</v>
      </c>
      <c r="V41" s="180" t="s">
        <v>87</v>
      </c>
      <c r="W41" s="21"/>
      <c r="X41" s="21"/>
      <c r="Y41" s="21" t="s">
        <v>128</v>
      </c>
      <c r="Z41" s="21"/>
      <c r="AA41" s="21"/>
      <c r="AB41" s="21"/>
      <c r="AC41" s="21"/>
      <c r="AD41" s="21"/>
      <c r="AG41" s="21"/>
      <c r="AH41" s="21"/>
      <c r="AI41" s="21"/>
      <c r="AJ41" s="21"/>
      <c r="AK41" s="21"/>
      <c r="AL41" s="21"/>
      <c r="AM41" s="21"/>
      <c r="AN41" s="181" t="s">
        <v>83</v>
      </c>
      <c r="AO41" s="180" t="s">
        <v>87</v>
      </c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181" t="s">
        <v>83</v>
      </c>
      <c r="BH41" s="180" t="s">
        <v>87</v>
      </c>
      <c r="BI41" s="21"/>
      <c r="BZ41" s="181" t="s">
        <v>83</v>
      </c>
      <c r="CA41" s="180" t="s">
        <v>87</v>
      </c>
    </row>
    <row r="42" spans="5:80" ht="16.05" customHeight="1">
      <c r="E42" s="362" t="s">
        <v>332</v>
      </c>
      <c r="F42" s="362"/>
      <c r="G42" s="362"/>
      <c r="H42" s="362"/>
      <c r="J42" s="21"/>
      <c r="K42" s="21"/>
      <c r="L42" s="21"/>
      <c r="M42" s="21"/>
      <c r="N42" s="21"/>
      <c r="O42" s="21"/>
      <c r="P42" s="154"/>
      <c r="Q42" s="154" t="s">
        <v>333</v>
      </c>
      <c r="R42" s="154"/>
      <c r="S42" s="21"/>
      <c r="T42" s="21"/>
      <c r="U42" s="177">
        <f>K52</f>
        <v>1011.7674660019052</v>
      </c>
      <c r="V42" s="175">
        <f>V52</f>
        <v>108184.8596728804</v>
      </c>
      <c r="W42" s="372" t="s">
        <v>325</v>
      </c>
      <c r="X42" s="372"/>
      <c r="Y42" s="372"/>
      <c r="Z42" s="372"/>
      <c r="AA42" s="372"/>
      <c r="AB42" s="21"/>
      <c r="AC42" s="21"/>
      <c r="AD42" s="21"/>
      <c r="AE42" s="21"/>
      <c r="AF42" s="21"/>
      <c r="AG42" s="21"/>
      <c r="AH42" s="21"/>
      <c r="AI42" s="189"/>
      <c r="AJ42" s="21" t="s">
        <v>442</v>
      </c>
      <c r="AK42" s="21"/>
      <c r="AL42" s="21"/>
      <c r="AM42" s="21"/>
      <c r="AN42" s="177">
        <f>AD52</f>
        <v>1011.7674660019052</v>
      </c>
      <c r="AO42" s="175">
        <f>AO52</f>
        <v>108184.8596728804</v>
      </c>
      <c r="AP42" s="372" t="s">
        <v>455</v>
      </c>
      <c r="AQ42" s="372"/>
      <c r="AR42" s="372"/>
      <c r="AS42" s="372"/>
      <c r="AT42" s="372"/>
      <c r="AV42" s="21"/>
      <c r="AW42" s="21"/>
      <c r="AX42" s="21"/>
      <c r="AY42" s="21"/>
      <c r="AZ42" s="21"/>
      <c r="BA42" s="21"/>
      <c r="BB42" s="21"/>
      <c r="BC42" s="21" t="s">
        <v>441</v>
      </c>
      <c r="BD42" s="21"/>
      <c r="BE42" s="21"/>
      <c r="BF42" s="21"/>
      <c r="BG42" s="177">
        <f>AW52</f>
        <v>1011.7674660019052</v>
      </c>
      <c r="BH42" s="175">
        <f>BH52</f>
        <v>108184.8596728804</v>
      </c>
      <c r="BI42" s="372" t="s">
        <v>351</v>
      </c>
      <c r="BJ42" s="372"/>
      <c r="BK42" s="372"/>
      <c r="BL42" s="372"/>
      <c r="BM42" s="372"/>
      <c r="BV42" s="14" t="s">
        <v>439</v>
      </c>
      <c r="BZ42" s="177">
        <f>BP48</f>
        <v>1000.0000000000001</v>
      </c>
      <c r="CA42" s="175">
        <f>CA48</f>
        <v>88071.706245154463</v>
      </c>
    </row>
    <row r="43" spans="5:80" ht="16.05" customHeight="1">
      <c r="E43" s="362"/>
      <c r="F43" s="362"/>
      <c r="G43" s="362"/>
      <c r="H43" s="362"/>
      <c r="J43" s="21"/>
      <c r="K43" s="21"/>
      <c r="L43" s="21"/>
      <c r="M43" s="21"/>
      <c r="N43" s="21"/>
      <c r="O43" s="21"/>
      <c r="P43" s="21"/>
      <c r="Q43" s="21"/>
      <c r="R43" s="21"/>
      <c r="S43" s="21"/>
      <c r="W43" s="378"/>
      <c r="X43" s="378"/>
      <c r="Y43" s="378"/>
      <c r="Z43" s="378"/>
      <c r="AA43" s="378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P43" s="372"/>
      <c r="AQ43" s="372"/>
      <c r="AR43" s="372"/>
      <c r="AS43" s="372"/>
      <c r="AT43" s="372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372"/>
      <c r="BJ43" s="372"/>
      <c r="BK43" s="372"/>
      <c r="BL43" s="372"/>
      <c r="BM43" s="372"/>
    </row>
    <row r="44" spans="5:80" ht="19.2" customHeight="1">
      <c r="J44" s="21"/>
      <c r="K44" s="1" t="s">
        <v>449</v>
      </c>
      <c r="L44" s="1" t="s">
        <v>450</v>
      </c>
      <c r="M44" s="1" t="s">
        <v>579</v>
      </c>
      <c r="N44" s="1" t="s">
        <v>79</v>
      </c>
      <c r="O44" s="1" t="s">
        <v>509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48</v>
      </c>
      <c r="U44" s="1" t="s">
        <v>451</v>
      </c>
      <c r="V44" s="1" t="s">
        <v>49</v>
      </c>
      <c r="W44" s="133" t="s">
        <v>339</v>
      </c>
      <c r="X44" s="191" t="s">
        <v>379</v>
      </c>
      <c r="Y44" s="127" t="s">
        <v>264</v>
      </c>
      <c r="Z44" s="376" t="s">
        <v>269</v>
      </c>
      <c r="AA44" s="98" t="s">
        <v>245</v>
      </c>
      <c r="AB44" s="21"/>
      <c r="AC44" s="21"/>
      <c r="AD44" s="1" t="s">
        <v>449</v>
      </c>
      <c r="AE44" s="1" t="s">
        <v>450</v>
      </c>
      <c r="AF44" s="1" t="s">
        <v>579</v>
      </c>
      <c r="AG44" s="1" t="s">
        <v>79</v>
      </c>
      <c r="AH44" s="1" t="s">
        <v>509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48</v>
      </c>
      <c r="AN44" s="1" t="s">
        <v>451</v>
      </c>
      <c r="AO44" s="1" t="s">
        <v>49</v>
      </c>
      <c r="AP44" s="133" t="s">
        <v>339</v>
      </c>
      <c r="AQ44" s="133" t="s">
        <v>379</v>
      </c>
      <c r="AR44" s="17" t="s">
        <v>264</v>
      </c>
      <c r="AS44" s="345" t="s">
        <v>269</v>
      </c>
      <c r="AT44" s="98" t="s">
        <v>245</v>
      </c>
      <c r="AU44" s="21"/>
      <c r="AV44" s="21"/>
      <c r="AW44" s="1" t="s">
        <v>449</v>
      </c>
      <c r="AX44" s="1" t="s">
        <v>450</v>
      </c>
      <c r="AY44" s="1" t="s">
        <v>579</v>
      </c>
      <c r="AZ44" s="1" t="s">
        <v>79</v>
      </c>
      <c r="BA44" s="1" t="s">
        <v>509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48</v>
      </c>
      <c r="BG44" s="1" t="s">
        <v>451</v>
      </c>
      <c r="BH44" s="1" t="s">
        <v>49</v>
      </c>
      <c r="BI44" s="133" t="s">
        <v>339</v>
      </c>
      <c r="BJ44" s="133" t="s">
        <v>379</v>
      </c>
      <c r="BK44" s="127" t="s">
        <v>264</v>
      </c>
      <c r="BL44" s="345" t="s">
        <v>269</v>
      </c>
      <c r="BM44" s="98" t="s">
        <v>245</v>
      </c>
      <c r="BN44" s="1"/>
      <c r="BO44" s="21"/>
      <c r="BP44" s="1" t="s">
        <v>449</v>
      </c>
      <c r="BQ44" s="1" t="s">
        <v>450</v>
      </c>
      <c r="BR44" s="1" t="s">
        <v>579</v>
      </c>
      <c r="BS44" s="1" t="s">
        <v>79</v>
      </c>
      <c r="BT44" s="1" t="s">
        <v>509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48</v>
      </c>
      <c r="BZ44" s="1" t="s">
        <v>451</v>
      </c>
      <c r="CA44" s="1" t="s">
        <v>49</v>
      </c>
      <c r="CB44" s="1"/>
    </row>
    <row r="45" spans="5:80" ht="18" customHeight="1">
      <c r="J45" s="21"/>
      <c r="K45" s="1" t="s">
        <v>82</v>
      </c>
      <c r="L45" s="21" t="s">
        <v>213</v>
      </c>
      <c r="M45" s="1" t="s">
        <v>84</v>
      </c>
      <c r="N45" s="1" t="s">
        <v>80</v>
      </c>
      <c r="O45" s="1" t="s">
        <v>89</v>
      </c>
      <c r="P45" s="1" t="s">
        <v>89</v>
      </c>
      <c r="Q45" s="1" t="s">
        <v>24</v>
      </c>
      <c r="R45" s="1" t="s">
        <v>91</v>
      </c>
      <c r="S45" s="1" t="s">
        <v>89</v>
      </c>
      <c r="T45" s="1" t="s">
        <v>89</v>
      </c>
      <c r="U45" s="1" t="s">
        <v>88</v>
      </c>
      <c r="V45" s="1" t="s">
        <v>86</v>
      </c>
      <c r="W45" s="137" t="s">
        <v>47</v>
      </c>
      <c r="X45" s="184" t="s">
        <v>47</v>
      </c>
      <c r="Y45" s="128" t="s">
        <v>83</v>
      </c>
      <c r="Z45" s="377"/>
      <c r="AA45" s="96" t="s">
        <v>77</v>
      </c>
      <c r="AB45" s="21"/>
      <c r="AC45" s="21"/>
      <c r="AD45" s="1" t="s">
        <v>82</v>
      </c>
      <c r="AE45" s="21" t="s">
        <v>213</v>
      </c>
      <c r="AF45" s="1" t="s">
        <v>84</v>
      </c>
      <c r="AG45" s="1" t="s">
        <v>80</v>
      </c>
      <c r="AH45" s="1" t="s">
        <v>89</v>
      </c>
      <c r="AI45" s="1" t="s">
        <v>89</v>
      </c>
      <c r="AJ45" s="1" t="s">
        <v>24</v>
      </c>
      <c r="AK45" s="1" t="s">
        <v>91</v>
      </c>
      <c r="AL45" s="1" t="s">
        <v>89</v>
      </c>
      <c r="AM45" s="1" t="s">
        <v>89</v>
      </c>
      <c r="AN45" s="1" t="s">
        <v>88</v>
      </c>
      <c r="AO45" s="1" t="s">
        <v>86</v>
      </c>
      <c r="AP45" s="137" t="s">
        <v>47</v>
      </c>
      <c r="AQ45" s="194" t="s">
        <v>47</v>
      </c>
      <c r="AR45" s="1" t="s">
        <v>83</v>
      </c>
      <c r="AS45" s="346"/>
      <c r="AT45" s="96" t="s">
        <v>77</v>
      </c>
      <c r="AU45" s="21"/>
      <c r="AV45" s="21"/>
      <c r="AW45" s="1" t="s">
        <v>82</v>
      </c>
      <c r="AX45" s="21" t="s">
        <v>213</v>
      </c>
      <c r="AY45" s="1" t="s">
        <v>84</v>
      </c>
      <c r="AZ45" s="1" t="s">
        <v>80</v>
      </c>
      <c r="BA45" s="1" t="s">
        <v>89</v>
      </c>
      <c r="BB45" s="1" t="s">
        <v>89</v>
      </c>
      <c r="BC45" s="1" t="s">
        <v>24</v>
      </c>
      <c r="BD45" s="1" t="s">
        <v>91</v>
      </c>
      <c r="BE45" s="1" t="s">
        <v>89</v>
      </c>
      <c r="BF45" s="1" t="s">
        <v>89</v>
      </c>
      <c r="BG45" s="1" t="s">
        <v>88</v>
      </c>
      <c r="BH45" s="1" t="s">
        <v>86</v>
      </c>
      <c r="BI45" s="137" t="s">
        <v>47</v>
      </c>
      <c r="BJ45" s="194" t="s">
        <v>47</v>
      </c>
      <c r="BK45" s="194" t="s">
        <v>83</v>
      </c>
      <c r="BL45" s="346"/>
      <c r="BM45" s="96" t="s">
        <v>77</v>
      </c>
      <c r="BN45" s="21"/>
      <c r="BO45" s="21" t="s">
        <v>40</v>
      </c>
      <c r="BP45" s="1" t="s">
        <v>82</v>
      </c>
      <c r="BQ45" s="21" t="s">
        <v>213</v>
      </c>
      <c r="BR45" s="139" t="s">
        <v>84</v>
      </c>
      <c r="BS45" s="139" t="s">
        <v>80</v>
      </c>
      <c r="BT45" s="1" t="s">
        <v>89</v>
      </c>
      <c r="BU45" s="139" t="s">
        <v>89</v>
      </c>
      <c r="BV45" s="139" t="s">
        <v>24</v>
      </c>
      <c r="BW45" s="139" t="s">
        <v>91</v>
      </c>
      <c r="BX45" s="139" t="s">
        <v>89</v>
      </c>
      <c r="BY45" s="139" t="s">
        <v>89</v>
      </c>
      <c r="BZ45" s="139" t="s">
        <v>88</v>
      </c>
      <c r="CA45" s="139" t="s">
        <v>86</v>
      </c>
      <c r="CB45" s="1"/>
    </row>
    <row r="46" spans="5:80" ht="19.05" customHeight="1">
      <c r="I46" s="343" t="s">
        <v>333</v>
      </c>
      <c r="J46" s="40" t="s">
        <v>14</v>
      </c>
      <c r="K46" s="23">
        <f>AD46</f>
        <v>881.06000000000006</v>
      </c>
      <c r="L46" s="23">
        <f>K46/$K$52</f>
        <v>0.87081274068002201</v>
      </c>
      <c r="M46" s="23">
        <f>MW_Fe2O3</f>
        <v>0.1596882</v>
      </c>
      <c r="N46" s="23">
        <f t="shared" ref="N46:N51" si="3">K46/M46</f>
        <v>5517.3769884061567</v>
      </c>
      <c r="O46" s="23">
        <f>h_Fe2O3</f>
        <v>-824.2</v>
      </c>
      <c r="P46" s="23">
        <f>b_ch_Fe2O3</f>
        <v>17.358400000000074</v>
      </c>
      <c r="Q46" s="23">
        <f t="shared" ref="Q46:Q51" si="4">N46/$AZ$52</f>
        <v>0.72360528709446914</v>
      </c>
      <c r="R46" s="23">
        <f>LN(Q46)</f>
        <v>-0.3235092188341952</v>
      </c>
      <c r="S46" s="23">
        <f t="shared" ref="S46:S51" si="5">RT0*R46</f>
        <v>-0.80151738232547465</v>
      </c>
      <c r="T46" s="23">
        <f>S46+P46</f>
        <v>16.556882617674599</v>
      </c>
      <c r="U46" s="23">
        <f>Q46*T46</f>
        <v>11.980647799951853</v>
      </c>
      <c r="V46" s="23">
        <f t="shared" ref="V46:V51" si="6">U46*$AZ$52</f>
        <v>91350.56315449973</v>
      </c>
      <c r="W46" s="196">
        <f>AO63</f>
        <v>2244.7960862667505</v>
      </c>
      <c r="X46" s="192">
        <f>SUM(V42,V59,V72) -AO63-AO42</f>
        <v>92026.437429115918</v>
      </c>
      <c r="Y46" s="129">
        <f>ROUND(U42+U59+U72-AN42-AN63, 10)</f>
        <v>0</v>
      </c>
      <c r="Z46" s="99" t="s">
        <v>489</v>
      </c>
      <c r="AA46" s="96">
        <f>($AO$42+AO63)/(V59+V72+$V$42)</f>
        <v>0.54544989987759507</v>
      </c>
      <c r="AB46" s="343" t="s">
        <v>442</v>
      </c>
      <c r="AC46" s="40" t="s">
        <v>14</v>
      </c>
      <c r="AD46" s="23">
        <f>AW46</f>
        <v>881.06000000000006</v>
      </c>
      <c r="AE46" s="23">
        <f t="shared" ref="AE46:AE51" si="7">AD46/$AW$52</f>
        <v>0.87081274068002201</v>
      </c>
      <c r="AF46" s="23">
        <f>MW_Fe2O3</f>
        <v>0.1596882</v>
      </c>
      <c r="AG46" s="23">
        <f>AD46/AF46</f>
        <v>5517.3769884061567</v>
      </c>
      <c r="AH46" s="23">
        <f>h_Fe2O3</f>
        <v>-824.2</v>
      </c>
      <c r="AI46" s="23">
        <f>b_ch_Fe2O3</f>
        <v>17.358400000000074</v>
      </c>
      <c r="AJ46" s="23">
        <f t="shared" ref="AJ46:AJ51" si="8">AG46/$AZ$52</f>
        <v>0.72360528709446914</v>
      </c>
      <c r="AK46" s="23">
        <f>LN(AJ46)</f>
        <v>-0.3235092188341952</v>
      </c>
      <c r="AL46" s="23">
        <f t="shared" ref="AL46:AL51" si="9">RT0*AK46</f>
        <v>-0.80151738232547465</v>
      </c>
      <c r="AM46" s="23">
        <f>AL46+AI46</f>
        <v>16.556882617674599</v>
      </c>
      <c r="AN46" s="23">
        <f>AJ46*AM46</f>
        <v>11.980647799951853</v>
      </c>
      <c r="AO46" s="23">
        <f t="shared" ref="AO46:AO51" si="10">AN46*$AZ$52</f>
        <v>91350.56315449973</v>
      </c>
      <c r="AP46" s="196">
        <f>0</f>
        <v>0</v>
      </c>
      <c r="AQ46" s="190">
        <f>(AO42+AU28)-BH42</f>
        <v>609792.2517593482</v>
      </c>
      <c r="AR46" s="17">
        <f>BG42-AN42</f>
        <v>0</v>
      </c>
      <c r="AS46" s="99" t="s">
        <v>489</v>
      </c>
      <c r="AT46" s="96">
        <f>BH42/(AU28+AO42)</f>
        <v>0.15068009543796188</v>
      </c>
      <c r="AU46" s="343" t="s">
        <v>441</v>
      </c>
      <c r="AV46" s="40" t="s">
        <v>14</v>
      </c>
      <c r="AW46" s="23">
        <f>BP46</f>
        <v>881.06000000000006</v>
      </c>
      <c r="AX46" s="23">
        <f t="shared" ref="AX46:AX51" si="11">AW46/$AW$52</f>
        <v>0.87081274068002201</v>
      </c>
      <c r="AY46" s="23">
        <f>MW_Fe2O3</f>
        <v>0.1596882</v>
      </c>
      <c r="AZ46" s="23">
        <f>AW46/AY46</f>
        <v>5517.3769884061567</v>
      </c>
      <c r="BA46" s="23">
        <f>h_Fe2O3</f>
        <v>-824.2</v>
      </c>
      <c r="BB46" s="23">
        <f>b_ch_Fe2O3</f>
        <v>17.358400000000074</v>
      </c>
      <c r="BC46" s="23">
        <f t="shared" ref="BC46:BC51" si="12">AZ46/$AZ$52</f>
        <v>0.72360528709446914</v>
      </c>
      <c r="BD46" s="23">
        <f>LN(BC46)</f>
        <v>-0.3235092188341952</v>
      </c>
      <c r="BE46" s="23">
        <f t="shared" ref="BE46:BE51" si="13">RT0*BD46</f>
        <v>-0.80151738232547465</v>
      </c>
      <c r="BF46" s="23">
        <f>BE46+BB46</f>
        <v>16.556882617674599</v>
      </c>
      <c r="BG46" s="23">
        <f>BC46*BF46</f>
        <v>11.980647799951853</v>
      </c>
      <c r="BH46" s="23">
        <f t="shared" ref="BH46:BH51" si="14">BG46*$AZ$52</f>
        <v>91350.56315449973</v>
      </c>
      <c r="BI46" s="196">
        <f>CA55</f>
        <v>21722.892325740406</v>
      </c>
      <c r="BJ46" s="196">
        <f>BH42+BN35-CA42-CA55</f>
        <v>11016.359928324211</v>
      </c>
      <c r="BK46" s="129">
        <f>BZ42+BZ55-BG42</f>
        <v>0</v>
      </c>
      <c r="BL46" s="99" t="s">
        <v>489</v>
      </c>
      <c r="BM46" s="96">
        <f>(CA42+CA55)/(BN35+BH42)</f>
        <v>0.90881323958376325</v>
      </c>
      <c r="BN46" s="343" t="s">
        <v>439</v>
      </c>
      <c r="BO46" s="1" t="s">
        <v>14</v>
      </c>
      <c r="BP46" s="18">
        <f>EB130</f>
        <v>881.06000000000006</v>
      </c>
      <c r="BQ46" s="18">
        <f>BP46/$BP$48</f>
        <v>0.88105999999999995</v>
      </c>
      <c r="BR46" s="14">
        <f>MW_Fe2O3</f>
        <v>0.1596882</v>
      </c>
      <c r="BS46" s="14">
        <f>BP46/BR46</f>
        <v>5517.3769884061567</v>
      </c>
      <c r="BT46" s="23">
        <f>h_Fe2O3</f>
        <v>-824.2</v>
      </c>
      <c r="BU46" s="14">
        <f>b_ch_Fe2O3</f>
        <v>17.358400000000074</v>
      </c>
      <c r="BV46" s="14">
        <f>BS46/$BS$48</f>
        <v>0.73595160775903645</v>
      </c>
      <c r="BW46" s="14">
        <f>LN(BV46)</f>
        <v>-0.30659091274230449</v>
      </c>
      <c r="BX46" s="14">
        <f>RT0*BW46</f>
        <v>-0.75960106086477674</v>
      </c>
      <c r="BY46" s="14">
        <f>BX46+BU46</f>
        <v>16.598798939135296</v>
      </c>
      <c r="BZ46" s="14">
        <f>BY46*BV46</f>
        <v>12.21591276612561</v>
      </c>
      <c r="CA46" s="14">
        <f>BZ46*$BS$48</f>
        <v>91581.831301965605</v>
      </c>
    </row>
    <row r="47" spans="5:80" ht="19.05" customHeight="1">
      <c r="I47" s="343"/>
      <c r="J47" s="1" t="s">
        <v>16</v>
      </c>
      <c r="K47" s="21">
        <f t="shared" ref="K47:K51" si="15">AD47</f>
        <v>118.94000000000001</v>
      </c>
      <c r="L47" s="21">
        <f t="shared" ref="L47:L51" si="16">K47/$K$52</f>
        <v>0.11755665604667312</v>
      </c>
      <c r="M47" s="21">
        <f>MW_SIO2</f>
        <v>6.00843E-2</v>
      </c>
      <c r="N47" s="21">
        <f t="shared" si="3"/>
        <v>1979.5520626852608</v>
      </c>
      <c r="O47" s="21">
        <f>h_SiO2</f>
        <v>-910.7</v>
      </c>
      <c r="P47" s="21">
        <f>b_ch_SiO2</f>
        <v>1.5260000000000673</v>
      </c>
      <c r="Q47" s="21">
        <f t="shared" si="4"/>
        <v>0.25961871767105915</v>
      </c>
      <c r="R47" s="21">
        <f t="shared" ref="R47:R51" si="17">LN(Q47)</f>
        <v>-1.3485411947827832</v>
      </c>
      <c r="S47" s="21">
        <f t="shared" si="5"/>
        <v>-3.3411079050403698</v>
      </c>
      <c r="T47" s="21">
        <f t="shared" ref="T47:T51" si="18">S47+P47</f>
        <v>-1.8151079050403025</v>
      </c>
      <c r="U47" s="21">
        <f t="shared" ref="U47:U51" si="19">Q47*T47</f>
        <v>-0.47123598674116596</v>
      </c>
      <c r="V47" s="21">
        <f t="shared" si="6"/>
        <v>-3593.1005974188533</v>
      </c>
      <c r="X47" s="21"/>
      <c r="Y47" s="21"/>
      <c r="Z47" s="100" t="s">
        <v>318</v>
      </c>
      <c r="AA47" s="97">
        <f>$AO$46/(V59+V72+$V$42)</f>
        <v>0.45121172554462574</v>
      </c>
      <c r="AB47" s="343"/>
      <c r="AC47" s="1" t="s">
        <v>16</v>
      </c>
      <c r="AD47" s="21">
        <f>AW47</f>
        <v>118.94000000000001</v>
      </c>
      <c r="AE47" s="21">
        <f t="shared" si="7"/>
        <v>0.11755665604667312</v>
      </c>
      <c r="AF47" s="21">
        <f>MW_SIO2</f>
        <v>6.00843E-2</v>
      </c>
      <c r="AG47" s="21">
        <f t="shared" ref="AG47:AG51" si="20">AD47/AF47</f>
        <v>1979.5520626852608</v>
      </c>
      <c r="AH47" s="21">
        <f>h_SiO2</f>
        <v>-910.7</v>
      </c>
      <c r="AI47" s="21">
        <f>b_ch_SiO2</f>
        <v>1.5260000000000673</v>
      </c>
      <c r="AJ47" s="21">
        <f t="shared" si="8"/>
        <v>0.25961871767105915</v>
      </c>
      <c r="AK47" s="21">
        <f t="shared" ref="AK47:AK51" si="21">LN(AJ47)</f>
        <v>-1.3485411947827832</v>
      </c>
      <c r="AL47" s="21">
        <f t="shared" si="9"/>
        <v>-3.3411079050403698</v>
      </c>
      <c r="AM47" s="21">
        <f t="shared" ref="AM47:AM51" si="22">AL47+AI47</f>
        <v>-1.8151079050403025</v>
      </c>
      <c r="AN47" s="21">
        <f t="shared" ref="AN47:AN51" si="23">AJ47*AM47</f>
        <v>-0.47123598674116596</v>
      </c>
      <c r="AO47" s="21">
        <f t="shared" si="10"/>
        <v>-3593.1005974188533</v>
      </c>
      <c r="AP47" s="21"/>
      <c r="AQ47" s="21"/>
      <c r="AR47" s="21"/>
      <c r="AS47" s="100" t="s">
        <v>318</v>
      </c>
      <c r="AT47" s="97">
        <f>BH46/(AU28+AO42)</f>
        <v>0.12723325256465715</v>
      </c>
      <c r="AU47" s="343"/>
      <c r="AV47" s="1" t="s">
        <v>16</v>
      </c>
      <c r="AW47" s="21">
        <f>BP47</f>
        <v>118.94000000000001</v>
      </c>
      <c r="AX47" s="21">
        <f t="shared" si="11"/>
        <v>0.11755665604667312</v>
      </c>
      <c r="AY47" s="21">
        <f>MW_SIO2</f>
        <v>6.00843E-2</v>
      </c>
      <c r="AZ47" s="21">
        <f t="shared" ref="AZ47:AZ51" si="24">AW47/AY47</f>
        <v>1979.5520626852608</v>
      </c>
      <c r="BA47" s="21">
        <f>h_SiO2</f>
        <v>-910.7</v>
      </c>
      <c r="BB47" s="21">
        <f>b_ch_SiO2</f>
        <v>1.5260000000000673</v>
      </c>
      <c r="BC47" s="21">
        <f t="shared" si="12"/>
        <v>0.25961871767105915</v>
      </c>
      <c r="BD47" s="21">
        <f t="shared" ref="BD47:BD51" si="25">LN(BC47)</f>
        <v>-1.3485411947827832</v>
      </c>
      <c r="BE47" s="21">
        <f t="shared" si="13"/>
        <v>-3.3411079050403698</v>
      </c>
      <c r="BF47" s="21">
        <f t="shared" ref="BF47:BF51" si="26">BE47+BB47</f>
        <v>-1.8151079050403025</v>
      </c>
      <c r="BG47" s="21">
        <f t="shared" ref="BG47:BG51" si="27">BC47*BF47</f>
        <v>-0.47123598674116596</v>
      </c>
      <c r="BH47" s="21">
        <f t="shared" si="14"/>
        <v>-3593.1005974188533</v>
      </c>
      <c r="BI47" s="21"/>
      <c r="BL47" s="100" t="s">
        <v>318</v>
      </c>
      <c r="BM47" s="97">
        <f>CA46/(BN35+BH42)</f>
        <v>0.75805897444773263</v>
      </c>
      <c r="BN47" s="343"/>
      <c r="BO47" s="1" t="s">
        <v>16</v>
      </c>
      <c r="BP47" s="58">
        <f>EB131</f>
        <v>118.94000000000001</v>
      </c>
      <c r="BQ47" s="58">
        <f>BP47/$BP$48</f>
        <v>0.11894</v>
      </c>
      <c r="BR47" s="58">
        <f>MW_SIO2</f>
        <v>6.00843E-2</v>
      </c>
      <c r="BS47" s="58">
        <f>BP47/BR47</f>
        <v>1979.5520626852608</v>
      </c>
      <c r="BT47" s="21">
        <f>h_SiO2</f>
        <v>-910.7</v>
      </c>
      <c r="BU47" s="58">
        <f>b_ch_SiO2</f>
        <v>1.5260000000000673</v>
      </c>
      <c r="BV47" s="58">
        <f>BS47/$BS$48</f>
        <v>0.26404839224096349</v>
      </c>
      <c r="BW47" s="58">
        <f>LN(BV47)</f>
        <v>-1.3316228886908923</v>
      </c>
      <c r="BX47" s="58">
        <f>RT0*BW47</f>
        <v>-3.2991915835796712</v>
      </c>
      <c r="BY47" s="58">
        <f>BX47+BU47</f>
        <v>-1.7731915835796039</v>
      </c>
      <c r="BZ47" s="58">
        <f>BY47*BV47</f>
        <v>-0.46820838677940246</v>
      </c>
      <c r="CA47" s="58">
        <f>BZ47*$BS$48</f>
        <v>-3510.1250568111491</v>
      </c>
    </row>
    <row r="48" spans="5:80" ht="18" customHeight="1">
      <c r="I48" s="343" t="s">
        <v>444</v>
      </c>
      <c r="J48" s="21" t="s">
        <v>243</v>
      </c>
      <c r="K48" s="21">
        <f t="shared" si="15"/>
        <v>1.249958452402667</v>
      </c>
      <c r="L48" s="21">
        <f t="shared" si="16"/>
        <v>1.2354206815346574E-3</v>
      </c>
      <c r="M48" s="21">
        <f>MW_K2O</f>
        <v>9.4196000000000002E-2</v>
      </c>
      <c r="N48" s="21">
        <f t="shared" si="3"/>
        <v>13.269761480345949</v>
      </c>
      <c r="O48" s="21">
        <f>h_K2O</f>
        <v>-284.89999999999998</v>
      </c>
      <c r="P48" s="21">
        <f>b_ch_K2O</f>
        <v>412.83199999999999</v>
      </c>
      <c r="Q48" s="21">
        <f t="shared" si="4"/>
        <v>1.7403323328889792E-3</v>
      </c>
      <c r="R48" s="21">
        <f t="shared" si="17"/>
        <v>-6.35367918807989</v>
      </c>
      <c r="S48" s="21">
        <f t="shared" si="5"/>
        <v>-15.741697653369469</v>
      </c>
      <c r="T48" s="21">
        <f t="shared" si="18"/>
        <v>397.09030234663055</v>
      </c>
      <c r="U48" s="21">
        <f t="shared" si="19"/>
        <v>0.69106909225050162</v>
      </c>
      <c r="V48" s="21">
        <f t="shared" si="6"/>
        <v>5269.2935982982444</v>
      </c>
      <c r="X48" s="21"/>
      <c r="Y48" s="21"/>
      <c r="AB48" s="343" t="s">
        <v>443</v>
      </c>
      <c r="AC48" s="21" t="s">
        <v>243</v>
      </c>
      <c r="AD48" s="21">
        <v>1.249958452402667</v>
      </c>
      <c r="AE48" s="21">
        <f t="shared" si="7"/>
        <v>1.2354206815346574E-3</v>
      </c>
      <c r="AF48" s="21">
        <f>MW_K2O</f>
        <v>9.4196000000000002E-2</v>
      </c>
      <c r="AG48" s="21">
        <f t="shared" si="20"/>
        <v>13.269761480345949</v>
      </c>
      <c r="AH48" s="21">
        <f>h_K2O</f>
        <v>-284.89999999999998</v>
      </c>
      <c r="AI48" s="21">
        <f>b_ch_K2O</f>
        <v>412.83199999999999</v>
      </c>
      <c r="AJ48" s="21">
        <f t="shared" si="8"/>
        <v>1.7403323328889792E-3</v>
      </c>
      <c r="AK48" s="21">
        <f t="shared" si="21"/>
        <v>-6.35367918807989</v>
      </c>
      <c r="AL48" s="21">
        <f t="shared" si="9"/>
        <v>-15.741697653369469</v>
      </c>
      <c r="AM48" s="21">
        <f t="shared" si="22"/>
        <v>397.09030234663055</v>
      </c>
      <c r="AN48" s="21">
        <f t="shared" si="23"/>
        <v>0.69106909225050162</v>
      </c>
      <c r="AO48" s="21">
        <f t="shared" si="10"/>
        <v>5269.2935982982444</v>
      </c>
      <c r="AP48" s="21"/>
      <c r="AQ48" s="21"/>
      <c r="AR48" s="21"/>
      <c r="AU48" s="343" t="s">
        <v>440</v>
      </c>
      <c r="AV48" s="21" t="s">
        <v>243</v>
      </c>
      <c r="AW48" s="21">
        <f>AD48</f>
        <v>1.249958452402667</v>
      </c>
      <c r="AX48" s="21">
        <f t="shared" si="11"/>
        <v>1.2354206815346574E-3</v>
      </c>
      <c r="AY48" s="21">
        <f>MW_K2O</f>
        <v>9.4196000000000002E-2</v>
      </c>
      <c r="AZ48" s="21">
        <f t="shared" si="24"/>
        <v>13.269761480345949</v>
      </c>
      <c r="BA48" s="21">
        <f>h_K2O</f>
        <v>-284.89999999999998</v>
      </c>
      <c r="BB48" s="21">
        <f>b_ch_K2O</f>
        <v>412.83199999999999</v>
      </c>
      <c r="BC48" s="21">
        <f t="shared" si="12"/>
        <v>1.7403323328889792E-3</v>
      </c>
      <c r="BD48" s="21">
        <f t="shared" si="25"/>
        <v>-6.35367918807989</v>
      </c>
      <c r="BE48" s="21">
        <f t="shared" si="13"/>
        <v>-15.741697653369469</v>
      </c>
      <c r="BF48" s="21">
        <f t="shared" si="26"/>
        <v>397.09030234663055</v>
      </c>
      <c r="BG48" s="21">
        <f t="shared" si="27"/>
        <v>0.69106909225050162</v>
      </c>
      <c r="BH48" s="21">
        <f t="shared" si="14"/>
        <v>5269.2935982982444</v>
      </c>
      <c r="BI48" s="21"/>
      <c r="BN48" s="21"/>
      <c r="BO48" s="18"/>
      <c r="BP48" s="14">
        <f>SUM(BP46:BP47)</f>
        <v>1000.0000000000001</v>
      </c>
      <c r="BR48" s="14">
        <f>SUM(BR46:BR47)</f>
        <v>0.21977250000000001</v>
      </c>
      <c r="BS48" s="14">
        <f>SUM(BS46:BS47)</f>
        <v>7496.9290510914179</v>
      </c>
      <c r="BT48" s="18">
        <f t="array" ref="BT48">SUM(BP46:BP47*BT46:BT47) / BP48</f>
        <v>-834.48831000000007</v>
      </c>
      <c r="BZ48" s="14">
        <f>SUM(BZ46:BZ47)</f>
        <v>11.747704379346208</v>
      </c>
      <c r="CA48" s="14">
        <f>SUM(CA46:CA47)</f>
        <v>88071.706245154463</v>
      </c>
    </row>
    <row r="49" spans="2:86" ht="18" customHeight="1">
      <c r="I49" s="343"/>
      <c r="J49" s="21" t="s">
        <v>237</v>
      </c>
      <c r="K49" s="21">
        <f t="shared" si="15"/>
        <v>9.9996676192213361</v>
      </c>
      <c r="L49" s="21">
        <f t="shared" si="16"/>
        <v>9.8833654522772589E-3</v>
      </c>
      <c r="M49" s="21">
        <f>MW_Al2O3</f>
        <v>0.10196127799999999</v>
      </c>
      <c r="N49" s="21">
        <f t="shared" si="3"/>
        <v>98.073188325683176</v>
      </c>
      <c r="O49" s="21">
        <f>h_Al2O3</f>
        <v>-1675.7</v>
      </c>
      <c r="P49" s="21">
        <f>b_ch_Al2O3</f>
        <v>31.875999999999976</v>
      </c>
      <c r="Q49" s="21">
        <f t="shared" si="4"/>
        <v>1.2862321669119157E-2</v>
      </c>
      <c r="R49" s="21">
        <f t="shared" si="17"/>
        <v>-4.3534530423208677</v>
      </c>
      <c r="S49" s="21">
        <f t="shared" si="5"/>
        <v>-10.785993360968996</v>
      </c>
      <c r="T49" s="21">
        <f t="shared" si="18"/>
        <v>21.090006639030982</v>
      </c>
      <c r="U49" s="21">
        <f t="shared" si="19"/>
        <v>0.2712664493950751</v>
      </c>
      <c r="V49" s="21">
        <f t="shared" si="6"/>
        <v>2068.3641928995939</v>
      </c>
      <c r="X49" s="21"/>
      <c r="Y49" s="21"/>
      <c r="Z49" s="21"/>
      <c r="AA49" s="21"/>
      <c r="AB49" s="343"/>
      <c r="AC49" s="21" t="s">
        <v>237</v>
      </c>
      <c r="AD49" s="21">
        <v>9.9996676192213361</v>
      </c>
      <c r="AE49" s="21">
        <f t="shared" si="7"/>
        <v>9.8833654522772589E-3</v>
      </c>
      <c r="AF49" s="21">
        <f>MW_Al2O3</f>
        <v>0.10196127799999999</v>
      </c>
      <c r="AG49" s="21">
        <f t="shared" si="20"/>
        <v>98.073188325683176</v>
      </c>
      <c r="AH49" s="21">
        <f>h_Al2O3</f>
        <v>-1675.7</v>
      </c>
      <c r="AI49" s="21">
        <f>b_ch_Al2O3</f>
        <v>31.875999999999976</v>
      </c>
      <c r="AJ49" s="21">
        <f t="shared" si="8"/>
        <v>1.2862321669119157E-2</v>
      </c>
      <c r="AK49" s="21">
        <f t="shared" si="21"/>
        <v>-4.3534530423208677</v>
      </c>
      <c r="AL49" s="21">
        <f t="shared" si="9"/>
        <v>-10.785993360968996</v>
      </c>
      <c r="AM49" s="21">
        <f t="shared" si="22"/>
        <v>21.090006639030982</v>
      </c>
      <c r="AN49" s="21">
        <f t="shared" si="23"/>
        <v>0.2712664493950751</v>
      </c>
      <c r="AO49" s="21">
        <f t="shared" si="10"/>
        <v>2068.3641928995939</v>
      </c>
      <c r="AP49" s="21"/>
      <c r="AQ49" s="21"/>
      <c r="AR49" s="21"/>
      <c r="AS49" s="21"/>
      <c r="AT49" s="21"/>
      <c r="AU49" s="343"/>
      <c r="AV49" s="21" t="s">
        <v>237</v>
      </c>
      <c r="AW49" s="21">
        <f>AD49</f>
        <v>9.9996676192213361</v>
      </c>
      <c r="AX49" s="21">
        <f t="shared" si="11"/>
        <v>9.8833654522772589E-3</v>
      </c>
      <c r="AY49" s="21">
        <f>MW_Al2O3</f>
        <v>0.10196127799999999</v>
      </c>
      <c r="AZ49" s="21">
        <f t="shared" si="24"/>
        <v>98.073188325683176</v>
      </c>
      <c r="BA49" s="21">
        <f>h_Al2O3</f>
        <v>-1675.7</v>
      </c>
      <c r="BB49" s="21">
        <f>b_ch_Al2O3</f>
        <v>31.875999999999976</v>
      </c>
      <c r="BC49" s="21">
        <f t="shared" si="12"/>
        <v>1.2862321669119157E-2</v>
      </c>
      <c r="BD49" s="21">
        <f t="shared" si="25"/>
        <v>-4.3534530423208677</v>
      </c>
      <c r="BE49" s="21">
        <f t="shared" si="13"/>
        <v>-10.785993360968996</v>
      </c>
      <c r="BF49" s="21">
        <f t="shared" si="26"/>
        <v>21.090006639030982</v>
      </c>
      <c r="BG49" s="21">
        <f t="shared" si="27"/>
        <v>0.2712664493950751</v>
      </c>
      <c r="BH49" s="21">
        <f t="shared" si="14"/>
        <v>2068.3641928995939</v>
      </c>
      <c r="BI49" s="21"/>
      <c r="BP49" s="1" t="s">
        <v>83</v>
      </c>
      <c r="BR49" s="14" t="s">
        <v>85</v>
      </c>
      <c r="BS49" s="14" t="s">
        <v>81</v>
      </c>
      <c r="BT49" s="1" t="s">
        <v>640</v>
      </c>
      <c r="BU49" s="21"/>
      <c r="BV49" s="21"/>
      <c r="BZ49" s="14" t="s">
        <v>90</v>
      </c>
      <c r="CA49" s="1" t="s">
        <v>87</v>
      </c>
    </row>
    <row r="50" spans="2:86">
      <c r="I50" s="343"/>
      <c r="J50" s="21" t="s">
        <v>134</v>
      </c>
      <c r="K50" s="21">
        <f t="shared" si="15"/>
        <v>0.38391581038081912</v>
      </c>
      <c r="L50" s="21">
        <f t="shared" si="16"/>
        <v>3.7945063789993045E-4</v>
      </c>
      <c r="M50" s="21">
        <f>MW_P</f>
        <v>3.0973762000000002E-2</v>
      </c>
      <c r="N50" s="21">
        <f t="shared" si="3"/>
        <v>12.394871839617645</v>
      </c>
      <c r="O50" s="21">
        <f>h_P</f>
        <v>0</v>
      </c>
      <c r="P50" s="21">
        <f>b_ch_P</f>
        <v>873.60807999999997</v>
      </c>
      <c r="Q50" s="21">
        <f t="shared" si="4"/>
        <v>1.6255903511491995E-3</v>
      </c>
      <c r="R50" s="21">
        <f t="shared" si="17"/>
        <v>-6.4218842361604729</v>
      </c>
      <c r="S50" s="21">
        <f t="shared" si="5"/>
        <v>-15.910680570752575</v>
      </c>
      <c r="T50" s="21">
        <f t="shared" si="18"/>
        <v>857.69739942924741</v>
      </c>
      <c r="U50" s="21">
        <f t="shared" si="19"/>
        <v>1.3942646167179455</v>
      </c>
      <c r="V50" s="21">
        <f t="shared" si="6"/>
        <v>10631.049343098866</v>
      </c>
      <c r="X50" s="21"/>
      <c r="Y50" s="21"/>
      <c r="Z50" s="21"/>
      <c r="AA50" s="21"/>
      <c r="AB50" s="343"/>
      <c r="AC50" s="21" t="s">
        <v>134</v>
      </c>
      <c r="AD50" s="21">
        <v>0.38391581038081912</v>
      </c>
      <c r="AE50" s="21">
        <f t="shared" si="7"/>
        <v>3.7945063789993045E-4</v>
      </c>
      <c r="AF50" s="21">
        <f>MW_P</f>
        <v>3.0973762000000002E-2</v>
      </c>
      <c r="AG50" s="21">
        <f t="shared" si="20"/>
        <v>12.394871839617645</v>
      </c>
      <c r="AH50" s="21">
        <f>h_P</f>
        <v>0</v>
      </c>
      <c r="AI50" s="21">
        <f>b_ch_P</f>
        <v>873.60807999999997</v>
      </c>
      <c r="AJ50" s="21">
        <f t="shared" si="8"/>
        <v>1.6255903511491995E-3</v>
      </c>
      <c r="AK50" s="21">
        <f t="shared" si="21"/>
        <v>-6.4218842361604729</v>
      </c>
      <c r="AL50" s="21">
        <f t="shared" si="9"/>
        <v>-15.910680570752575</v>
      </c>
      <c r="AM50" s="21">
        <f t="shared" si="22"/>
        <v>857.69739942924741</v>
      </c>
      <c r="AN50" s="21">
        <f t="shared" si="23"/>
        <v>1.3942646167179455</v>
      </c>
      <c r="AO50" s="21">
        <f t="shared" si="10"/>
        <v>10631.049343098866</v>
      </c>
      <c r="AP50" s="21"/>
      <c r="AQ50" s="21"/>
      <c r="AR50" s="21"/>
      <c r="AS50" s="21"/>
      <c r="AT50" s="21"/>
      <c r="AU50" s="343"/>
      <c r="AV50" s="21" t="s">
        <v>134</v>
      </c>
      <c r="AW50" s="21">
        <f>AD50</f>
        <v>0.38391581038081912</v>
      </c>
      <c r="AX50" s="21">
        <f t="shared" si="11"/>
        <v>3.7945063789993045E-4</v>
      </c>
      <c r="AY50" s="21">
        <f>MW_P</f>
        <v>3.0973762000000002E-2</v>
      </c>
      <c r="AZ50" s="21">
        <f t="shared" si="24"/>
        <v>12.394871839617645</v>
      </c>
      <c r="BA50" s="21">
        <f>h_P</f>
        <v>0</v>
      </c>
      <c r="BB50" s="21">
        <f>b_ch_P</f>
        <v>873.60807999999997</v>
      </c>
      <c r="BC50" s="21">
        <f t="shared" si="12"/>
        <v>1.6255903511491995E-3</v>
      </c>
      <c r="BD50" s="21">
        <f t="shared" si="25"/>
        <v>-6.4218842361604729</v>
      </c>
      <c r="BE50" s="21">
        <f t="shared" si="13"/>
        <v>-15.910680570752575</v>
      </c>
      <c r="BF50" s="21">
        <f t="shared" si="26"/>
        <v>857.69739942924741</v>
      </c>
      <c r="BG50" s="21">
        <f t="shared" si="27"/>
        <v>1.3942646167179455</v>
      </c>
      <c r="BH50" s="21">
        <f t="shared" si="14"/>
        <v>10631.049343098866</v>
      </c>
      <c r="BI50" s="21"/>
    </row>
    <row r="51" spans="2:86">
      <c r="I51" s="343"/>
      <c r="J51" s="21" t="s">
        <v>133</v>
      </c>
      <c r="K51" s="21">
        <f t="shared" si="15"/>
        <v>0.13392411990028574</v>
      </c>
      <c r="L51" s="21">
        <f t="shared" si="16"/>
        <v>1.3236650159299899E-4</v>
      </c>
      <c r="M51" s="21">
        <f>MW_S</f>
        <v>3.2066000000000004E-2</v>
      </c>
      <c r="N51" s="21">
        <f t="shared" si="3"/>
        <v>4.1765146853454036</v>
      </c>
      <c r="O51" s="21">
        <f>h_S</f>
        <v>0</v>
      </c>
      <c r="P51" s="21">
        <f>b_ch_S</f>
        <v>607.29999999999995</v>
      </c>
      <c r="Q51" s="21">
        <f t="shared" si="4"/>
        <v>5.4775088131446613E-4</v>
      </c>
      <c r="R51" s="21">
        <f t="shared" si="17"/>
        <v>-7.5096899705178952</v>
      </c>
      <c r="S51" s="21">
        <f t="shared" si="5"/>
        <v>-18.605797599635963</v>
      </c>
      <c r="T51" s="21">
        <f t="shared" si="18"/>
        <v>588.69420240036402</v>
      </c>
      <c r="U51" s="21">
        <f t="shared" si="19"/>
        <v>0.3224577681895161</v>
      </c>
      <c r="V51" s="21">
        <f t="shared" si="6"/>
        <v>2458.68998150282</v>
      </c>
      <c r="X51" s="21"/>
      <c r="Y51" s="21"/>
      <c r="Z51" s="21"/>
      <c r="AA51" s="21"/>
      <c r="AB51" s="343"/>
      <c r="AC51" s="21" t="s">
        <v>133</v>
      </c>
      <c r="AD51" s="21">
        <v>0.13392411990028574</v>
      </c>
      <c r="AE51" s="21">
        <f t="shared" si="7"/>
        <v>1.3236650159299899E-4</v>
      </c>
      <c r="AF51" s="21">
        <f>MW_S</f>
        <v>3.2066000000000004E-2</v>
      </c>
      <c r="AG51" s="21">
        <f t="shared" si="20"/>
        <v>4.1765146853454036</v>
      </c>
      <c r="AH51" s="21">
        <f>h_S</f>
        <v>0</v>
      </c>
      <c r="AI51" s="21">
        <f>b_ch_S</f>
        <v>607.29999999999995</v>
      </c>
      <c r="AJ51" s="21">
        <f t="shared" si="8"/>
        <v>5.4775088131446613E-4</v>
      </c>
      <c r="AK51" s="21">
        <f t="shared" si="21"/>
        <v>-7.5096899705178952</v>
      </c>
      <c r="AL51" s="21">
        <f t="shared" si="9"/>
        <v>-18.605797599635963</v>
      </c>
      <c r="AM51" s="21">
        <f t="shared" si="22"/>
        <v>588.69420240036402</v>
      </c>
      <c r="AN51" s="21">
        <f t="shared" si="23"/>
        <v>0.3224577681895161</v>
      </c>
      <c r="AO51" s="21">
        <f t="shared" si="10"/>
        <v>2458.68998150282</v>
      </c>
      <c r="AP51" s="21"/>
      <c r="AQ51" s="21"/>
      <c r="AR51" s="21"/>
      <c r="AS51" s="21"/>
      <c r="AT51" s="21"/>
      <c r="AU51" s="343"/>
      <c r="AV51" s="21" t="s">
        <v>133</v>
      </c>
      <c r="AW51" s="21">
        <f>AD51</f>
        <v>0.13392411990028574</v>
      </c>
      <c r="AX51" s="21">
        <f t="shared" si="11"/>
        <v>1.3236650159299899E-4</v>
      </c>
      <c r="AY51" s="21">
        <f>MW_S</f>
        <v>3.2066000000000004E-2</v>
      </c>
      <c r="AZ51" s="21">
        <f t="shared" si="24"/>
        <v>4.1765146853454036</v>
      </c>
      <c r="BA51" s="21">
        <f>h_S</f>
        <v>0</v>
      </c>
      <c r="BB51" s="21">
        <f>b_ch_S</f>
        <v>607.29999999999995</v>
      </c>
      <c r="BC51" s="21">
        <f t="shared" si="12"/>
        <v>5.4775088131446613E-4</v>
      </c>
      <c r="BD51" s="21">
        <f t="shared" si="25"/>
        <v>-7.5096899705178952</v>
      </c>
      <c r="BE51" s="21">
        <f t="shared" si="13"/>
        <v>-18.605797599635963</v>
      </c>
      <c r="BF51" s="21">
        <f t="shared" si="26"/>
        <v>588.69420240036402</v>
      </c>
      <c r="BG51" s="21">
        <f t="shared" si="27"/>
        <v>0.3224577681895161</v>
      </c>
      <c r="BH51" s="21">
        <f t="shared" si="14"/>
        <v>2458.68998150282</v>
      </c>
      <c r="BI51" s="21"/>
    </row>
    <row r="52" spans="2:86" ht="16.05" customHeight="1">
      <c r="J52" s="23" t="s">
        <v>18</v>
      </c>
      <c r="K52" s="23">
        <f>SUM(K46:K51)</f>
        <v>1011.7674660019052</v>
      </c>
      <c r="L52" s="23">
        <f>SUM(L46:L51)</f>
        <v>1</v>
      </c>
      <c r="M52" s="23">
        <f>SUM(M46:M51)</f>
        <v>0.47896953999999997</v>
      </c>
      <c r="N52" s="23">
        <f>SUM(N46:N51)</f>
        <v>7624.8433874224093</v>
      </c>
      <c r="O52" s="18">
        <f t="array" ref="O52">SUM(K46:K51*O46:O51) / K52</f>
        <v>-841.69623437072971</v>
      </c>
      <c r="P52" s="23"/>
      <c r="Q52" s="23"/>
      <c r="R52" s="23"/>
      <c r="S52" s="23"/>
      <c r="T52" s="23"/>
      <c r="U52" s="23">
        <f>SUM(U46:U51)</f>
        <v>14.188469739763725</v>
      </c>
      <c r="V52" s="23">
        <f>SUM(V46:V51)</f>
        <v>108184.8596728804</v>
      </c>
      <c r="X52" s="21"/>
      <c r="Y52" s="14" t="s">
        <v>2</v>
      </c>
      <c r="Z52" s="14" t="s">
        <v>3</v>
      </c>
      <c r="AA52" s="14" t="s">
        <v>475</v>
      </c>
      <c r="AB52" s="21"/>
      <c r="AC52" s="23" t="s">
        <v>18</v>
      </c>
      <c r="AD52" s="23">
        <f>SUM(AD46:AD51)</f>
        <v>1011.7674660019052</v>
      </c>
      <c r="AE52" s="23">
        <f>SUM(AE46:AE51)</f>
        <v>1</v>
      </c>
      <c r="AF52" s="23">
        <f>SUM(AF46:AF51)</f>
        <v>0.47896953999999997</v>
      </c>
      <c r="AG52" s="23">
        <f>SUM(AG46:AG51)</f>
        <v>7624.8433874224093</v>
      </c>
      <c r="AH52" s="18">
        <f t="array" ref="AH52">SUM(AD46:AD51*AH46:AH51) / AD52</f>
        <v>-841.69623437072971</v>
      </c>
      <c r="AI52" s="23"/>
      <c r="AJ52" s="23"/>
      <c r="AK52" s="23"/>
      <c r="AL52" s="23"/>
      <c r="AM52" s="23"/>
      <c r="AN52" s="23">
        <f>SUM(AN46:AN51)</f>
        <v>14.188469739763725</v>
      </c>
      <c r="AO52" s="23">
        <f>SUM(AO46:AO51)</f>
        <v>108184.8596728804</v>
      </c>
      <c r="AP52" s="21"/>
      <c r="AQ52" s="21"/>
      <c r="AR52" s="14" t="s">
        <v>2</v>
      </c>
      <c r="AS52" s="14" t="s">
        <v>3</v>
      </c>
      <c r="AT52" s="14" t="s">
        <v>475</v>
      </c>
      <c r="AU52" s="21"/>
      <c r="AV52" s="23" t="s">
        <v>18</v>
      </c>
      <c r="AW52" s="23">
        <f>SUM(AW46:AW51)</f>
        <v>1011.7674660019052</v>
      </c>
      <c r="AX52" s="23">
        <f>SUM(AX46:AX51)</f>
        <v>1</v>
      </c>
      <c r="AY52" s="23">
        <f>SUM(AY46:AY51)</f>
        <v>0.47896953999999997</v>
      </c>
      <c r="AZ52" s="23">
        <f>SUM(AZ46:AZ51)</f>
        <v>7624.8433874224093</v>
      </c>
      <c r="BA52" s="18">
        <f t="array" ref="BA52">SUM(AW46:AW51*BA46:BA51) / AW52</f>
        <v>-841.69623437072971</v>
      </c>
      <c r="BB52" s="23"/>
      <c r="BC52" s="23"/>
      <c r="BD52" s="23"/>
      <c r="BE52" s="23"/>
      <c r="BF52" s="23"/>
      <c r="BG52" s="23">
        <f>SUM(BG46:BG51)</f>
        <v>14.188469739763725</v>
      </c>
      <c r="BH52" s="23">
        <f>SUM(BH46:BH51)</f>
        <v>108184.8596728804</v>
      </c>
      <c r="BI52" s="21"/>
      <c r="BJ52" s="14" t="s">
        <v>2</v>
      </c>
      <c r="BK52" s="14" t="s">
        <v>3</v>
      </c>
      <c r="BL52" s="14" t="s">
        <v>475</v>
      </c>
    </row>
    <row r="53" spans="2:86" ht="18" customHeight="1">
      <c r="J53" s="21"/>
      <c r="K53" s="1" t="s">
        <v>83</v>
      </c>
      <c r="L53" s="21"/>
      <c r="M53" s="14" t="s">
        <v>85</v>
      </c>
      <c r="N53" s="14" t="s">
        <v>81</v>
      </c>
      <c r="O53" s="1" t="s">
        <v>640</v>
      </c>
      <c r="P53" s="21"/>
      <c r="Q53" s="21"/>
      <c r="R53" s="21"/>
      <c r="S53" s="21"/>
      <c r="T53" s="21"/>
      <c r="U53" s="14" t="s">
        <v>90</v>
      </c>
      <c r="V53" s="1" t="s">
        <v>87</v>
      </c>
      <c r="X53" s="21"/>
      <c r="Y53" s="1" t="s">
        <v>477</v>
      </c>
      <c r="Z53" s="1" t="s">
        <v>477</v>
      </c>
      <c r="AA53" s="1" t="s">
        <v>477</v>
      </c>
      <c r="AB53" s="21"/>
      <c r="AC53" s="21"/>
      <c r="AD53" s="1" t="s">
        <v>83</v>
      </c>
      <c r="AE53" s="21"/>
      <c r="AF53" s="14" t="s">
        <v>85</v>
      </c>
      <c r="AG53" s="14" t="s">
        <v>81</v>
      </c>
      <c r="AH53" s="1" t="s">
        <v>640</v>
      </c>
      <c r="AI53" s="21"/>
      <c r="AJ53" s="21"/>
      <c r="AK53" s="21"/>
      <c r="AL53" s="21"/>
      <c r="AM53" s="21"/>
      <c r="AN53" s="14" t="s">
        <v>90</v>
      </c>
      <c r="AO53" s="1" t="s">
        <v>87</v>
      </c>
      <c r="AP53" s="21"/>
      <c r="AQ53" s="21"/>
      <c r="AR53" s="1" t="s">
        <v>477</v>
      </c>
      <c r="AS53" s="1" t="s">
        <v>477</v>
      </c>
      <c r="AT53" s="1" t="s">
        <v>477</v>
      </c>
      <c r="AU53" s="21"/>
      <c r="AV53" s="21"/>
      <c r="AW53" s="1" t="s">
        <v>83</v>
      </c>
      <c r="AX53" s="21"/>
      <c r="AY53" s="14" t="s">
        <v>85</v>
      </c>
      <c r="AZ53" s="14" t="s">
        <v>81</v>
      </c>
      <c r="BA53" s="1" t="s">
        <v>640</v>
      </c>
      <c r="BB53" s="21"/>
      <c r="BC53" s="21"/>
      <c r="BD53" s="21"/>
      <c r="BE53" s="21"/>
      <c r="BF53" s="21"/>
      <c r="BG53" s="14" t="s">
        <v>90</v>
      </c>
      <c r="BH53" s="1" t="s">
        <v>87</v>
      </c>
      <c r="BI53" s="21"/>
      <c r="BJ53" s="1" t="s">
        <v>477</v>
      </c>
      <c r="BK53" s="1" t="s">
        <v>477</v>
      </c>
      <c r="BL53" s="1" t="s">
        <v>477</v>
      </c>
      <c r="BZ53" s="179" t="s">
        <v>1</v>
      </c>
      <c r="CA53" s="178" t="s">
        <v>0</v>
      </c>
    </row>
    <row r="54" spans="2:86" ht="18" customHeight="1">
      <c r="T54" s="21"/>
      <c r="X54" s="21" t="s">
        <v>59</v>
      </c>
      <c r="Y54" s="14" t="s">
        <v>476</v>
      </c>
      <c r="Z54" s="14" t="s">
        <v>476</v>
      </c>
      <c r="AA54" s="14" t="s">
        <v>476</v>
      </c>
      <c r="AB54" s="21"/>
      <c r="AC54" s="21"/>
      <c r="AD54" s="1"/>
      <c r="AE54" s="21"/>
      <c r="AI54" s="21"/>
      <c r="AJ54" s="21"/>
      <c r="AK54" s="21"/>
      <c r="AL54" s="21"/>
      <c r="AM54" s="21"/>
      <c r="AO54" s="1"/>
      <c r="AP54" s="21"/>
      <c r="AQ54" s="21" t="s">
        <v>59</v>
      </c>
      <c r="AR54" s="14" t="s">
        <v>476</v>
      </c>
      <c r="AS54" s="14" t="s">
        <v>476</v>
      </c>
      <c r="AT54" s="14" t="s">
        <v>476</v>
      </c>
      <c r="AU54" s="21"/>
      <c r="AV54" s="21"/>
      <c r="AW54" s="1"/>
      <c r="AX54" s="21"/>
      <c r="BB54" s="21"/>
      <c r="BC54" s="21"/>
      <c r="BD54" s="21"/>
      <c r="BE54" s="21"/>
      <c r="BF54" s="21"/>
      <c r="BH54" s="1"/>
      <c r="BI54" s="21" t="s">
        <v>59</v>
      </c>
      <c r="BJ54" s="14" t="s">
        <v>476</v>
      </c>
      <c r="BK54" s="14" t="s">
        <v>476</v>
      </c>
      <c r="BL54" s="14" t="s">
        <v>476</v>
      </c>
      <c r="BZ54" s="181" t="s">
        <v>83</v>
      </c>
      <c r="CA54" s="180" t="s">
        <v>87</v>
      </c>
    </row>
    <row r="55" spans="2:86" ht="16.95" customHeight="1">
      <c r="T55" s="21"/>
      <c r="X55" s="14" t="s">
        <v>15</v>
      </c>
      <c r="Y55" s="33">
        <f>2*N46</f>
        <v>11034.753976812313</v>
      </c>
      <c r="Z55" s="33">
        <f>2*AG46</f>
        <v>11034.753976812313</v>
      </c>
      <c r="AA55" s="14">
        <f>Y55-Z55</f>
        <v>0</v>
      </c>
      <c r="AB55" s="21"/>
      <c r="AC55" s="21"/>
      <c r="AD55" s="1"/>
      <c r="AE55" s="21"/>
      <c r="AI55" s="21"/>
      <c r="AJ55" s="21"/>
      <c r="AK55" s="21"/>
      <c r="AL55" s="21"/>
      <c r="AM55" s="21"/>
      <c r="AO55" s="1"/>
      <c r="AP55" s="21"/>
      <c r="AQ55" s="14" t="s">
        <v>15</v>
      </c>
      <c r="AR55" s="33">
        <f>2*AG46</f>
        <v>11034.753976812313</v>
      </c>
      <c r="AS55" s="33">
        <f>2*AZ46</f>
        <v>11034.753976812313</v>
      </c>
      <c r="AT55" s="14">
        <f>AR55-AS55</f>
        <v>0</v>
      </c>
      <c r="AU55" s="21"/>
      <c r="AV55" s="21"/>
      <c r="AW55" s="1"/>
      <c r="AX55" s="21"/>
      <c r="BB55" s="21"/>
      <c r="BC55" s="21"/>
      <c r="BD55" s="21"/>
      <c r="BE55" s="21"/>
      <c r="BF55" s="21"/>
      <c r="BH55" s="1"/>
      <c r="BI55" s="14" t="s">
        <v>15</v>
      </c>
      <c r="BJ55" s="33">
        <f>2*AZ46</f>
        <v>11034.753976812313</v>
      </c>
      <c r="BK55" s="33">
        <f>2*BS46</f>
        <v>11034.753976812313</v>
      </c>
      <c r="BL55" s="14">
        <f>BJ55-BK55</f>
        <v>0</v>
      </c>
      <c r="BV55" s="14" t="s">
        <v>438</v>
      </c>
      <c r="BZ55" s="177">
        <f>BP63</f>
        <v>11.767466001905108</v>
      </c>
      <c r="CA55" s="175">
        <f>CA63</f>
        <v>21722.892325740406</v>
      </c>
    </row>
    <row r="56" spans="2:86" ht="16.95" customHeight="1">
      <c r="T56" s="21"/>
      <c r="X56" s="21" t="s">
        <v>29</v>
      </c>
      <c r="Y56" s="61">
        <f>N47</f>
        <v>1979.5520626852608</v>
      </c>
      <c r="Z56" s="61">
        <f>AG47</f>
        <v>1979.5520626852608</v>
      </c>
      <c r="AA56" s="14">
        <f t="shared" ref="AA56:AA64" si="28">Y56-Z56</f>
        <v>0</v>
      </c>
      <c r="AB56" s="21"/>
      <c r="AC56" s="21"/>
      <c r="AD56" s="1"/>
      <c r="AE56" s="21"/>
      <c r="AI56" s="21"/>
      <c r="AJ56" s="21"/>
      <c r="AK56" s="21"/>
      <c r="AL56" s="21"/>
      <c r="AM56" s="21"/>
      <c r="AO56" s="1"/>
      <c r="AP56" s="21"/>
      <c r="AQ56" s="21" t="s">
        <v>29</v>
      </c>
      <c r="AR56" s="61">
        <f>AG47</f>
        <v>1979.5520626852608</v>
      </c>
      <c r="AS56" s="61">
        <f>AZ47</f>
        <v>1979.5520626852608</v>
      </c>
      <c r="AT56" s="14">
        <f t="shared" ref="AT56:AT61" si="29">AR56-AS56</f>
        <v>0</v>
      </c>
      <c r="AU56" s="21"/>
      <c r="AV56" s="21"/>
      <c r="AW56" s="1"/>
      <c r="AX56" s="21"/>
      <c r="BB56" s="21"/>
      <c r="BC56" s="21"/>
      <c r="BD56" s="21"/>
      <c r="BE56" s="21"/>
      <c r="BF56" s="21"/>
      <c r="BH56" s="1"/>
      <c r="BI56" s="21" t="s">
        <v>29</v>
      </c>
      <c r="BJ56" s="33">
        <f>AZ47</f>
        <v>1979.5520626852608</v>
      </c>
      <c r="BK56" s="33">
        <f>BS47</f>
        <v>1979.5520626852608</v>
      </c>
      <c r="BL56" s="14">
        <f t="shared" ref="BL56:BL61" si="30">BJ56-BK56</f>
        <v>0</v>
      </c>
    </row>
    <row r="57" spans="2:86" ht="18" customHeight="1"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179" t="s">
        <v>1</v>
      </c>
      <c r="V57" s="178" t="s">
        <v>0</v>
      </c>
      <c r="X57" s="21" t="s">
        <v>246</v>
      </c>
      <c r="Y57" s="61">
        <f>2*N48</f>
        <v>26.539522960691897</v>
      </c>
      <c r="Z57" s="61">
        <f>2*AG48</f>
        <v>26.539522960691897</v>
      </c>
      <c r="AA57" s="14">
        <f t="shared" si="28"/>
        <v>0</v>
      </c>
      <c r="AB57" s="21"/>
      <c r="AC57" s="21"/>
      <c r="AD57" s="1"/>
      <c r="AE57" s="21"/>
      <c r="AI57" s="21"/>
      <c r="AJ57" s="21"/>
      <c r="AK57" s="21"/>
      <c r="AL57" s="21"/>
      <c r="AM57" s="21"/>
      <c r="AO57" s="1"/>
      <c r="AP57" s="21"/>
      <c r="AQ57" s="21" t="s">
        <v>246</v>
      </c>
      <c r="AR57" s="61">
        <f>2*AG48</f>
        <v>26.539522960691897</v>
      </c>
      <c r="AS57" s="61">
        <f>2*AZ48</f>
        <v>26.539522960691897</v>
      </c>
      <c r="AT57" s="14">
        <f t="shared" si="29"/>
        <v>0</v>
      </c>
      <c r="AU57" s="21"/>
      <c r="AV57" s="21"/>
      <c r="AW57" s="1"/>
      <c r="AX57" s="21"/>
      <c r="BB57" s="21"/>
      <c r="BC57" s="21"/>
      <c r="BD57" s="21"/>
      <c r="BE57" s="21"/>
      <c r="BF57" s="21"/>
      <c r="BG57" s="21"/>
      <c r="BH57" s="1"/>
      <c r="BI57" s="21" t="s">
        <v>246</v>
      </c>
      <c r="BJ57" s="33">
        <f>2*AZ48</f>
        <v>26.539522960691897</v>
      </c>
      <c r="BK57" s="33">
        <f>2*BS59</f>
        <v>26.539522960691897</v>
      </c>
      <c r="BL57" s="14">
        <f t="shared" si="30"/>
        <v>0</v>
      </c>
      <c r="BO57" s="21"/>
      <c r="BP57" s="1" t="s">
        <v>449</v>
      </c>
      <c r="BQ57" s="1" t="s">
        <v>450</v>
      </c>
      <c r="BR57" s="1" t="s">
        <v>579</v>
      </c>
      <c r="BS57" s="1" t="s">
        <v>79</v>
      </c>
      <c r="BT57" s="1" t="s">
        <v>509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48</v>
      </c>
      <c r="BZ57" s="1" t="s">
        <v>451</v>
      </c>
      <c r="CA57" s="1" t="s">
        <v>49</v>
      </c>
      <c r="CG57" s="14"/>
      <c r="CH57" s="14"/>
    </row>
    <row r="58" spans="2:86" ht="18" customHeight="1"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181" t="s">
        <v>83</v>
      </c>
      <c r="V58" s="180" t="s">
        <v>87</v>
      </c>
      <c r="X58" s="21" t="s">
        <v>239</v>
      </c>
      <c r="Y58" s="61">
        <f>2*N49</f>
        <v>196.14637665136635</v>
      </c>
      <c r="Z58" s="61">
        <f>2*AG49</f>
        <v>196.14637665136635</v>
      </c>
      <c r="AA58" s="14">
        <f t="shared" si="28"/>
        <v>0</v>
      </c>
      <c r="AB58" s="21"/>
      <c r="AC58" s="21"/>
      <c r="AD58" s="1"/>
      <c r="AE58" s="21"/>
      <c r="AI58" s="21"/>
      <c r="AJ58" s="21"/>
      <c r="AK58" s="21"/>
      <c r="AL58" s="21"/>
      <c r="AM58" s="21"/>
      <c r="AO58" s="1"/>
      <c r="AP58" s="21"/>
      <c r="AQ58" s="21" t="s">
        <v>239</v>
      </c>
      <c r="AR58" s="61">
        <f>2*AG49</f>
        <v>196.14637665136635</v>
      </c>
      <c r="AS58" s="61">
        <f>2*AZ49</f>
        <v>196.14637665136635</v>
      </c>
      <c r="AT58" s="14">
        <f t="shared" si="29"/>
        <v>0</v>
      </c>
      <c r="AU58" s="21"/>
      <c r="AV58" s="21"/>
      <c r="AW58" s="1"/>
      <c r="AX58" s="21"/>
      <c r="BB58" s="21"/>
      <c r="BC58" s="21"/>
      <c r="BD58" s="21"/>
      <c r="BE58" s="21"/>
      <c r="BF58" s="21"/>
      <c r="BG58" s="21"/>
      <c r="BH58" s="1"/>
      <c r="BI58" s="21" t="s">
        <v>239</v>
      </c>
      <c r="BJ58" s="33">
        <f>2*AZ49</f>
        <v>196.14637665136635</v>
      </c>
      <c r="BK58" s="33">
        <f>2*BS60</f>
        <v>196.14637665136635</v>
      </c>
      <c r="BL58" s="14">
        <f t="shared" si="30"/>
        <v>0</v>
      </c>
      <c r="BN58" s="140"/>
      <c r="BO58" s="21" t="s">
        <v>40</v>
      </c>
      <c r="BP58" s="1" t="s">
        <v>82</v>
      </c>
      <c r="BQ58" s="21" t="s">
        <v>213</v>
      </c>
      <c r="BR58" s="139" t="s">
        <v>84</v>
      </c>
      <c r="BS58" s="139" t="s">
        <v>80</v>
      </c>
      <c r="BT58" s="1" t="s">
        <v>89</v>
      </c>
      <c r="BU58" s="139" t="s">
        <v>89</v>
      </c>
      <c r="BV58" s="139" t="s">
        <v>24</v>
      </c>
      <c r="BW58" s="139" t="s">
        <v>91</v>
      </c>
      <c r="BX58" s="139" t="s">
        <v>89</v>
      </c>
      <c r="BY58" s="139" t="s">
        <v>89</v>
      </c>
      <c r="BZ58" s="139" t="s">
        <v>88</v>
      </c>
      <c r="CA58" s="139" t="s">
        <v>86</v>
      </c>
    </row>
    <row r="59" spans="2:86" ht="24" customHeight="1">
      <c r="D59" s="3" t="s">
        <v>139</v>
      </c>
      <c r="E59" s="14" t="s">
        <v>137</v>
      </c>
      <c r="F59" s="14" t="s">
        <v>144</v>
      </c>
      <c r="G59" s="14" t="s">
        <v>138</v>
      </c>
      <c r="J59" s="21"/>
      <c r="K59" s="21"/>
      <c r="L59" s="21"/>
      <c r="M59" s="21"/>
      <c r="N59" s="21"/>
      <c r="O59" s="21"/>
      <c r="P59" s="21"/>
      <c r="Q59" s="134" t="s">
        <v>466</v>
      </c>
      <c r="R59" s="21"/>
      <c r="S59" s="21"/>
      <c r="T59" s="21"/>
      <c r="U59" s="177">
        <f>L64</f>
        <v>2.0694989883749622</v>
      </c>
      <c r="V59" s="175">
        <f>V64</f>
        <v>94146.207140653787</v>
      </c>
      <c r="X59" s="21" t="s">
        <v>134</v>
      </c>
      <c r="Y59" s="61">
        <f>N50</f>
        <v>12.394871839617645</v>
      </c>
      <c r="Z59" s="61">
        <f>AG50</f>
        <v>12.394871839617645</v>
      </c>
      <c r="AA59" s="14">
        <f t="shared" si="28"/>
        <v>0</v>
      </c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 t="s">
        <v>134</v>
      </c>
      <c r="AR59" s="61">
        <f>AG50</f>
        <v>12.394871839617645</v>
      </c>
      <c r="AS59" s="61">
        <f>AZ50</f>
        <v>12.394871839617645</v>
      </c>
      <c r="AT59" s="14">
        <f t="shared" si="29"/>
        <v>0</v>
      </c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 t="s">
        <v>134</v>
      </c>
      <c r="BJ59" s="61">
        <f>AZ50</f>
        <v>12.394871839617645</v>
      </c>
      <c r="BK59" s="33">
        <f>BS61</f>
        <v>12.394871839617645</v>
      </c>
      <c r="BL59" s="14">
        <f t="shared" si="30"/>
        <v>0</v>
      </c>
      <c r="BM59" s="21"/>
      <c r="BN59" s="343" t="s">
        <v>438</v>
      </c>
      <c r="BO59" s="23" t="s">
        <v>243</v>
      </c>
      <c r="BP59" s="23">
        <f>AW48</f>
        <v>1.249958452402667</v>
      </c>
      <c r="BQ59" s="23">
        <f>BP59/$BP$63</f>
        <v>0.10622154779969652</v>
      </c>
      <c r="BR59" s="21">
        <f>MW_K2O</f>
        <v>9.4196000000000002E-2</v>
      </c>
      <c r="BS59" s="21">
        <f>BP59/BR59</f>
        <v>13.269761480345949</v>
      </c>
      <c r="BT59" s="23">
        <f>h_K2O</f>
        <v>-284.89999999999998</v>
      </c>
      <c r="BU59" s="21">
        <f>b_ch_K2O</f>
        <v>412.83199999999999</v>
      </c>
      <c r="BV59" s="21">
        <f>BS59/$BS$63</f>
        <v>0.10373943891644018</v>
      </c>
      <c r="BW59" s="21">
        <f t="shared" ref="BW59:BW62" si="31">LN(BV59)</f>
        <v>-2.2658729186291273</v>
      </c>
      <c r="BX59" s="21">
        <f t="shared" ref="BX59:BX62" si="32">RT0*BW59</f>
        <v>-5.6138632987538042</v>
      </c>
      <c r="BY59" s="21">
        <f t="shared" ref="BY59:BY62" si="33">BX59+BU59</f>
        <v>407.21813670124618</v>
      </c>
      <c r="BZ59" s="21">
        <f>BV59*BY59</f>
        <v>42.244581017985517</v>
      </c>
      <c r="CA59" s="21">
        <f>BZ59*$BS$63</f>
        <v>5403.687544496448</v>
      </c>
    </row>
    <row r="60" spans="2:86" ht="18" customHeight="1">
      <c r="E60" s="14" t="s">
        <v>247</v>
      </c>
      <c r="F60" s="14" t="s">
        <v>248</v>
      </c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X60" s="21" t="s">
        <v>133</v>
      </c>
      <c r="Y60" s="61">
        <f>N51</f>
        <v>4.1765146853454036</v>
      </c>
      <c r="Z60" s="61">
        <f>AG51</f>
        <v>4.1765146853454036</v>
      </c>
      <c r="AA60" s="14">
        <f t="shared" si="28"/>
        <v>0</v>
      </c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 t="s">
        <v>133</v>
      </c>
      <c r="AR60" s="61">
        <f>AG51</f>
        <v>4.1765146853454036</v>
      </c>
      <c r="AS60" s="61">
        <f>AZ51</f>
        <v>4.1765146853454036</v>
      </c>
      <c r="AT60" s="14">
        <f t="shared" si="29"/>
        <v>0</v>
      </c>
      <c r="AU60" s="21"/>
      <c r="AW60" t="s">
        <v>797</v>
      </c>
      <c r="AZ60" s="21"/>
      <c r="BA60" s="21"/>
      <c r="BB60" s="21"/>
      <c r="BC60" s="21"/>
      <c r="BD60" s="21"/>
      <c r="BE60" s="21"/>
      <c r="BF60" s="21"/>
      <c r="BG60" s="21"/>
      <c r="BH60" s="21"/>
      <c r="BI60" s="21" t="s">
        <v>133</v>
      </c>
      <c r="BJ60" s="61">
        <f>AZ51</f>
        <v>4.1765146853454036</v>
      </c>
      <c r="BK60" s="61">
        <f>BS62</f>
        <v>4.1765146853454036</v>
      </c>
      <c r="BL60" s="14">
        <f t="shared" si="30"/>
        <v>0</v>
      </c>
      <c r="BM60" s="21"/>
      <c r="BN60" s="343"/>
      <c r="BO60" s="21" t="s">
        <v>237</v>
      </c>
      <c r="BP60" s="21">
        <f>AW49</f>
        <v>9.9996676192213361</v>
      </c>
      <c r="BQ60" s="21">
        <f>BP60/$BP$63</f>
        <v>0.84977238239757213</v>
      </c>
      <c r="BR60" s="21">
        <f>MW_Al2O3</f>
        <v>0.10196127799999999</v>
      </c>
      <c r="BS60" s="21">
        <f t="shared" ref="BS60:BS62" si="34">BP60/BR60</f>
        <v>98.073188325683176</v>
      </c>
      <c r="BT60" s="21">
        <f>h_Al2O3</f>
        <v>-1675.7</v>
      </c>
      <c r="BU60" s="21">
        <f>b_ch_Al2O3</f>
        <v>31.875999999999976</v>
      </c>
      <c r="BV60" s="21">
        <f>BS60/$BS$63</f>
        <v>0.7667099024139733</v>
      </c>
      <c r="BW60" s="21">
        <f t="shared" si="31"/>
        <v>-0.26564677287010441</v>
      </c>
      <c r="BX60" s="21">
        <f t="shared" si="32"/>
        <v>-0.65815900635333024</v>
      </c>
      <c r="BY60" s="21">
        <f t="shared" si="33"/>
        <v>31.217840993646647</v>
      </c>
      <c r="BZ60" s="21">
        <f t="shared" ref="BZ60:BZ62" si="35">BV60*BY60</f>
        <v>23.935027821813755</v>
      </c>
      <c r="CA60" s="21">
        <f>BZ60*$BS$63</f>
        <v>3061.6331988911397</v>
      </c>
    </row>
    <row r="61" spans="2:86" ht="18" customHeight="1">
      <c r="B61" s="348" t="s">
        <v>386</v>
      </c>
      <c r="C61" s="348"/>
      <c r="D61" s="348"/>
      <c r="E61" s="348"/>
      <c r="F61" s="348"/>
      <c r="G61" s="348"/>
      <c r="H61" s="348"/>
      <c r="J61" s="21"/>
      <c r="K61" s="14" t="s">
        <v>454</v>
      </c>
      <c r="L61" s="1" t="s">
        <v>449</v>
      </c>
      <c r="M61" s="1" t="s">
        <v>579</v>
      </c>
      <c r="N61" s="1" t="s">
        <v>79</v>
      </c>
      <c r="O61" s="1" t="s">
        <v>509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48</v>
      </c>
      <c r="U61" s="1" t="s">
        <v>451</v>
      </c>
      <c r="V61" s="1" t="s">
        <v>49</v>
      </c>
      <c r="X61" s="21" t="s">
        <v>17</v>
      </c>
      <c r="Y61" s="61">
        <f>12*N63</f>
        <v>148.42688499366969</v>
      </c>
      <c r="Z61" s="61">
        <f>AG67</f>
        <v>148.42688499366969</v>
      </c>
      <c r="AA61" s="14">
        <f t="shared" si="28"/>
        <v>0</v>
      </c>
      <c r="AD61" s="21"/>
      <c r="AE61" s="21"/>
      <c r="AN61" s="179" t="s">
        <v>1</v>
      </c>
      <c r="AO61" s="178" t="s">
        <v>0</v>
      </c>
      <c r="AP61" s="21"/>
      <c r="AQ61" s="21" t="s">
        <v>28</v>
      </c>
      <c r="AR61" s="61">
        <f>(3*AG46)+(2*AG47)+AG48+(3*AG49)</f>
        <v>20818.724417046393</v>
      </c>
      <c r="AS61" s="61">
        <f>(3*AZ46)+(2*AZ47)+AZ48+(3*AZ49)</f>
        <v>20818.724417046393</v>
      </c>
      <c r="AT61" s="14">
        <f t="shared" si="29"/>
        <v>0</v>
      </c>
      <c r="AU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 t="s">
        <v>28</v>
      </c>
      <c r="BJ61" s="61">
        <f>(3*AZ46)+(2*AZ47)+AZ48+(3*AZ49)</f>
        <v>20818.724417046393</v>
      </c>
      <c r="BK61" s="61">
        <f>(3*BS46)+(2*BS47)+BS59+(3*BS60)</f>
        <v>20818.724417046393</v>
      </c>
      <c r="BL61" s="14">
        <f t="shared" si="30"/>
        <v>0</v>
      </c>
      <c r="BM61" s="21"/>
      <c r="BN61" s="343"/>
      <c r="BO61" s="21" t="s">
        <v>134</v>
      </c>
      <c r="BP61" s="21">
        <f>AW50</f>
        <v>0.38391581038081912</v>
      </c>
      <c r="BQ61" s="21">
        <f>BP61/$BP$63</f>
        <v>3.2625189681335355E-2</v>
      </c>
      <c r="BR61" s="21">
        <f>MW_P</f>
        <v>3.0973762000000002E-2</v>
      </c>
      <c r="BS61" s="21">
        <f t="shared" si="34"/>
        <v>12.394871839617645</v>
      </c>
      <c r="BT61" s="21">
        <f>h_P</f>
        <v>0</v>
      </c>
      <c r="BU61" s="21">
        <f>b_ch_P</f>
        <v>873.60807999999997</v>
      </c>
      <c r="BV61" s="21">
        <f>BS61/$BS$63</f>
        <v>9.6899786178341829E-2</v>
      </c>
      <c r="BW61" s="21">
        <f t="shared" si="31"/>
        <v>-2.3340779667097102</v>
      </c>
      <c r="BX61" s="21">
        <f t="shared" si="32"/>
        <v>-5.7828462161369103</v>
      </c>
      <c r="BY61" s="21">
        <f t="shared" si="33"/>
        <v>867.82523378386304</v>
      </c>
      <c r="BZ61" s="21">
        <f t="shared" si="35"/>
        <v>84.092079593825844</v>
      </c>
      <c r="CA61" s="21">
        <f>BZ61*$BS$63</f>
        <v>10756.582551937203</v>
      </c>
    </row>
    <row r="62" spans="2:86" ht="18" customHeight="1">
      <c r="B62" s="361"/>
      <c r="C62" s="361"/>
      <c r="D62" s="361"/>
      <c r="E62" s="361"/>
      <c r="F62" s="361"/>
      <c r="G62" s="361"/>
      <c r="H62" s="361"/>
      <c r="J62" s="21" t="s">
        <v>40</v>
      </c>
      <c r="K62" s="14" t="s">
        <v>453</v>
      </c>
      <c r="L62" s="1" t="s">
        <v>82</v>
      </c>
      <c r="M62" s="1" t="s">
        <v>84</v>
      </c>
      <c r="N62" s="1" t="s">
        <v>80</v>
      </c>
      <c r="O62" s="1" t="s">
        <v>89</v>
      </c>
      <c r="P62" s="1" t="s">
        <v>500</v>
      </c>
      <c r="Q62" s="1" t="s">
        <v>24</v>
      </c>
      <c r="R62" s="1" t="s">
        <v>91</v>
      </c>
      <c r="S62" s="1" t="s">
        <v>89</v>
      </c>
      <c r="T62" s="1" t="s">
        <v>89</v>
      </c>
      <c r="U62" s="1" t="s">
        <v>88</v>
      </c>
      <c r="V62" s="1" t="s">
        <v>86</v>
      </c>
      <c r="X62" s="21" t="s">
        <v>135</v>
      </c>
      <c r="Y62" s="61">
        <f>23*N63</f>
        <v>284.48486290453354</v>
      </c>
      <c r="Z62" s="61">
        <f>2*AG68</f>
        <v>284.48486290453354</v>
      </c>
      <c r="AA62" s="14">
        <f t="shared" si="28"/>
        <v>0</v>
      </c>
      <c r="AD62" s="21"/>
      <c r="AE62" s="21"/>
      <c r="AN62" s="181" t="s">
        <v>83</v>
      </c>
      <c r="AO62" s="180" t="s">
        <v>87</v>
      </c>
      <c r="AP62" s="21"/>
      <c r="AQ62" s="21"/>
      <c r="AR62" s="21"/>
      <c r="AS62" s="21"/>
      <c r="AT62" s="21"/>
      <c r="AU62" s="21"/>
      <c r="AV62" s="307" t="s">
        <v>782</v>
      </c>
      <c r="AW62" s="307" t="s">
        <v>265</v>
      </c>
      <c r="AX62" s="308" t="s">
        <v>250</v>
      </c>
      <c r="AY62" s="308" t="s">
        <v>783</v>
      </c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343"/>
      <c r="BO62" s="21" t="s">
        <v>133</v>
      </c>
      <c r="BP62" s="21">
        <f>AW51</f>
        <v>0.13392411990028574</v>
      </c>
      <c r="BQ62" s="21">
        <f>BP62/$BP$63</f>
        <v>1.1380880121396054E-2</v>
      </c>
      <c r="BR62" s="21">
        <f>MW_S</f>
        <v>3.2066000000000004E-2</v>
      </c>
      <c r="BS62" s="21">
        <f t="shared" si="34"/>
        <v>4.1765146853454036</v>
      </c>
      <c r="BT62" s="21">
        <f>h_S</f>
        <v>0</v>
      </c>
      <c r="BU62" s="21">
        <f>b_ch_S</f>
        <v>607.29999999999995</v>
      </c>
      <c r="BV62" s="21">
        <f>BS62/$BS$63</f>
        <v>3.2650872491244612E-2</v>
      </c>
      <c r="BW62" s="21">
        <f t="shared" si="31"/>
        <v>-3.4218837010671326</v>
      </c>
      <c r="BX62" s="21">
        <f t="shared" si="32"/>
        <v>-8.4779632450202982</v>
      </c>
      <c r="BY62" s="21">
        <f t="shared" si="33"/>
        <v>598.82203675497965</v>
      </c>
      <c r="BZ62" s="21">
        <f t="shared" si="35"/>
        <v>19.552061967034234</v>
      </c>
      <c r="CA62" s="21">
        <f>BZ62*$BS$63</f>
        <v>2500.9890304156179</v>
      </c>
    </row>
    <row r="63" spans="2:86" ht="18" customHeight="1">
      <c r="B63" s="20" t="s">
        <v>195</v>
      </c>
      <c r="C63" s="20" t="s">
        <v>197</v>
      </c>
      <c r="D63" s="20" t="s">
        <v>166</v>
      </c>
      <c r="E63" s="20" t="s">
        <v>166</v>
      </c>
      <c r="F63" s="20" t="s">
        <v>166</v>
      </c>
      <c r="G63" s="9" t="s">
        <v>250</v>
      </c>
      <c r="H63" s="20" t="s">
        <v>244</v>
      </c>
      <c r="I63" s="158" t="s">
        <v>466</v>
      </c>
      <c r="J63" s="23" t="s">
        <v>389</v>
      </c>
      <c r="K63" s="18">
        <f>F72</f>
        <v>88160.656904773379</v>
      </c>
      <c r="L63" s="18">
        <f>K63/LHV_Diesel</f>
        <v>2.0694989883749622</v>
      </c>
      <c r="M63" s="18">
        <f>MW_C12H23</f>
        <v>0.16731462</v>
      </c>
      <c r="N63" s="18">
        <f>L63/M63</f>
        <v>12.368907082805807</v>
      </c>
      <c r="O63" s="18">
        <f>LHV_Diesel*M63</f>
        <v>7127.6028120000001</v>
      </c>
      <c r="P63" s="18">
        <f>b_ch_Diesel</f>
        <v>45492.270191724252</v>
      </c>
      <c r="Q63" s="18">
        <f>N63/N64</f>
        <v>1</v>
      </c>
      <c r="R63" s="18">
        <f>LN(Q63)</f>
        <v>0</v>
      </c>
      <c r="S63" s="18">
        <f>RT0*R63</f>
        <v>0</v>
      </c>
      <c r="T63" s="18">
        <f>S63+P63</f>
        <v>45492.270191724252</v>
      </c>
      <c r="U63" s="18">
        <f>Q63*T63</f>
        <v>45492.270191724252</v>
      </c>
      <c r="V63" s="18">
        <f>U63*L63</f>
        <v>94146.207140653787</v>
      </c>
      <c r="X63" s="21" t="s">
        <v>28</v>
      </c>
      <c r="Y63" s="61">
        <f>(3*N46)+(2*N47)+N48+(3*N49)+(2*N76)</f>
        <v>21257.820618485999</v>
      </c>
      <c r="Z63" s="61">
        <f>(3*AG46)+(2*AG47)+AG48+(3*AG49)+(2*AG67)+AG68</f>
        <v>21257.820618485996</v>
      </c>
      <c r="AA63" s="14">
        <f t="shared" si="28"/>
        <v>0</v>
      </c>
      <c r="AB63" s="1"/>
      <c r="AC63" s="1"/>
      <c r="AD63" s="1"/>
      <c r="AG63" s="21"/>
      <c r="AH63" s="21"/>
      <c r="AI63" s="21"/>
      <c r="AJ63" s="14" t="s">
        <v>409</v>
      </c>
      <c r="AN63" s="177">
        <f>AD70</f>
        <v>32.219926549044033</v>
      </c>
      <c r="AO63" s="175">
        <f>AO70</f>
        <v>2244.7960862667505</v>
      </c>
      <c r="AP63" s="21"/>
      <c r="AQ63" s="21"/>
      <c r="AR63" s="21"/>
      <c r="AS63" s="21"/>
      <c r="AT63" s="21"/>
      <c r="AU63" s="21"/>
      <c r="AV63" s="307" t="s">
        <v>47</v>
      </c>
      <c r="AW63" s="307" t="s">
        <v>62</v>
      </c>
      <c r="AX63" s="307" t="s">
        <v>91</v>
      </c>
      <c r="AY63" s="307" t="s">
        <v>47</v>
      </c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140"/>
      <c r="BO63" s="23" t="s">
        <v>18</v>
      </c>
      <c r="BP63" s="23">
        <f>SUM(BP57:BP62)</f>
        <v>11.767466001905108</v>
      </c>
      <c r="BQ63" s="23">
        <f>SUM(BQ57:BQ62)</f>
        <v>1</v>
      </c>
      <c r="BR63" s="23">
        <f>SUM(BR57:BR62)</f>
        <v>0.25919703999999999</v>
      </c>
      <c r="BS63" s="23">
        <f>SUM(BS57:BS62)</f>
        <v>127.91433633099219</v>
      </c>
      <c r="BT63" s="18">
        <f t="array" ref="BT63">SUM(BP59:BP62*BT59:BT62) / BP63</f>
        <v>-1454.2261001517452</v>
      </c>
      <c r="BU63" s="23"/>
      <c r="BV63" s="23"/>
      <c r="BW63" s="23"/>
      <c r="BX63" s="23"/>
      <c r="BY63" s="23"/>
      <c r="BZ63" s="23">
        <f>SUM(BZ57:BZ62)</f>
        <v>169.82375040065935</v>
      </c>
      <c r="CA63" s="23">
        <f>SUM(CA57:CA62)</f>
        <v>21722.892325740406</v>
      </c>
    </row>
    <row r="64" spans="2:86" ht="18" customHeight="1">
      <c r="B64" s="20" t="s">
        <v>91</v>
      </c>
      <c r="C64" s="20" t="s">
        <v>91</v>
      </c>
      <c r="D64" s="20" t="s">
        <v>162</v>
      </c>
      <c r="E64" s="20" t="s">
        <v>165</v>
      </c>
      <c r="F64" s="20" t="s">
        <v>47</v>
      </c>
      <c r="G64" s="9" t="s">
        <v>91</v>
      </c>
      <c r="H64" s="20" t="s">
        <v>47</v>
      </c>
      <c r="J64" s="18" t="s">
        <v>18</v>
      </c>
      <c r="K64" s="18">
        <f>SUM(K63)</f>
        <v>88160.656904773379</v>
      </c>
      <c r="L64" s="18">
        <f>SUM(L63)</f>
        <v>2.0694989883749622</v>
      </c>
      <c r="M64" s="18">
        <f>SUM(M63)</f>
        <v>0.16731462</v>
      </c>
      <c r="N64" s="18">
        <f>SUM(N63)</f>
        <v>12.368907082805807</v>
      </c>
      <c r="O64" s="18">
        <f>SUM(O63)</f>
        <v>7127.6028120000001</v>
      </c>
      <c r="P64" s="18"/>
      <c r="Q64" s="18"/>
      <c r="R64" s="18"/>
      <c r="S64" s="18"/>
      <c r="T64" s="18"/>
      <c r="U64" s="18">
        <f>SUM(U63)</f>
        <v>45492.270191724252</v>
      </c>
      <c r="V64" s="18">
        <f>SUM(V63)</f>
        <v>94146.207140653787</v>
      </c>
      <c r="X64" s="21" t="s">
        <v>284</v>
      </c>
      <c r="Y64" s="61">
        <f>2*N77</f>
        <v>1651.0017174129191</v>
      </c>
      <c r="Z64" s="61">
        <f>2*AG69</f>
        <v>1651.0017174129191</v>
      </c>
      <c r="AA64" s="14">
        <f t="shared" si="28"/>
        <v>0</v>
      </c>
      <c r="AC64" s="1"/>
      <c r="AD64" s="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P64" s="21"/>
      <c r="AQ64" s="21"/>
      <c r="AR64" s="21"/>
      <c r="AS64" s="21"/>
      <c r="AT64" s="21"/>
      <c r="AU64" s="21"/>
      <c r="AV64" s="309">
        <f>AS28</f>
        <v>609792.2517593482</v>
      </c>
      <c r="AW64" s="309">
        <f>T_0</f>
        <v>298</v>
      </c>
      <c r="AX64" s="309">
        <f>1-(T_0/AW64)</f>
        <v>0</v>
      </c>
      <c r="AY64" s="309">
        <f>AV64</f>
        <v>609792.2517593482</v>
      </c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1" t="s">
        <v>83</v>
      </c>
      <c r="BQ64" s="21"/>
      <c r="BR64" s="14" t="s">
        <v>85</v>
      </c>
      <c r="BS64" s="14" t="s">
        <v>81</v>
      </c>
      <c r="BT64" s="1" t="s">
        <v>640</v>
      </c>
      <c r="BU64" s="21"/>
      <c r="BV64" s="21"/>
      <c r="BW64" s="21"/>
      <c r="BX64" s="21"/>
      <c r="BY64" s="21"/>
      <c r="BZ64" s="14" t="s">
        <v>90</v>
      </c>
      <c r="CA64" s="1" t="s">
        <v>87</v>
      </c>
    </row>
    <row r="65" spans="2:78" ht="18" customHeight="1">
      <c r="B65" s="20" t="s">
        <v>209</v>
      </c>
      <c r="C65" s="22" t="s">
        <v>183</v>
      </c>
      <c r="D65" s="22">
        <f>22700+23200+793+793+2420</f>
        <v>49906</v>
      </c>
      <c r="E65" s="22">
        <f t="shared" ref="E65:E71" si="36">D65*Btu_to_kJ</f>
        <v>52653.824360000006</v>
      </c>
      <c r="F65" s="22">
        <f t="shared" ref="F65:F71" si="37">E65*($AD$52/1000)</f>
        <v>53273.426448026592</v>
      </c>
      <c r="G65" s="14">
        <v>1.06</v>
      </c>
      <c r="H65" s="20">
        <f>F65*G65</f>
        <v>56469.832034908191</v>
      </c>
      <c r="K65" s="14" t="s">
        <v>47</v>
      </c>
      <c r="L65" s="1" t="s">
        <v>83</v>
      </c>
      <c r="M65" s="14" t="s">
        <v>85</v>
      </c>
      <c r="N65" s="14" t="s">
        <v>81</v>
      </c>
      <c r="O65" s="1" t="s">
        <v>640</v>
      </c>
      <c r="P65" s="21"/>
      <c r="Q65" s="21"/>
      <c r="U65" s="14" t="s">
        <v>90</v>
      </c>
      <c r="V65" s="1" t="s">
        <v>87</v>
      </c>
      <c r="X65" s="21"/>
      <c r="Y65" s="21"/>
      <c r="Z65" s="21"/>
      <c r="AA65" s="21"/>
      <c r="AC65" s="1"/>
      <c r="AD65" s="1" t="s">
        <v>449</v>
      </c>
      <c r="AE65" s="1" t="s">
        <v>450</v>
      </c>
      <c r="AF65" s="1" t="s">
        <v>579</v>
      </c>
      <c r="AG65" s="1" t="s">
        <v>79</v>
      </c>
      <c r="AH65" s="1" t="s">
        <v>509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48</v>
      </c>
      <c r="AN65" s="1" t="s">
        <v>451</v>
      </c>
      <c r="AO65" s="1" t="s">
        <v>49</v>
      </c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</row>
    <row r="66" spans="2:78" ht="18" customHeight="1">
      <c r="B66" s="20" t="s">
        <v>209</v>
      </c>
      <c r="C66" s="22" t="s">
        <v>203</v>
      </c>
      <c r="D66" s="22">
        <v>19100</v>
      </c>
      <c r="E66" s="22">
        <f t="shared" si="36"/>
        <v>20151.646000000001</v>
      </c>
      <c r="F66" s="22">
        <f t="shared" si="37"/>
        <v>20388.779809187428</v>
      </c>
      <c r="G66" s="197">
        <v>1.06</v>
      </c>
      <c r="H66" s="20">
        <f t="shared" ref="H66:H71" si="38">F66*G66</f>
        <v>21612.106597738675</v>
      </c>
      <c r="L66" s="1"/>
      <c r="P66" s="21"/>
      <c r="Q66" s="21"/>
      <c r="V66" s="1"/>
      <c r="X66" s="21"/>
      <c r="Y66" s="21"/>
      <c r="Z66" s="21"/>
      <c r="AA66" s="21"/>
      <c r="AC66" s="139" t="s">
        <v>40</v>
      </c>
      <c r="AD66" s="139" t="s">
        <v>10</v>
      </c>
      <c r="AE66" s="21" t="s">
        <v>213</v>
      </c>
      <c r="AF66" s="139" t="s">
        <v>11</v>
      </c>
      <c r="AG66" s="139" t="s">
        <v>12</v>
      </c>
      <c r="AH66" s="1" t="s">
        <v>89</v>
      </c>
      <c r="AI66" s="139" t="s">
        <v>13</v>
      </c>
      <c r="AJ66" s="139" t="s">
        <v>24</v>
      </c>
      <c r="AK66" s="139" t="s">
        <v>24</v>
      </c>
      <c r="AL66" s="139" t="s">
        <v>13</v>
      </c>
      <c r="AM66" s="139" t="s">
        <v>13</v>
      </c>
      <c r="AN66" s="139" t="s">
        <v>25</v>
      </c>
      <c r="AO66" s="1" t="s">
        <v>47</v>
      </c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</row>
    <row r="67" spans="2:78" ht="16.95" customHeight="1">
      <c r="B67" s="20" t="s">
        <v>209</v>
      </c>
      <c r="C67" s="22" t="s">
        <v>184</v>
      </c>
      <c r="D67" s="22">
        <v>5800</v>
      </c>
      <c r="E67" s="22">
        <f t="shared" si="36"/>
        <v>6119.3480000000009</v>
      </c>
      <c r="F67" s="22">
        <f t="shared" si="37"/>
        <v>6191.3572195438273</v>
      </c>
      <c r="G67" s="197">
        <v>1.06</v>
      </c>
      <c r="H67" s="20">
        <f t="shared" si="38"/>
        <v>6562.8386527164575</v>
      </c>
      <c r="L67" s="1"/>
      <c r="P67" s="21"/>
      <c r="Q67" s="21"/>
      <c r="V67" s="1"/>
      <c r="X67" s="21"/>
      <c r="Y67" s="21"/>
      <c r="Z67" s="21"/>
      <c r="AA67" s="21"/>
      <c r="AB67" s="343" t="s">
        <v>409</v>
      </c>
      <c r="AC67" s="14" t="s">
        <v>22</v>
      </c>
      <c r="AD67" s="1">
        <f>AF67*AG67</f>
        <v>6.5322375231944045</v>
      </c>
      <c r="AE67" s="40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40">
        <f>h_CO2</f>
        <v>-393.5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-4.9986653715621649</v>
      </c>
      <c r="AM67" s="1">
        <f>AI67+AL67</f>
        <v>14.901334628437869</v>
      </c>
      <c r="AN67" s="1">
        <f>AM67*AJ67</f>
        <v>1.981560455909291</v>
      </c>
      <c r="AO67" s="40">
        <f>AG70*AN67</f>
        <v>2211.7586811473352</v>
      </c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</row>
    <row r="68" spans="2:78" ht="16.95" customHeight="1">
      <c r="B68" s="20" t="s">
        <v>209</v>
      </c>
      <c r="C68" s="22" t="s">
        <v>220</v>
      </c>
      <c r="D68" s="22">
        <v>5530</v>
      </c>
      <c r="E68" s="22">
        <f t="shared" si="36"/>
        <v>5834.4818000000005</v>
      </c>
      <c r="F68" s="22">
        <f t="shared" si="37"/>
        <v>5903.1388662202344</v>
      </c>
      <c r="G68" s="197">
        <v>1.06</v>
      </c>
      <c r="H68" s="20">
        <f t="shared" si="38"/>
        <v>6257.3271981934486</v>
      </c>
      <c r="L68" s="1"/>
      <c r="P68" s="21"/>
      <c r="Q68" s="21"/>
      <c r="V68" s="1"/>
      <c r="X68" s="21"/>
      <c r="Y68" s="21"/>
      <c r="Z68" s="21"/>
      <c r="AA68" s="21"/>
      <c r="AB68" s="343"/>
      <c r="AC68" s="14" t="s">
        <v>67</v>
      </c>
      <c r="AD68" s="1">
        <f t="shared" ref="AD68:AD69" si="39">AF68*AG68</f>
        <v>2.5625372304933927</v>
      </c>
      <c r="AE68" s="1">
        <f>AD68/AD70</f>
        <v>7.9532683806488175E-2</v>
      </c>
      <c r="AF68" s="27">
        <f>MW_H2O</f>
        <v>1.8015280000000002E-2</v>
      </c>
      <c r="AG68" s="1">
        <f>H2O_molcoeff*N63</f>
        <v>142.24243145226677</v>
      </c>
      <c r="AH68" s="1">
        <f>h_H2O</f>
        <v>-241.8</v>
      </c>
      <c r="AI68" s="27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-5.1041098805769698</v>
      </c>
      <c r="AM68" s="1">
        <f t="shared" ref="AM68:AM69" si="41">AI68+AL68</f>
        <v>4.4072341194230384</v>
      </c>
      <c r="AN68" s="1">
        <f>AM68*AJ68</f>
        <v>0.56164885165519662</v>
      </c>
      <c r="AO68" s="1">
        <f>AG70*AN68</f>
        <v>626.89569712612297</v>
      </c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</row>
    <row r="69" spans="2:78" ht="19.05" customHeight="1">
      <c r="B69" s="20" t="s">
        <v>209</v>
      </c>
      <c r="C69" s="22" t="s">
        <v>221</v>
      </c>
      <c r="D69" s="22">
        <v>213</v>
      </c>
      <c r="E69" s="22">
        <f t="shared" si="36"/>
        <v>224.72778000000002</v>
      </c>
      <c r="F69" s="22">
        <f t="shared" si="37"/>
        <v>227.37225651083364</v>
      </c>
      <c r="G69" s="197">
        <v>1.06</v>
      </c>
      <c r="H69" s="20">
        <f t="shared" si="38"/>
        <v>241.01459190148367</v>
      </c>
      <c r="L69" s="1"/>
      <c r="P69" s="21"/>
      <c r="Q69" s="21"/>
      <c r="V69" s="1"/>
      <c r="X69" s="21"/>
      <c r="Y69" s="21"/>
      <c r="Z69" s="21"/>
      <c r="AA69" s="21"/>
      <c r="AB69" s="343"/>
      <c r="AC69" s="24" t="s">
        <v>66</v>
      </c>
      <c r="AD69" s="1">
        <f t="shared" si="39"/>
        <v>23.125151795356231</v>
      </c>
      <c r="AE69" s="1">
        <f>AD69/AD70</f>
        <v>0.71772825925459338</v>
      </c>
      <c r="AF69" s="27">
        <f>MW_N2</f>
        <v>2.801348E-2</v>
      </c>
      <c r="AG69" s="1">
        <f>N77</f>
        <v>825.50085870645955</v>
      </c>
      <c r="AH69" s="1">
        <f>h_N2</f>
        <v>0</v>
      </c>
      <c r="AI69" s="27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-0.74740496911034382</v>
      </c>
      <c r="AM69" s="1">
        <f t="shared" si="41"/>
        <v>-0.71939148911034378</v>
      </c>
      <c r="AN69" s="1">
        <f t="shared" ref="AN69" si="42">AM69*AJ69</f>
        <v>-0.53204995548785849</v>
      </c>
      <c r="AO69" s="1">
        <f>AG70*AN69</f>
        <v>-593.85829200670753</v>
      </c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U69" s="21"/>
      <c r="BV69" s="21"/>
      <c r="BW69" s="21"/>
      <c r="BX69" s="21"/>
      <c r="BY69" s="21"/>
      <c r="BZ69" s="21"/>
    </row>
    <row r="70" spans="2:78" ht="16.05" customHeight="1">
      <c r="B70" s="20" t="s">
        <v>209</v>
      </c>
      <c r="C70" s="22" t="s">
        <v>222</v>
      </c>
      <c r="D70" s="22">
        <v>1200</v>
      </c>
      <c r="E70" s="22">
        <f t="shared" si="36"/>
        <v>1266.0720000000001</v>
      </c>
      <c r="F70" s="22">
        <f t="shared" si="37"/>
        <v>1280.9704592159642</v>
      </c>
      <c r="G70" s="197">
        <v>1.06</v>
      </c>
      <c r="H70" s="20">
        <f t="shared" si="38"/>
        <v>1357.8286867689221</v>
      </c>
      <c r="U70" s="179" t="s">
        <v>1</v>
      </c>
      <c r="V70" s="178" t="s">
        <v>0</v>
      </c>
      <c r="X70" s="21"/>
      <c r="Y70" s="21"/>
      <c r="Z70" s="21"/>
      <c r="AA70" s="21"/>
      <c r="AB70" s="343"/>
      <c r="AC70" s="18" t="s">
        <v>18</v>
      </c>
      <c r="AD70" s="40">
        <f>SUM(AD67:AD69)</f>
        <v>32.219926549044033</v>
      </c>
      <c r="AE70" s="40">
        <f>SUM(AE67:AE69)</f>
        <v>0.99999999999999989</v>
      </c>
      <c r="AF70" s="40">
        <f>SUM(AF67:AF69)</f>
        <v>9.0038560000000004E-2</v>
      </c>
      <c r="AG70" s="40">
        <f>SUM(AG67:AG69)</f>
        <v>1116.170175152396</v>
      </c>
      <c r="AH70" s="18">
        <f t="array" ref="AH70">SUM(AD67:AD69*AH67:AH69) / AD70</f>
        <v>-99.008821849873215</v>
      </c>
      <c r="AI70" s="23"/>
      <c r="AJ70" s="40">
        <f>SUM(AJ67:AJ69)</f>
        <v>1</v>
      </c>
      <c r="AK70" s="18"/>
      <c r="AL70" s="18"/>
      <c r="AM70" s="18"/>
      <c r="AN70" s="40">
        <f>SUM(AN67:AN69)</f>
        <v>2.0111593520766293</v>
      </c>
      <c r="AO70" s="40">
        <f>SUM(AO67:AO69)</f>
        <v>2244.7960862667505</v>
      </c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Q70" t="s">
        <v>787</v>
      </c>
      <c r="BU70" s="21"/>
      <c r="BV70" s="21"/>
      <c r="BW70" s="21"/>
      <c r="BX70" s="21"/>
      <c r="BY70" s="21"/>
      <c r="BZ70" s="21"/>
    </row>
    <row r="71" spans="2:78" ht="18" customHeight="1">
      <c r="B71" s="20" t="s">
        <v>209</v>
      </c>
      <c r="C71" s="22" t="s">
        <v>207</v>
      </c>
      <c r="D71" s="22">
        <v>839</v>
      </c>
      <c r="E71" s="22">
        <f t="shared" si="36"/>
        <v>885.1953400000001</v>
      </c>
      <c r="F71" s="22">
        <f t="shared" si="37"/>
        <v>895.61184606849497</v>
      </c>
      <c r="G71" s="197">
        <v>1.06</v>
      </c>
      <c r="H71" s="20">
        <f t="shared" si="38"/>
        <v>949.34855683260469</v>
      </c>
      <c r="U71" s="181" t="s">
        <v>83</v>
      </c>
      <c r="V71" s="180" t="s">
        <v>87</v>
      </c>
      <c r="X71" s="21"/>
      <c r="Y71" s="21"/>
      <c r="Z71" s="21"/>
      <c r="AA71" s="21"/>
      <c r="AD71" s="1" t="s">
        <v>83</v>
      </c>
      <c r="AE71" s="1"/>
      <c r="AF71" s="14" t="s">
        <v>85</v>
      </c>
      <c r="AG71" s="14" t="s">
        <v>81</v>
      </c>
      <c r="AH71" s="1" t="s">
        <v>510</v>
      </c>
      <c r="AI71" s="21"/>
      <c r="AJ71" s="21"/>
      <c r="AN71" s="14" t="s">
        <v>90</v>
      </c>
      <c r="AO71" s="1" t="s">
        <v>87</v>
      </c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U71" s="21"/>
      <c r="BV71" s="21"/>
      <c r="BW71" s="21"/>
      <c r="BX71" s="21"/>
      <c r="BY71" s="21"/>
      <c r="BZ71" s="21"/>
    </row>
    <row r="72" spans="2:78" ht="16.05" customHeight="1">
      <c r="B72" s="20"/>
      <c r="C72" s="22" t="s">
        <v>18</v>
      </c>
      <c r="D72" s="20">
        <f>SUM(D65:D71)</f>
        <v>82588</v>
      </c>
      <c r="E72" s="20">
        <f>SUM(E65:E71)</f>
        <v>87135.295280000006</v>
      </c>
      <c r="F72" s="20">
        <f>SUM(F65:F71)</f>
        <v>88160.656904773379</v>
      </c>
      <c r="G72" s="9"/>
      <c r="H72" s="20">
        <f>SUM(H65:H71)</f>
        <v>93450.29631905978</v>
      </c>
      <c r="Q72" s="14" t="s">
        <v>420</v>
      </c>
      <c r="U72" s="177">
        <f>K78</f>
        <v>30.150427560669065</v>
      </c>
      <c r="V72" s="175">
        <f>V78</f>
        <v>125.02637472887361</v>
      </c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P72" s="307" t="s">
        <v>782</v>
      </c>
      <c r="BQ72" s="307" t="s">
        <v>265</v>
      </c>
      <c r="BR72" s="308" t="s">
        <v>250</v>
      </c>
      <c r="BS72" s="308" t="s">
        <v>783</v>
      </c>
      <c r="BU72" s="21"/>
      <c r="BV72" s="21"/>
      <c r="BW72" s="21"/>
      <c r="BX72" s="21"/>
      <c r="BY72" s="21"/>
      <c r="BZ72" s="21"/>
    </row>
    <row r="73" spans="2:78"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P73" s="307" t="s">
        <v>47</v>
      </c>
      <c r="BQ73" s="307" t="s">
        <v>62</v>
      </c>
      <c r="BR73" s="307" t="s">
        <v>91</v>
      </c>
      <c r="BS73" s="307" t="s">
        <v>47</v>
      </c>
      <c r="BU73" s="21"/>
      <c r="BV73" s="21"/>
      <c r="BW73" s="21"/>
      <c r="BX73" s="21"/>
      <c r="BY73" s="21"/>
      <c r="BZ73" s="21"/>
    </row>
    <row r="74" spans="2:78" ht="18" customHeight="1">
      <c r="E74" s="348" t="s">
        <v>414</v>
      </c>
      <c r="F74" s="348"/>
      <c r="G74" s="348"/>
      <c r="H74" s="348"/>
      <c r="K74" s="1" t="s">
        <v>449</v>
      </c>
      <c r="L74" s="1" t="s">
        <v>450</v>
      </c>
      <c r="M74" s="1" t="s">
        <v>579</v>
      </c>
      <c r="N74" s="1" t="s">
        <v>79</v>
      </c>
      <c r="O74" s="1" t="s">
        <v>509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48</v>
      </c>
      <c r="U74" s="1" t="s">
        <v>451</v>
      </c>
      <c r="V74" s="1" t="s">
        <v>49</v>
      </c>
      <c r="X74" s="21"/>
      <c r="Y74" s="21"/>
      <c r="Z74" s="21"/>
      <c r="AA74" s="21"/>
      <c r="AD74" t="s">
        <v>795</v>
      </c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P74" s="309">
        <f>'MCC_hM_RUVY_matrices_mat_level '!L151</f>
        <v>2097717.26361016</v>
      </c>
      <c r="BQ74" s="309">
        <v>1448.15</v>
      </c>
      <c r="BR74" s="309">
        <f>1-(T_0/BQ74)</f>
        <v>0.79422021199461379</v>
      </c>
      <c r="BS74" s="309">
        <f>BP74*BR74</f>
        <v>1666049.4498092225</v>
      </c>
      <c r="BU74" s="21"/>
      <c r="BV74" s="21"/>
      <c r="BW74" s="21"/>
      <c r="BX74" s="21"/>
      <c r="BY74" s="21"/>
      <c r="BZ74" s="21"/>
    </row>
    <row r="75" spans="2:78" ht="18" customHeight="1">
      <c r="E75" s="348"/>
      <c r="F75" s="348"/>
      <c r="G75" s="348"/>
      <c r="H75" s="348"/>
      <c r="J75" s="187" t="s">
        <v>40</v>
      </c>
      <c r="K75" s="14" t="s">
        <v>10</v>
      </c>
      <c r="L75" s="14" t="s">
        <v>171</v>
      </c>
      <c r="M75" s="139" t="s">
        <v>84</v>
      </c>
      <c r="N75" s="139" t="s">
        <v>80</v>
      </c>
      <c r="O75" s="1" t="s">
        <v>89</v>
      </c>
      <c r="P75" s="139" t="s">
        <v>89</v>
      </c>
      <c r="Q75" s="139" t="s">
        <v>24</v>
      </c>
      <c r="R75" s="139" t="s">
        <v>91</v>
      </c>
      <c r="S75" s="139" t="s">
        <v>89</v>
      </c>
      <c r="T75" s="139" t="s">
        <v>89</v>
      </c>
      <c r="U75" s="139" t="s">
        <v>88</v>
      </c>
      <c r="V75" s="139" t="s">
        <v>86</v>
      </c>
      <c r="X75" s="21"/>
      <c r="Y75" s="21"/>
      <c r="Z75" s="21"/>
      <c r="AA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 t="s">
        <v>788</v>
      </c>
      <c r="BQ75" s="21"/>
      <c r="BR75" s="21"/>
      <c r="BS75" s="21"/>
      <c r="BT75" s="21"/>
      <c r="BU75" s="21"/>
      <c r="BV75" s="21"/>
      <c r="BW75" s="21"/>
      <c r="BX75" s="21"/>
      <c r="BY75" s="21"/>
      <c r="BZ75" s="21"/>
    </row>
    <row r="76" spans="2:78" ht="18" customHeight="1">
      <c r="I76" s="343" t="s">
        <v>420</v>
      </c>
      <c r="J76" s="1" t="s">
        <v>233</v>
      </c>
      <c r="K76" s="18">
        <f>M76*N76</f>
        <v>7.025275765312835</v>
      </c>
      <c r="L76" s="18">
        <f>K76/K78</f>
        <v>0.23300750051310176</v>
      </c>
      <c r="M76" s="14">
        <f>MW_O2</f>
        <v>3.1998800000000001E-2</v>
      </c>
      <c r="N76" s="14">
        <f>O2_molcoeff*N63</f>
        <v>219.54810071980307</v>
      </c>
      <c r="O76" s="18">
        <f>h_O2</f>
        <v>0</v>
      </c>
      <c r="P76" s="14">
        <f>b_ch_O2</f>
        <v>4</v>
      </c>
      <c r="Q76" s="14">
        <f>N76/N78</f>
        <v>0.21008403361344538</v>
      </c>
      <c r="R76" s="1">
        <f>LN(Q76)</f>
        <v>-1.5602476682433286</v>
      </c>
      <c r="S76" s="1">
        <f>RT0*R76</f>
        <v>-3.8656259359049598</v>
      </c>
      <c r="T76" s="1">
        <f>P76+S76</f>
        <v>0.13437406409504016</v>
      </c>
      <c r="U76" s="1">
        <f>T76*Q76</f>
        <v>2.8229845398117681E-2</v>
      </c>
      <c r="V76" s="1">
        <f>N78*U76</f>
        <v>29.501570558067151</v>
      </c>
      <c r="X76" s="21"/>
      <c r="Y76" s="21"/>
      <c r="Z76" s="21"/>
      <c r="AA76" s="21"/>
      <c r="AC76" s="307" t="s">
        <v>782</v>
      </c>
      <c r="AD76" s="307" t="s">
        <v>265</v>
      </c>
      <c r="AE76" s="308" t="s">
        <v>250</v>
      </c>
      <c r="AF76" s="308" t="s">
        <v>783</v>
      </c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</row>
    <row r="77" spans="2:78" ht="18" customHeight="1">
      <c r="I77" s="343"/>
      <c r="J77" s="159" t="s">
        <v>66</v>
      </c>
      <c r="K77" s="14">
        <f>M77*N77</f>
        <v>23.125151795356231</v>
      </c>
      <c r="L77" s="14">
        <f>K77/K78</f>
        <v>0.76699249948689829</v>
      </c>
      <c r="M77" s="58">
        <f>MW_N2</f>
        <v>2.801348E-2</v>
      </c>
      <c r="N77" s="58">
        <f>N2_molcoeff*N76</f>
        <v>825.50085870645955</v>
      </c>
      <c r="O77" s="58">
        <f>h_N2</f>
        <v>0</v>
      </c>
      <c r="P77" s="58">
        <f>b_ch_N2</f>
        <v>0.7</v>
      </c>
      <c r="Q77" s="58">
        <f>N77/N78</f>
        <v>0.78991596638655459</v>
      </c>
      <c r="R77" s="139">
        <f>LN(Q77)</f>
        <v>-0.23582871084152554</v>
      </c>
      <c r="S77" s="139">
        <f>RT0*R77</f>
        <v>-0.58428261077706012</v>
      </c>
      <c r="T77" s="139">
        <f>P77+S77</f>
        <v>0.11571738922293984</v>
      </c>
      <c r="U77" s="139">
        <f>T77*Q77</f>
        <v>9.1407013335767603E-2</v>
      </c>
      <c r="V77" s="139">
        <f>N78*U77</f>
        <v>95.524804170806448</v>
      </c>
      <c r="X77" s="21"/>
      <c r="Y77" s="21"/>
      <c r="Z77" s="21"/>
      <c r="AA77" s="21"/>
      <c r="AC77" s="307" t="s">
        <v>47</v>
      </c>
      <c r="AD77" s="307" t="s">
        <v>62</v>
      </c>
      <c r="AE77" s="307" t="s">
        <v>91</v>
      </c>
      <c r="AF77" s="307" t="s">
        <v>47</v>
      </c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</row>
    <row r="78" spans="2:78" ht="16.05" customHeight="1">
      <c r="K78" s="18">
        <f>SUM(K76:K77)</f>
        <v>30.150427560669065</v>
      </c>
      <c r="L78" s="18"/>
      <c r="M78" s="14">
        <f>SUM(M76:M77)</f>
        <v>6.0012280000000001E-2</v>
      </c>
      <c r="N78" s="14">
        <f>SUM(N76:N77)</f>
        <v>1045.0489594262626</v>
      </c>
      <c r="O78" s="14">
        <f>SUM(O76:O77)</f>
        <v>0</v>
      </c>
      <c r="U78" s="14">
        <f>SUM(U76:U77)</f>
        <v>0.11963685873388528</v>
      </c>
      <c r="V78" s="14">
        <f>SUM(V76:V77)</f>
        <v>125.02637472887361</v>
      </c>
      <c r="W78" s="21"/>
      <c r="X78" s="21"/>
      <c r="Y78" s="21"/>
      <c r="Z78" s="21"/>
      <c r="AA78" s="21"/>
      <c r="AC78" s="309">
        <f>'MCC_hM_RUVY_matrices_mat_level '!L145</f>
        <v>123590.55458095018</v>
      </c>
      <c r="AD78" s="309">
        <f>T_0</f>
        <v>298</v>
      </c>
      <c r="AE78" s="309">
        <f>1-(T_0/AD78)</f>
        <v>0</v>
      </c>
      <c r="AF78" s="309">
        <f>AC78</f>
        <v>123590.55458095018</v>
      </c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1"/>
      <c r="BP78" s="21"/>
      <c r="BS78" s="21"/>
      <c r="BT78" s="21"/>
      <c r="BU78" s="21"/>
      <c r="BV78" s="21"/>
      <c r="BW78" s="21"/>
      <c r="BX78" s="21"/>
      <c r="BZ78" s="1"/>
    </row>
    <row r="79" spans="2:78" ht="18" customHeight="1">
      <c r="K79" s="1"/>
      <c r="L79" s="1"/>
      <c r="M79" s="14" t="s">
        <v>85</v>
      </c>
      <c r="N79" s="14" t="s">
        <v>81</v>
      </c>
      <c r="O79" s="1" t="s">
        <v>640</v>
      </c>
      <c r="P79" s="21"/>
      <c r="Q79" s="21"/>
      <c r="U79" s="14" t="s">
        <v>90</v>
      </c>
      <c r="V79" s="1" t="s">
        <v>87</v>
      </c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W79" s="21"/>
      <c r="BX79" s="21"/>
    </row>
    <row r="80" spans="2:78"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X80" s="21"/>
      <c r="BY80" s="21"/>
    </row>
    <row r="81" spans="8:105" ht="16.05" customHeight="1"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186"/>
      <c r="U81" s="186"/>
      <c r="V81" s="186"/>
      <c r="W81" s="186"/>
      <c r="X81" s="186"/>
      <c r="Y81" s="186"/>
      <c r="Z81" s="186"/>
      <c r="AA81" s="186"/>
      <c r="AB81" s="186"/>
      <c r="AC81" s="186"/>
      <c r="AD81" s="186"/>
      <c r="AE81" s="186"/>
      <c r="AF81" s="186"/>
      <c r="AG81" s="186"/>
      <c r="AH81" s="186"/>
      <c r="AI81" s="186"/>
      <c r="AJ81" s="186"/>
      <c r="AK81" s="186"/>
      <c r="AL81" s="186"/>
      <c r="AM81" s="186"/>
      <c r="AN81" s="186"/>
      <c r="AO81" s="186"/>
      <c r="AP81" s="186"/>
      <c r="AQ81" s="186"/>
      <c r="AR81" s="186"/>
      <c r="AS81" s="186"/>
      <c r="AT81" s="186"/>
      <c r="AU81" s="186"/>
      <c r="AV81" s="186"/>
      <c r="AW81" s="186"/>
      <c r="AX81" s="186"/>
      <c r="AY81" s="186"/>
      <c r="AZ81" s="186"/>
      <c r="BA81" s="186"/>
      <c r="BB81" s="186"/>
      <c r="BC81" s="186"/>
      <c r="BD81" s="186"/>
      <c r="BE81" s="186"/>
      <c r="BF81" s="186"/>
      <c r="BG81" s="186"/>
      <c r="BH81" s="186"/>
      <c r="BI81" s="186"/>
      <c r="BJ81" s="186"/>
      <c r="BK81" s="186"/>
      <c r="BL81" s="186"/>
      <c r="BM81" s="186"/>
      <c r="BN81" s="186"/>
      <c r="BO81" s="186"/>
      <c r="BP81" s="186"/>
      <c r="BQ81" s="186"/>
      <c r="BR81" s="186"/>
      <c r="BS81" s="186"/>
      <c r="BT81" s="186"/>
      <c r="BU81" s="42"/>
      <c r="BV81" s="42"/>
      <c r="BW81" s="186"/>
      <c r="BX81" s="186"/>
      <c r="BY81" s="42"/>
      <c r="BZ81" s="42"/>
      <c r="CA81" s="42"/>
      <c r="CB81" s="42"/>
      <c r="CC81" s="42"/>
      <c r="CD81" s="42"/>
      <c r="CE81" s="42"/>
      <c r="CF81" s="42"/>
      <c r="CG81" s="42"/>
      <c r="CH81" s="42"/>
      <c r="CI81" s="42"/>
      <c r="CJ81" s="42"/>
      <c r="CK81" s="42"/>
      <c r="CL81" s="42"/>
      <c r="CM81" s="42"/>
      <c r="CN81" s="42"/>
      <c r="CO81" s="42"/>
      <c r="CP81" s="42"/>
      <c r="CQ81" s="42"/>
      <c r="CR81" s="42"/>
      <c r="CS81" s="42"/>
      <c r="CT81" s="42"/>
      <c r="CU81" s="42"/>
      <c r="CV81" s="42"/>
      <c r="CW81" s="42"/>
      <c r="CX81" s="42"/>
      <c r="CY81" s="42"/>
      <c r="CZ81" s="42"/>
      <c r="DA81" s="42"/>
    </row>
    <row r="82" spans="8:105"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W82" s="21"/>
      <c r="BX82" s="21"/>
    </row>
    <row r="83" spans="8:105"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W83" s="21"/>
      <c r="BX83" s="21"/>
    </row>
    <row r="84" spans="8:105"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W84" s="21"/>
      <c r="BX84" s="21"/>
    </row>
    <row r="85" spans="8:105"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W85" s="21"/>
      <c r="BX85" s="21"/>
    </row>
    <row r="86" spans="8:105"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W86" s="21"/>
      <c r="BX86" s="21"/>
    </row>
    <row r="87" spans="8:105"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W87" s="21"/>
      <c r="BX87" s="21"/>
    </row>
    <row r="88" spans="8:105"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W88" s="21"/>
      <c r="BX88" s="21"/>
    </row>
    <row r="89" spans="8:105"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W89" s="21"/>
      <c r="BX89" s="21"/>
    </row>
    <row r="90" spans="8:105"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W90" s="21"/>
      <c r="BX90" s="21"/>
    </row>
    <row r="91" spans="8:105"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W91" s="21"/>
      <c r="BX91" s="21"/>
    </row>
    <row r="92" spans="8:105"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W92" s="21"/>
      <c r="BX92" s="21"/>
    </row>
    <row r="93" spans="8:105" ht="19.8" customHeight="1"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W93" s="21"/>
      <c r="BX93" s="21"/>
    </row>
    <row r="94" spans="8:105"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W94" s="21"/>
      <c r="BX94" s="21"/>
    </row>
    <row r="95" spans="8:105"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W95" s="21"/>
      <c r="BX95" s="21"/>
    </row>
    <row r="96" spans="8:105" ht="19.2" customHeight="1"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W96" s="21"/>
      <c r="BX96" s="21"/>
    </row>
    <row r="97" spans="16:169"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W97" s="21"/>
      <c r="BX97" s="21"/>
    </row>
    <row r="98" spans="16:169" ht="19.2" customHeight="1"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W98" s="21"/>
      <c r="BX98" s="21"/>
    </row>
    <row r="99" spans="16:169"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W99" s="21"/>
      <c r="BX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179" t="s">
        <v>1</v>
      </c>
      <c r="EM99" s="178" t="s">
        <v>0</v>
      </c>
    </row>
    <row r="100" spans="16:169" ht="18" customHeight="1"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W100" s="21"/>
      <c r="BX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181" t="s">
        <v>83</v>
      </c>
      <c r="EM100" s="180" t="s">
        <v>87</v>
      </c>
    </row>
    <row r="101" spans="16:169" ht="19.2" customHeight="1"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W101" s="21"/>
      <c r="BX101" s="21"/>
      <c r="EA101" s="21"/>
      <c r="EB101" s="21"/>
      <c r="EC101" s="21"/>
      <c r="ED101" s="21"/>
      <c r="EE101" s="21"/>
      <c r="EF101" s="21"/>
      <c r="EG101" s="21"/>
      <c r="EH101" s="21" t="s">
        <v>411</v>
      </c>
      <c r="EI101" s="21"/>
      <c r="EJ101" s="21"/>
      <c r="EK101" s="21"/>
      <c r="EL101" s="177">
        <f>EC106</f>
        <v>4.914718171980665</v>
      </c>
      <c r="EM101" s="175">
        <f>EM106</f>
        <v>29112.263489807588</v>
      </c>
    </row>
    <row r="102" spans="16:169" ht="39" customHeight="1"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126"/>
      <c r="AI102" s="126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FB102" s="1"/>
      <c r="FC102" s="1"/>
      <c r="FD102" s="1"/>
      <c r="FE102" s="1"/>
      <c r="FF102" s="1"/>
      <c r="FG102" s="1"/>
      <c r="FH102" s="1"/>
      <c r="FL102" s="179" t="s">
        <v>1</v>
      </c>
      <c r="FM102" s="178" t="s">
        <v>0</v>
      </c>
    </row>
    <row r="103" spans="16:169" ht="18" customHeight="1"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DT103" s="348" t="s">
        <v>410</v>
      </c>
      <c r="DU103" s="348"/>
      <c r="DV103" s="348"/>
      <c r="DW103" s="348"/>
      <c r="DX103" s="348"/>
      <c r="DY103" s="348"/>
      <c r="EA103" s="21"/>
      <c r="EB103" s="14" t="s">
        <v>454</v>
      </c>
      <c r="EC103" s="1" t="s">
        <v>449</v>
      </c>
      <c r="ED103" s="14" t="s">
        <v>5</v>
      </c>
      <c r="EE103" s="1" t="s">
        <v>79</v>
      </c>
      <c r="EF103" s="1" t="s">
        <v>509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48</v>
      </c>
      <c r="EL103" s="1" t="s">
        <v>451</v>
      </c>
      <c r="EM103" s="1" t="s">
        <v>49</v>
      </c>
      <c r="FA103" s="1"/>
      <c r="FB103" s="1"/>
      <c r="FC103" s="1"/>
      <c r="FD103" s="1"/>
      <c r="FE103" s="1"/>
      <c r="FF103" s="1"/>
      <c r="FG103" s="1"/>
      <c r="FL103" s="181" t="s">
        <v>83</v>
      </c>
      <c r="FM103" s="180" t="s">
        <v>87</v>
      </c>
    </row>
    <row r="104" spans="16:169" ht="19.05" customHeight="1"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M104" s="21"/>
      <c r="BN104" s="21"/>
      <c r="BO104" s="21"/>
      <c r="BP104" s="21"/>
      <c r="BQ104" s="21"/>
      <c r="BR104" s="21"/>
      <c r="BS104" s="21"/>
      <c r="DT104" s="361"/>
      <c r="DU104" s="361"/>
      <c r="DV104" s="361"/>
      <c r="DW104" s="361"/>
      <c r="DX104" s="361"/>
      <c r="DY104" s="361"/>
      <c r="EA104" s="21" t="s">
        <v>40</v>
      </c>
      <c r="EB104" s="14" t="s">
        <v>453</v>
      </c>
      <c r="EC104" s="1" t="s">
        <v>82</v>
      </c>
      <c r="ED104" s="1" t="s">
        <v>84</v>
      </c>
      <c r="EE104" s="1" t="s">
        <v>80</v>
      </c>
      <c r="EF104" s="1" t="s">
        <v>89</v>
      </c>
      <c r="EG104" s="1" t="s">
        <v>271</v>
      </c>
      <c r="EH104" s="1" t="s">
        <v>24</v>
      </c>
      <c r="EI104" s="1" t="s">
        <v>91</v>
      </c>
      <c r="EJ104" s="1" t="s">
        <v>89</v>
      </c>
      <c r="EK104" s="1" t="s">
        <v>89</v>
      </c>
      <c r="EL104" s="1" t="s">
        <v>89</v>
      </c>
      <c r="EM104" s="1" t="s">
        <v>86</v>
      </c>
      <c r="EZ104" s="1"/>
      <c r="FA104" s="1"/>
      <c r="FB104" s="1"/>
      <c r="FC104" s="1"/>
      <c r="FD104" s="1"/>
      <c r="FE104" s="1"/>
      <c r="FF104" s="1"/>
      <c r="FG104" s="14" t="s">
        <v>457</v>
      </c>
      <c r="FL104" s="177">
        <f>FB109</f>
        <v>229.94813284002646</v>
      </c>
      <c r="FM104" s="175">
        <f>FM109</f>
        <v>67875.356217847453</v>
      </c>
    </row>
    <row r="105" spans="16:169" ht="18.45" customHeight="1"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DT105" s="2" t="s">
        <v>195</v>
      </c>
      <c r="DU105" s="204" t="s">
        <v>166</v>
      </c>
      <c r="DV105" s="204" t="s">
        <v>166</v>
      </c>
      <c r="DW105" s="204" t="s">
        <v>166</v>
      </c>
      <c r="DX105" s="205" t="s">
        <v>250</v>
      </c>
      <c r="DY105" s="204" t="s">
        <v>244</v>
      </c>
      <c r="DZ105" s="138" t="s">
        <v>411</v>
      </c>
      <c r="EA105" s="188" t="s">
        <v>402</v>
      </c>
      <c r="EB105" s="18">
        <f>DW107</f>
        <v>194131.36779323628</v>
      </c>
      <c r="EC105" s="18">
        <f>EB105/LHV_Oil</f>
        <v>4.914718171980665</v>
      </c>
      <c r="ED105" s="18">
        <f>MW_Oil</f>
        <v>0.1402688</v>
      </c>
      <c r="EE105" s="18">
        <f>EC105/ED105</f>
        <v>35.037857114202623</v>
      </c>
      <c r="EF105" s="18">
        <f>LHV_Oil*ED105</f>
        <v>5540.6175999999996</v>
      </c>
      <c r="EG105" s="18">
        <f>b_ch_fueloil*ED105</f>
        <v>5923.4858380648811</v>
      </c>
      <c r="EH105" s="18">
        <f>EE105/EE106</f>
        <v>1</v>
      </c>
      <c r="EI105" s="18">
        <f>LN(EH105)</f>
        <v>0</v>
      </c>
      <c r="EJ105" s="18">
        <f>RT0*EI105</f>
        <v>0</v>
      </c>
      <c r="EK105" s="18">
        <f>EJ105+EG105</f>
        <v>5923.4858380648811</v>
      </c>
      <c r="EL105" s="18">
        <f>EH105*EK105</f>
        <v>5923.4858380648811</v>
      </c>
      <c r="EM105" s="18">
        <f>EL105*EC105</f>
        <v>29112.263489807588</v>
      </c>
      <c r="EZ105" s="1"/>
      <c r="FA105" s="1"/>
      <c r="FB105" s="1"/>
      <c r="FC105" s="1"/>
      <c r="FD105" s="1"/>
      <c r="FE105" s="1"/>
      <c r="FF105" s="1"/>
    </row>
    <row r="106" spans="16:169" ht="18" customHeight="1"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DT106" s="2" t="s">
        <v>91</v>
      </c>
      <c r="DU106" s="204" t="s">
        <v>161</v>
      </c>
      <c r="DV106" s="204" t="s">
        <v>256</v>
      </c>
      <c r="DW106" s="204" t="s">
        <v>47</v>
      </c>
      <c r="DX106" s="205" t="s">
        <v>91</v>
      </c>
      <c r="DY106" s="204" t="s">
        <v>47</v>
      </c>
      <c r="EA106" s="14" t="s">
        <v>18</v>
      </c>
      <c r="EB106" s="18">
        <f>SUM(EB105)</f>
        <v>194131.36779323628</v>
      </c>
      <c r="EC106" s="18">
        <f>SUM(EC105)</f>
        <v>4.914718171980665</v>
      </c>
      <c r="ED106" s="18">
        <f>SUM(ED105)</f>
        <v>0.1402688</v>
      </c>
      <c r="EE106" s="18">
        <f>SUM(EE105)</f>
        <v>35.037857114202623</v>
      </c>
      <c r="EF106" s="18">
        <f>SUM(EF105)</f>
        <v>5540.6175999999996</v>
      </c>
      <c r="EG106" s="18"/>
      <c r="EH106" s="18"/>
      <c r="EI106" s="18"/>
      <c r="EJ106" s="18"/>
      <c r="EK106" s="18"/>
      <c r="EL106" s="18">
        <f>SUM(EL105)</f>
        <v>5923.4858380648811</v>
      </c>
      <c r="EM106" s="18">
        <f>SUM(EM105)</f>
        <v>29112.263489807588</v>
      </c>
      <c r="FA106" s="1"/>
      <c r="FB106" s="1" t="s">
        <v>1</v>
      </c>
      <c r="FC106" s="1" t="s">
        <v>450</v>
      </c>
      <c r="FD106" s="1" t="s">
        <v>579</v>
      </c>
      <c r="FE106" s="1" t="s">
        <v>79</v>
      </c>
      <c r="FF106" s="1" t="s">
        <v>509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48</v>
      </c>
      <c r="FL106" s="1" t="s">
        <v>451</v>
      </c>
      <c r="FM106" s="1" t="s">
        <v>49</v>
      </c>
    </row>
    <row r="107" spans="16:169" ht="19.2" customHeight="1">
      <c r="T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3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DT107" s="2" t="s">
        <v>448</v>
      </c>
      <c r="DU107" s="204">
        <f>0.14*10^6</f>
        <v>140000</v>
      </c>
      <c r="DV107" s="2">
        <f>DU107*Btu_to_kJ</f>
        <v>147708.40000000002</v>
      </c>
      <c r="DW107" s="2">
        <f>DV107*($EL$126/1000)</f>
        <v>194131.36779323628</v>
      </c>
      <c r="DX107" s="2">
        <v>1.06</v>
      </c>
      <c r="DY107" s="152">
        <f>DW107*DX107</f>
        <v>205779.24986083046</v>
      </c>
      <c r="EB107" s="14" t="s">
        <v>47</v>
      </c>
      <c r="EC107" s="1" t="s">
        <v>83</v>
      </c>
      <c r="ED107" s="14" t="s">
        <v>85</v>
      </c>
      <c r="EE107" s="14" t="s">
        <v>81</v>
      </c>
      <c r="EF107" s="1" t="s">
        <v>640</v>
      </c>
      <c r="EG107" s="21"/>
      <c r="EH107" s="21"/>
      <c r="EL107" s="14" t="s">
        <v>90</v>
      </c>
      <c r="EM107" s="1" t="s">
        <v>87</v>
      </c>
      <c r="FA107" s="139" t="s">
        <v>40</v>
      </c>
      <c r="FB107" s="139" t="s">
        <v>10</v>
      </c>
      <c r="FC107" s="1" t="s">
        <v>452</v>
      </c>
      <c r="FD107" s="139" t="s">
        <v>11</v>
      </c>
      <c r="FE107" s="139" t="s">
        <v>12</v>
      </c>
      <c r="FF107" s="1" t="s">
        <v>89</v>
      </c>
      <c r="FG107" s="139" t="s">
        <v>13</v>
      </c>
      <c r="FH107" s="139" t="s">
        <v>24</v>
      </c>
      <c r="FI107" s="139" t="s">
        <v>24</v>
      </c>
      <c r="FJ107" s="139" t="s">
        <v>13</v>
      </c>
      <c r="FK107" s="139" t="s">
        <v>13</v>
      </c>
      <c r="FL107" s="139" t="s">
        <v>25</v>
      </c>
      <c r="FM107" s="1" t="s">
        <v>47</v>
      </c>
    </row>
    <row r="108" spans="16:169" ht="18" customHeight="1">
      <c r="T108" s="21"/>
      <c r="U108" s="21"/>
      <c r="V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I108" s="3" t="s">
        <v>210</v>
      </c>
      <c r="BJ108" s="21" t="s">
        <v>214</v>
      </c>
      <c r="BK108" s="21" t="s">
        <v>215</v>
      </c>
      <c r="BN108" s="21"/>
      <c r="BO108" s="21"/>
      <c r="BP108" s="21"/>
      <c r="BQ108" s="21"/>
      <c r="BR108" s="21"/>
      <c r="BS108" s="21"/>
      <c r="EZ108" s="138" t="s">
        <v>457</v>
      </c>
      <c r="FA108" s="1" t="s">
        <v>21</v>
      </c>
      <c r="FB108" s="1">
        <f>Slag_BF_out</f>
        <v>229.94813284002646</v>
      </c>
      <c r="FC108" s="172">
        <f>FB108/FB109</f>
        <v>1</v>
      </c>
      <c r="FD108" s="27">
        <f>MW_CaSiO3</f>
        <v>0.11616169999999999</v>
      </c>
      <c r="FE108" s="27">
        <f>FB108/FD108</f>
        <v>1979.552062685261</v>
      </c>
      <c r="FF108" s="161">
        <f>h_CaSiO3</f>
        <v>-89.61</v>
      </c>
      <c r="FG108" s="24">
        <f>b_ch_CaSiO3</f>
        <v>34.288240000000087</v>
      </c>
      <c r="FH108" s="27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40">
        <f>$FE$109*FL108</f>
        <v>67875.356217847453</v>
      </c>
    </row>
    <row r="109" spans="16:169" ht="16.05" customHeight="1">
      <c r="T109" s="3"/>
      <c r="U109" s="21"/>
      <c r="V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W109" s="21"/>
      <c r="FA109" s="40" t="s">
        <v>18</v>
      </c>
      <c r="FB109" s="144">
        <f>SUM(FB108)</f>
        <v>229.94813284002646</v>
      </c>
      <c r="FC109" s="144">
        <f>FC108</f>
        <v>1</v>
      </c>
      <c r="FD109" s="144">
        <f>SUM(FD108)</f>
        <v>0.11616169999999999</v>
      </c>
      <c r="FE109" s="144">
        <f>SUM(FE108)</f>
        <v>1979.552062685261</v>
      </c>
      <c r="FF109" s="40">
        <f t="shared" ref="FF109" si="43">SUM(FF108:FF108)</f>
        <v>-89.61</v>
      </c>
      <c r="FG109" s="144">
        <f>FG108</f>
        <v>34.288240000000087</v>
      </c>
      <c r="FH109" s="144">
        <f>FH108</f>
        <v>1</v>
      </c>
      <c r="FI109" s="144"/>
      <c r="FJ109" s="144">
        <f>FJ108</f>
        <v>0</v>
      </c>
      <c r="FK109" s="144">
        <f>FK108</f>
        <v>34.288240000000087</v>
      </c>
      <c r="FL109" s="144">
        <f>SUM(FL108)</f>
        <v>34.288240000000087</v>
      </c>
      <c r="FM109" s="144">
        <f>SUM(FM108)</f>
        <v>67875.356217847453</v>
      </c>
    </row>
    <row r="110" spans="16:169" ht="19.2" customHeight="1">
      <c r="T110" s="21"/>
      <c r="AD110" s="27"/>
      <c r="AE110" s="27"/>
      <c r="AF110" s="203"/>
      <c r="AG110" s="203"/>
      <c r="AH110" s="203"/>
      <c r="AI110" s="203"/>
      <c r="AJ110" s="203"/>
      <c r="AK110" s="27"/>
      <c r="AL110" s="27"/>
      <c r="AM110" s="27"/>
      <c r="AN110" s="27"/>
      <c r="AO110" s="373" t="s">
        <v>346</v>
      </c>
      <c r="AP110" s="369"/>
      <c r="AQ110" s="369"/>
      <c r="AR110" s="369"/>
      <c r="AS110" s="369"/>
      <c r="AT110" s="369"/>
      <c r="AU110" s="369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369" t="s">
        <v>350</v>
      </c>
      <c r="BH110" s="369"/>
      <c r="BI110" s="369"/>
      <c r="BJ110" s="369"/>
      <c r="BK110" s="369"/>
      <c r="BL110" s="369"/>
      <c r="BM110" s="369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7"/>
      <c r="BY110" s="27"/>
      <c r="CJ110" s="27"/>
      <c r="CK110" s="27"/>
      <c r="CL110" s="27"/>
      <c r="CM110" s="27"/>
      <c r="CN110" s="27"/>
      <c r="CO110" s="27"/>
      <c r="CP110" s="27"/>
      <c r="CQ110" s="27"/>
      <c r="CR110" s="27"/>
      <c r="CS110" s="27"/>
      <c r="CT110" s="27"/>
      <c r="CU110" s="21"/>
      <c r="CV110" s="21"/>
      <c r="CW110" s="21"/>
      <c r="CX110" s="21"/>
      <c r="CY110" s="21"/>
      <c r="DB110" s="21"/>
      <c r="DC110" s="21"/>
      <c r="FA110" s="1"/>
      <c r="FB110" s="116" t="s">
        <v>83</v>
      </c>
      <c r="FC110" s="116"/>
      <c r="FD110" s="107" t="s">
        <v>85</v>
      </c>
      <c r="FE110" s="107" t="s">
        <v>81</v>
      </c>
      <c r="FF110" s="1" t="s">
        <v>640</v>
      </c>
      <c r="FG110" s="117" t="s">
        <v>636</v>
      </c>
      <c r="FH110" s="117"/>
      <c r="FI110" s="107"/>
      <c r="FJ110" s="107" t="s">
        <v>637</v>
      </c>
      <c r="FK110" s="107" t="s">
        <v>638</v>
      </c>
      <c r="FL110" s="107" t="s">
        <v>90</v>
      </c>
      <c r="FM110" s="115" t="s">
        <v>87</v>
      </c>
    </row>
    <row r="111" spans="16:169" ht="19.95" customHeight="1">
      <c r="P111" s="374" t="s">
        <v>285</v>
      </c>
      <c r="Q111" s="374"/>
      <c r="T111" s="21"/>
      <c r="U111" s="21"/>
      <c r="V111" s="21"/>
      <c r="AD111" s="27"/>
      <c r="AE111" s="27"/>
      <c r="AF111" s="27"/>
      <c r="AG111" s="27"/>
      <c r="AH111" s="27"/>
      <c r="AI111" s="27"/>
      <c r="AJ111" s="27"/>
      <c r="AK111" s="203"/>
      <c r="AL111" s="203"/>
      <c r="AM111" s="203"/>
      <c r="AN111" s="203"/>
      <c r="AO111" s="2" t="s">
        <v>195</v>
      </c>
      <c r="AP111" s="204" t="s">
        <v>194</v>
      </c>
      <c r="AQ111" s="204" t="s">
        <v>166</v>
      </c>
      <c r="AR111" s="204" t="s">
        <v>35</v>
      </c>
      <c r="AS111" s="204" t="s">
        <v>166</v>
      </c>
      <c r="AT111" s="205" t="s">
        <v>250</v>
      </c>
      <c r="AU111" s="204" t="s">
        <v>244</v>
      </c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" t="s">
        <v>195</v>
      </c>
      <c r="BH111" s="204" t="s">
        <v>194</v>
      </c>
      <c r="BI111" s="204" t="s">
        <v>166</v>
      </c>
      <c r="BJ111" s="204" t="s">
        <v>166</v>
      </c>
      <c r="BK111" s="204" t="s">
        <v>166</v>
      </c>
      <c r="BL111" s="205" t="s">
        <v>250</v>
      </c>
      <c r="BM111" s="204" t="s">
        <v>244</v>
      </c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CJ111" s="27"/>
      <c r="CK111" s="27"/>
      <c r="CL111" s="27"/>
      <c r="CM111" s="27"/>
      <c r="CN111" s="27"/>
      <c r="CO111" s="27"/>
      <c r="CP111" s="27"/>
      <c r="CQ111" s="27"/>
      <c r="CR111" s="27"/>
      <c r="CS111" s="27"/>
      <c r="CT111" s="21"/>
      <c r="CU111" s="21"/>
      <c r="CV111" s="21"/>
      <c r="CW111" s="21"/>
      <c r="CZ111" s="21"/>
      <c r="DA111" s="21"/>
      <c r="ER111" s="3" t="s">
        <v>274</v>
      </c>
      <c r="EV111" s="1"/>
      <c r="EW111" s="1"/>
      <c r="EX111" s="1"/>
      <c r="EY111" s="1"/>
      <c r="EZ111" s="1"/>
    </row>
    <row r="112" spans="16:169" ht="19.05" customHeight="1">
      <c r="P112" s="375"/>
      <c r="Q112" s="375"/>
      <c r="T112" s="21"/>
      <c r="U112" s="21"/>
      <c r="V112" s="21"/>
      <c r="AD112" s="27"/>
      <c r="AE112" s="27"/>
      <c r="AF112" s="27"/>
      <c r="AG112" s="27"/>
      <c r="AH112" s="27"/>
      <c r="AI112" s="27"/>
      <c r="AJ112" s="27"/>
      <c r="AK112" s="203"/>
      <c r="AL112" s="203"/>
      <c r="AM112" s="203"/>
      <c r="AN112" s="203"/>
      <c r="AO112" s="2" t="s">
        <v>91</v>
      </c>
      <c r="AP112" s="2" t="s">
        <v>91</v>
      </c>
      <c r="AQ112" s="204" t="s">
        <v>168</v>
      </c>
      <c r="AR112" s="204" t="s">
        <v>167</v>
      </c>
      <c r="AS112" s="204" t="s">
        <v>47</v>
      </c>
      <c r="AT112" s="205" t="s">
        <v>91</v>
      </c>
      <c r="AU112" s="204" t="s">
        <v>47</v>
      </c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" t="s">
        <v>91</v>
      </c>
      <c r="BH112" s="2" t="s">
        <v>91</v>
      </c>
      <c r="BI112" s="204" t="s">
        <v>161</v>
      </c>
      <c r="BJ112" s="204" t="s">
        <v>256</v>
      </c>
      <c r="BK112" s="204" t="s">
        <v>47</v>
      </c>
      <c r="BL112" s="205" t="s">
        <v>91</v>
      </c>
      <c r="BM112" s="204" t="s">
        <v>47</v>
      </c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CI112" s="27"/>
      <c r="CJ112" s="27"/>
      <c r="CK112" s="27"/>
      <c r="CL112" s="27"/>
      <c r="CM112" s="27"/>
      <c r="CN112" s="27"/>
      <c r="CO112" s="203"/>
      <c r="CP112" s="203"/>
      <c r="CQ112" s="203"/>
      <c r="CR112" s="203"/>
      <c r="CS112" s="203"/>
      <c r="CT112" s="203"/>
      <c r="CU112" s="27"/>
      <c r="CV112" s="207" t="s">
        <v>1</v>
      </c>
      <c r="CW112" s="208" t="s">
        <v>0</v>
      </c>
      <c r="CX112" s="130"/>
      <c r="CY112" s="21"/>
      <c r="CZ112" s="21"/>
      <c r="DA112" s="21"/>
      <c r="DD112" s="21"/>
      <c r="DE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179" t="s">
        <v>1</v>
      </c>
      <c r="EM112" s="178" t="s">
        <v>0</v>
      </c>
    </row>
    <row r="113" spans="5:176" ht="18" customHeight="1">
      <c r="P113" s="345" t="s">
        <v>269</v>
      </c>
      <c r="Q113" s="98" t="s">
        <v>245</v>
      </c>
      <c r="T113" s="21"/>
      <c r="U113" s="21"/>
      <c r="V113" s="21"/>
      <c r="AD113" s="27"/>
      <c r="AE113" s="27"/>
      <c r="AF113" s="27"/>
      <c r="AG113" s="27"/>
      <c r="AH113" s="27"/>
      <c r="AI113" s="27"/>
      <c r="AJ113" s="27"/>
      <c r="AK113" s="203"/>
      <c r="AL113" s="203"/>
      <c r="AM113" s="203"/>
      <c r="AN113" s="203"/>
      <c r="AO113" s="204" t="s">
        <v>196</v>
      </c>
      <c r="AP113" s="204" t="s">
        <v>232</v>
      </c>
      <c r="AQ113" s="204">
        <v>700</v>
      </c>
      <c r="AR113" s="204">
        <v>387</v>
      </c>
      <c r="AS113" s="2">
        <f>AR113*AQ113*(AE131/1000)</f>
        <v>2824.8856477449194</v>
      </c>
      <c r="AT113" s="2">
        <v>1</v>
      </c>
      <c r="AU113" s="2">
        <f>AS113*AT113</f>
        <v>2824.8856477449194</v>
      </c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" t="s">
        <v>196</v>
      </c>
      <c r="BH113" s="204" t="s">
        <v>130</v>
      </c>
      <c r="BI113" s="204">
        <f>1660+995</f>
        <v>2655</v>
      </c>
      <c r="BJ113" s="2">
        <f>BI113*Btu_to_kJ</f>
        <v>2801.1843000000003</v>
      </c>
      <c r="BK113" s="2">
        <f>BJ113*($AX$131/1000)</f>
        <v>29.210134092869691</v>
      </c>
      <c r="BL113" s="2">
        <v>1</v>
      </c>
      <c r="BM113" s="2">
        <f>BK113*BL113</f>
        <v>29.210134092869691</v>
      </c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03"/>
      <c r="CS113" s="203"/>
      <c r="CT113" s="203"/>
      <c r="CU113" s="27"/>
      <c r="CV113" s="198" t="s">
        <v>252</v>
      </c>
      <c r="CW113" s="199" t="s">
        <v>253</v>
      </c>
      <c r="CX113" s="27"/>
      <c r="CY113" s="21"/>
      <c r="CZ113" s="21"/>
      <c r="DA113" s="21"/>
      <c r="DD113" s="21"/>
      <c r="DE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181" t="s">
        <v>83</v>
      </c>
      <c r="EM113" s="180" t="s">
        <v>87</v>
      </c>
    </row>
    <row r="114" spans="5:176" ht="16.95" customHeight="1">
      <c r="P114" s="346"/>
      <c r="Q114" s="96" t="s">
        <v>47</v>
      </c>
      <c r="T114" s="21"/>
      <c r="U114" s="21"/>
      <c r="V114" s="21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" t="s">
        <v>196</v>
      </c>
      <c r="BH114" s="204" t="s">
        <v>180</v>
      </c>
      <c r="BI114" s="204">
        <v>332</v>
      </c>
      <c r="BJ114" s="2">
        <f>BI114*Btu_to_kJ</f>
        <v>350.27992000000006</v>
      </c>
      <c r="BK114" s="2">
        <f>BJ114*($AX$131/1000)</f>
        <v>3.6526420033268314</v>
      </c>
      <c r="BL114" s="2">
        <v>1</v>
      </c>
      <c r="BM114" s="2">
        <f t="shared" ref="BM114:BM115" si="44">BK114*BL114</f>
        <v>3.6526420033268314</v>
      </c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03" t="s">
        <v>427</v>
      </c>
      <c r="CS114" s="203"/>
      <c r="CT114" s="203"/>
      <c r="CU114" s="27"/>
      <c r="CV114" s="211">
        <f>CL119</f>
        <v>4.9847525450981189</v>
      </c>
      <c r="CW114" s="212">
        <f>CW119</f>
        <v>7739.2511800711582</v>
      </c>
      <c r="CX114" s="203"/>
      <c r="CY114" s="21"/>
      <c r="CZ114" s="21"/>
      <c r="DC114" s="21"/>
      <c r="DD114" s="21"/>
      <c r="EA114" s="21"/>
      <c r="EB114" s="21"/>
      <c r="EC114" s="21"/>
      <c r="ED114" s="21"/>
      <c r="EE114" s="21"/>
      <c r="EF114" s="21"/>
      <c r="EG114" s="21"/>
      <c r="EH114" s="21" t="s">
        <v>377</v>
      </c>
      <c r="EI114" s="21"/>
      <c r="EJ114" s="21"/>
      <c r="EK114" s="21"/>
      <c r="EL114" s="177">
        <f>EC119</f>
        <v>44.927545117863247</v>
      </c>
      <c r="EM114" s="175">
        <f>EM119</f>
        <v>2329445.3092260091</v>
      </c>
      <c r="EP114" s="369" t="s">
        <v>352</v>
      </c>
      <c r="EQ114" s="369"/>
      <c r="ER114" s="369"/>
      <c r="ES114" s="369"/>
      <c r="ET114" s="369"/>
      <c r="EU114" s="369"/>
    </row>
    <row r="115" spans="5:176" ht="16.05" customHeight="1">
      <c r="P115" s="99" t="s">
        <v>266</v>
      </c>
      <c r="Q115" s="96">
        <f>(($N$130*($U$130-0)))</f>
        <v>20693.323881806569</v>
      </c>
      <c r="T115" s="21"/>
      <c r="U115" s="21"/>
      <c r="V115" s="21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" t="s">
        <v>196</v>
      </c>
      <c r="BH115" s="204" t="s">
        <v>190</v>
      </c>
      <c r="BI115" s="204">
        <v>165</v>
      </c>
      <c r="BJ115" s="2">
        <f>BI115*Btu_to_kJ</f>
        <v>174.0849</v>
      </c>
      <c r="BK115" s="2">
        <f>BJ115*($AX$131/1000)</f>
        <v>1.8153190679184552</v>
      </c>
      <c r="BL115" s="2">
        <v>1</v>
      </c>
      <c r="BM115" s="2">
        <f t="shared" si="44"/>
        <v>1.8153190679184552</v>
      </c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CI115" s="27"/>
      <c r="CJ115" s="27"/>
      <c r="CK115" s="27"/>
      <c r="CL115" s="27"/>
      <c r="CM115" s="27"/>
      <c r="CN115" s="27"/>
      <c r="CO115" s="27"/>
      <c r="CP115" s="27"/>
      <c r="CQ115" s="27"/>
      <c r="CR115" s="203"/>
      <c r="CS115" s="203"/>
      <c r="CT115" s="27"/>
      <c r="CU115" s="27"/>
      <c r="CV115" s="203"/>
      <c r="CW115" s="21"/>
      <c r="CX115" s="21"/>
      <c r="CY115" s="21"/>
      <c r="DB115" s="21"/>
      <c r="DC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P115" s="2" t="s">
        <v>195</v>
      </c>
      <c r="EQ115" s="204" t="s">
        <v>166</v>
      </c>
      <c r="ER115" s="204" t="s">
        <v>166</v>
      </c>
      <c r="ES115" s="204" t="s">
        <v>166</v>
      </c>
      <c r="ET115" s="205" t="s">
        <v>250</v>
      </c>
      <c r="EU115" s="204" t="s">
        <v>244</v>
      </c>
    </row>
    <row r="116" spans="5:176" ht="19.2" customHeight="1">
      <c r="N116" s="27"/>
      <c r="O116" s="27"/>
      <c r="P116" s="99" t="s">
        <v>489</v>
      </c>
      <c r="Q116" s="96">
        <f>V126</f>
        <v>25297.051877142174</v>
      </c>
      <c r="T116" s="21"/>
      <c r="U116" s="21"/>
      <c r="V116" s="21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"/>
      <c r="BH116" s="204" t="s">
        <v>18</v>
      </c>
      <c r="BI116" s="204">
        <f>SUM(BI113:BI115)</f>
        <v>3152</v>
      </c>
      <c r="BJ116" s="204">
        <f>SUM(BJ113:BJ115)</f>
        <v>3325.5491200000001</v>
      </c>
      <c r="BK116" s="204">
        <f>SUM(BK113:BK115)</f>
        <v>34.678095164114971</v>
      </c>
      <c r="BL116" s="204"/>
      <c r="BM116" s="204">
        <f>SUM(BM113:BM115)</f>
        <v>34.678095164114971</v>
      </c>
      <c r="BN116" s="27"/>
      <c r="BO116" s="27"/>
      <c r="BP116" s="27"/>
      <c r="BR116" s="307" t="s">
        <v>782</v>
      </c>
      <c r="BS116" s="307" t="s">
        <v>265</v>
      </c>
      <c r="BT116" s="308" t="s">
        <v>250</v>
      </c>
      <c r="BU116" s="308" t="s">
        <v>783</v>
      </c>
      <c r="BV116" s="27"/>
      <c r="BW116" s="27"/>
      <c r="BX116" s="27"/>
      <c r="BY116" s="27"/>
      <c r="CI116" s="27"/>
      <c r="CJ116" s="27"/>
      <c r="CK116" s="21"/>
      <c r="CL116" s="1" t="s">
        <v>449</v>
      </c>
      <c r="CM116" s="1" t="s">
        <v>450</v>
      </c>
      <c r="CN116" s="1" t="s">
        <v>579</v>
      </c>
      <c r="CO116" s="1" t="s">
        <v>79</v>
      </c>
      <c r="CP116" s="1" t="s">
        <v>509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48</v>
      </c>
      <c r="CV116" s="1" t="s">
        <v>451</v>
      </c>
      <c r="CW116" s="1" t="s">
        <v>49</v>
      </c>
      <c r="CX116" s="27"/>
      <c r="CY116" s="21"/>
      <c r="DB116" s="21"/>
      <c r="DC116" s="21"/>
      <c r="DT116" s="348" t="s">
        <v>376</v>
      </c>
      <c r="DU116" s="348"/>
      <c r="DV116" s="348"/>
      <c r="DW116" s="348"/>
      <c r="DX116" s="348"/>
      <c r="DY116" s="348"/>
      <c r="EA116" s="21"/>
      <c r="EB116" s="14" t="s">
        <v>454</v>
      </c>
      <c r="EC116" s="1" t="s">
        <v>449</v>
      </c>
      <c r="ED116" s="1" t="s">
        <v>579</v>
      </c>
      <c r="EE116" s="1" t="s">
        <v>79</v>
      </c>
      <c r="EF116" s="1" t="s">
        <v>509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48</v>
      </c>
      <c r="EL116" s="1" t="s">
        <v>451</v>
      </c>
      <c r="EM116" s="1" t="s">
        <v>49</v>
      </c>
      <c r="EP116" s="2" t="s">
        <v>91</v>
      </c>
      <c r="EQ116" s="204" t="s">
        <v>161</v>
      </c>
      <c r="ER116" s="204" t="s">
        <v>256</v>
      </c>
      <c r="ES116" s="204" t="s">
        <v>47</v>
      </c>
      <c r="ET116" s="205" t="s">
        <v>91</v>
      </c>
      <c r="EU116" s="204" t="s">
        <v>47</v>
      </c>
    </row>
    <row r="117" spans="5:176" ht="19.05" customHeight="1">
      <c r="N117" s="27"/>
      <c r="O117" s="27"/>
      <c r="P117" s="100" t="s">
        <v>268</v>
      </c>
      <c r="Q117" s="97">
        <f>V130</f>
        <v>21986.192727413487</v>
      </c>
      <c r="T117" s="21"/>
      <c r="U117" s="21"/>
      <c r="V117" s="21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R117" s="307" t="s">
        <v>47</v>
      </c>
      <c r="BS117" s="307" t="s">
        <v>62</v>
      </c>
      <c r="BT117" s="307" t="s">
        <v>91</v>
      </c>
      <c r="BU117" s="307" t="s">
        <v>47</v>
      </c>
      <c r="BV117" s="27"/>
      <c r="BW117" s="27"/>
      <c r="BX117" s="27"/>
      <c r="BY117" s="27"/>
      <c r="CI117" s="27"/>
      <c r="CJ117" s="27"/>
      <c r="CK117" s="21" t="s">
        <v>40</v>
      </c>
      <c r="CL117" s="1" t="s">
        <v>82</v>
      </c>
      <c r="CM117" s="21" t="s">
        <v>213</v>
      </c>
      <c r="CN117" s="139" t="s">
        <v>84</v>
      </c>
      <c r="CO117" s="139" t="s">
        <v>80</v>
      </c>
      <c r="CP117" s="1" t="s">
        <v>89</v>
      </c>
      <c r="CQ117" s="139" t="s">
        <v>89</v>
      </c>
      <c r="CR117" s="139" t="s">
        <v>24</v>
      </c>
      <c r="CS117" s="139" t="s">
        <v>91</v>
      </c>
      <c r="CT117" s="139" t="s">
        <v>89</v>
      </c>
      <c r="CU117" s="139" t="s">
        <v>89</v>
      </c>
      <c r="CV117" s="139" t="s">
        <v>88</v>
      </c>
      <c r="CW117" s="139" t="s">
        <v>86</v>
      </c>
      <c r="CX117" s="27"/>
      <c r="CY117" s="21"/>
      <c r="CZ117" s="21"/>
      <c r="DA117" s="21"/>
      <c r="DD117" s="21"/>
      <c r="DE117" s="21"/>
      <c r="DT117" s="361"/>
      <c r="DU117" s="361"/>
      <c r="DV117" s="361"/>
      <c r="DW117" s="361"/>
      <c r="DX117" s="361"/>
      <c r="DY117" s="361"/>
      <c r="EA117" s="21" t="s">
        <v>40</v>
      </c>
      <c r="EB117" s="14" t="s">
        <v>453</v>
      </c>
      <c r="EC117" s="1" t="s">
        <v>82</v>
      </c>
      <c r="ED117" s="1" t="s">
        <v>84</v>
      </c>
      <c r="EE117" s="1" t="s">
        <v>80</v>
      </c>
      <c r="EF117" s="1" t="s">
        <v>89</v>
      </c>
      <c r="EG117" s="1" t="s">
        <v>89</v>
      </c>
      <c r="EH117" s="1" t="s">
        <v>24</v>
      </c>
      <c r="EI117" s="1" t="s">
        <v>91</v>
      </c>
      <c r="EJ117" s="1" t="s">
        <v>89</v>
      </c>
      <c r="EK117" s="1" t="s">
        <v>89</v>
      </c>
      <c r="EL117" s="1" t="s">
        <v>88</v>
      </c>
      <c r="EM117" s="1" t="s">
        <v>86</v>
      </c>
      <c r="EP117" s="2" t="s">
        <v>196</v>
      </c>
      <c r="EQ117" s="204">
        <f>0.23*10^6</f>
        <v>230000</v>
      </c>
      <c r="ER117" s="2">
        <f>EQ117*Btu_to_kJ</f>
        <v>242663.80000000002</v>
      </c>
      <c r="ES117" s="2">
        <f>ER117*($EL$126/1000)</f>
        <v>318930.1042317453</v>
      </c>
      <c r="ET117" s="151">
        <v>1</v>
      </c>
      <c r="EU117" s="153">
        <f t="shared" ref="EU117" si="45">ES117*ET117</f>
        <v>318930.1042317453</v>
      </c>
    </row>
    <row r="118" spans="5:176" ht="16.95" customHeight="1">
      <c r="T118" s="21"/>
      <c r="U118" s="21"/>
      <c r="V118" s="21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R118" s="309">
        <f>BK116</f>
        <v>34.678095164114971</v>
      </c>
      <c r="BS118" s="309">
        <v>298.14999999999998</v>
      </c>
      <c r="BT118" s="309"/>
      <c r="BU118" s="309">
        <f>BR118</f>
        <v>34.678095164114971</v>
      </c>
      <c r="BV118" s="1"/>
      <c r="BW118" s="1"/>
      <c r="BX118" s="1"/>
      <c r="CI118" s="27"/>
      <c r="CJ118" s="141" t="s">
        <v>427</v>
      </c>
      <c r="CK118" s="202" t="s">
        <v>132</v>
      </c>
      <c r="CL118" s="161">
        <f>MgO_out</f>
        <v>4.9847525450981189</v>
      </c>
      <c r="CM118" s="161">
        <v>1</v>
      </c>
      <c r="CN118" s="161">
        <f>MW_MgO</f>
        <v>4.0304400000000004E-2</v>
      </c>
      <c r="CO118" s="161">
        <f>CL118/CN118</f>
        <v>123.67762688684408</v>
      </c>
      <c r="CP118" s="161">
        <f>h_MgO</f>
        <v>-601.6</v>
      </c>
      <c r="CQ118" s="161">
        <f>b_ch_MgO</f>
        <v>62.576000000000022</v>
      </c>
      <c r="CR118" s="214">
        <f>CO118/CO119</f>
        <v>1</v>
      </c>
      <c r="CS118" s="214">
        <f>LN(CR118)</f>
        <v>0</v>
      </c>
      <c r="CT118" s="214">
        <f>RT0*CS118</f>
        <v>0</v>
      </c>
      <c r="CU118" s="161">
        <f>CT118+CQ118</f>
        <v>62.576000000000022</v>
      </c>
      <c r="CV118" s="161">
        <f>CU118*CR118</f>
        <v>62.576000000000022</v>
      </c>
      <c r="CW118" s="214">
        <f>CV118*CO119</f>
        <v>7739.2511800711582</v>
      </c>
      <c r="CX118" s="203"/>
      <c r="CY118" s="21"/>
      <c r="CZ118" s="21"/>
      <c r="DA118" s="21"/>
      <c r="DB118" s="21"/>
      <c r="DE118" s="21"/>
      <c r="DF118" s="21"/>
      <c r="DT118" s="2" t="s">
        <v>195</v>
      </c>
      <c r="DU118" s="204" t="s">
        <v>166</v>
      </c>
      <c r="DV118" s="204" t="s">
        <v>166</v>
      </c>
      <c r="DW118" s="204" t="s">
        <v>166</v>
      </c>
      <c r="DX118" s="205" t="s">
        <v>250</v>
      </c>
      <c r="DY118" s="204" t="s">
        <v>244</v>
      </c>
      <c r="DZ118" s="138" t="s">
        <v>377</v>
      </c>
      <c r="EA118" s="19" t="s">
        <v>64</v>
      </c>
      <c r="EB118" s="18">
        <f>DW120</f>
        <v>2246377.2558931625</v>
      </c>
      <c r="EC118" s="18">
        <f>EB118/LHV_CH4</f>
        <v>44.927545117863247</v>
      </c>
      <c r="ED118" s="18">
        <f>MW_CH4</f>
        <v>1.604276E-2</v>
      </c>
      <c r="EE118" s="18">
        <f>EC118/ED118</f>
        <v>2800.4872676436753</v>
      </c>
      <c r="EF118" s="161">
        <f>h_CH4</f>
        <v>-74.599999999999994</v>
      </c>
      <c r="EG118" s="18">
        <f>b_ch_CH4</f>
        <v>831.8</v>
      </c>
      <c r="EH118" s="18">
        <f>EE118/EE119</f>
        <v>1</v>
      </c>
      <c r="EI118" s="18">
        <f>LN(EH118)</f>
        <v>0</v>
      </c>
      <c r="EJ118" s="18">
        <f>RT0*EI118</f>
        <v>0</v>
      </c>
      <c r="EK118" s="18">
        <f>EJ118+EG118</f>
        <v>831.8</v>
      </c>
      <c r="EL118" s="18">
        <f>EH118*EK118</f>
        <v>831.8</v>
      </c>
      <c r="EM118" s="18">
        <f>EL118*EE119</f>
        <v>2329445.3092260091</v>
      </c>
    </row>
    <row r="119" spans="5:176" ht="18" customHeight="1">
      <c r="T119" s="21"/>
      <c r="U119" s="21"/>
      <c r="V119" s="21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03"/>
      <c r="BF119" s="203"/>
      <c r="BG119" s="203"/>
      <c r="BH119" s="203"/>
      <c r="BI119" s="203"/>
      <c r="BJ119" s="203"/>
      <c r="BK119" s="203"/>
      <c r="BL119" s="203"/>
      <c r="BM119" s="27"/>
      <c r="BN119" s="27"/>
      <c r="BO119" s="27"/>
      <c r="BP119" s="27"/>
      <c r="BQ119" s="27"/>
      <c r="BR119" s="27"/>
      <c r="BS119" s="27"/>
      <c r="BV119" s="1"/>
      <c r="BW119" s="1"/>
      <c r="BX119" s="1"/>
      <c r="BY119" s="21"/>
      <c r="CI119" s="27"/>
      <c r="CJ119" s="203"/>
      <c r="CK119" s="27" t="s">
        <v>18</v>
      </c>
      <c r="CL119" s="27">
        <f>SUM(CL118)</f>
        <v>4.9847525450981189</v>
      </c>
      <c r="CM119" s="27"/>
      <c r="CN119" s="27">
        <f>SUM(CN118)</f>
        <v>4.0304400000000004E-2</v>
      </c>
      <c r="CO119" s="27">
        <f>SUM(CO118)</f>
        <v>123.67762688684408</v>
      </c>
      <c r="CP119" s="27">
        <f>SUM(CP118)</f>
        <v>-601.6</v>
      </c>
      <c r="CQ119" s="27"/>
      <c r="CR119" s="27"/>
      <c r="CS119" s="203"/>
      <c r="CT119" s="203"/>
      <c r="CU119" s="27"/>
      <c r="CV119" s="27">
        <f>SUM(CV118)</f>
        <v>62.576000000000022</v>
      </c>
      <c r="CW119" s="27">
        <f>SUM(CW118)</f>
        <v>7739.2511800711582</v>
      </c>
      <c r="CX119" s="27"/>
      <c r="CY119" s="21"/>
      <c r="CZ119" s="21"/>
      <c r="DA119" s="21"/>
      <c r="DB119" s="21"/>
      <c r="DE119" s="21"/>
      <c r="DF119" s="21"/>
      <c r="DT119" s="2" t="s">
        <v>91</v>
      </c>
      <c r="DU119" s="204" t="s">
        <v>161</v>
      </c>
      <c r="DV119" s="204" t="s">
        <v>256</v>
      </c>
      <c r="DW119" s="204" t="s">
        <v>47</v>
      </c>
      <c r="DX119" s="205" t="s">
        <v>91</v>
      </c>
      <c r="DY119" s="204" t="s">
        <v>47</v>
      </c>
      <c r="EA119" s="18" t="s">
        <v>18</v>
      </c>
      <c r="EB119" s="18">
        <f>SUM(EB118)</f>
        <v>2246377.2558931625</v>
      </c>
      <c r="EC119" s="18">
        <f>SUM(EC118)</f>
        <v>44.927545117863247</v>
      </c>
      <c r="ED119" s="18">
        <f>SUM(ED118)</f>
        <v>1.604276E-2</v>
      </c>
      <c r="EE119" s="18">
        <f>SUM(EE118)</f>
        <v>2800.4872676436753</v>
      </c>
      <c r="EF119" s="27">
        <f>SUM(EF118)</f>
        <v>-74.599999999999994</v>
      </c>
      <c r="EG119" s="18"/>
      <c r="EH119" s="18"/>
      <c r="EI119" s="18"/>
      <c r="EJ119" s="18"/>
      <c r="EK119" s="18"/>
      <c r="EL119" s="18">
        <f>SUM(EL118)</f>
        <v>831.8</v>
      </c>
      <c r="EM119" s="18">
        <f>SUM(EM118)</f>
        <v>2329445.3092260091</v>
      </c>
    </row>
    <row r="120" spans="5:176" ht="18" customHeight="1">
      <c r="T120" s="21"/>
      <c r="U120" s="21"/>
      <c r="V120" s="21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21"/>
      <c r="BX120" s="27"/>
      <c r="BY120" s="27"/>
      <c r="CE120" s="14" t="s">
        <v>316</v>
      </c>
      <c r="CI120" s="27"/>
      <c r="CJ120" s="27"/>
      <c r="CK120" s="27"/>
      <c r="CL120" s="27" t="s">
        <v>252</v>
      </c>
      <c r="CM120" s="27"/>
      <c r="CN120" s="203" t="s">
        <v>258</v>
      </c>
      <c r="CO120" s="203" t="s">
        <v>259</v>
      </c>
      <c r="CP120" s="1" t="s">
        <v>510</v>
      </c>
      <c r="CQ120" s="27"/>
      <c r="CR120" s="27"/>
      <c r="CS120" s="203"/>
      <c r="CT120" s="203"/>
      <c r="CU120" s="203"/>
      <c r="CV120" s="203" t="s">
        <v>260</v>
      </c>
      <c r="CW120" s="27" t="s">
        <v>253</v>
      </c>
      <c r="CX120" s="27"/>
      <c r="CY120" s="21"/>
      <c r="CZ120" s="21"/>
      <c r="DA120" s="21"/>
      <c r="DB120" s="21"/>
      <c r="DE120" s="21"/>
      <c r="DF120" s="21"/>
      <c r="DT120" s="2" t="s">
        <v>218</v>
      </c>
      <c r="DU120" s="204">
        <f>1.62*10^6</f>
        <v>1620000</v>
      </c>
      <c r="DV120" s="2">
        <f>DU120*Btu_to_kJ</f>
        <v>1709197.2000000002</v>
      </c>
      <c r="DW120" s="2">
        <f>DV120*($EL$126/1000)</f>
        <v>2246377.2558931625</v>
      </c>
      <c r="DX120" s="2">
        <v>1.04</v>
      </c>
      <c r="DY120" s="2">
        <f>DW120*DX120</f>
        <v>2336232.3461288889</v>
      </c>
      <c r="EB120" s="14" t="s">
        <v>47</v>
      </c>
      <c r="EC120" s="1" t="s">
        <v>83</v>
      </c>
      <c r="ED120" s="14" t="s">
        <v>85</v>
      </c>
      <c r="EE120" s="14" t="s">
        <v>81</v>
      </c>
      <c r="EF120" s="1" t="s">
        <v>640</v>
      </c>
      <c r="EG120" s="21"/>
      <c r="EH120" s="21"/>
      <c r="EL120" s="14" t="s">
        <v>90</v>
      </c>
      <c r="EM120" s="1" t="s">
        <v>87</v>
      </c>
    </row>
    <row r="121" spans="5:176" ht="19.2" customHeight="1">
      <c r="T121" s="21"/>
      <c r="U121" s="21"/>
      <c r="V121" s="21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3" t="s">
        <v>317</v>
      </c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1"/>
      <c r="CV121" s="21"/>
      <c r="CW121" s="21"/>
      <c r="CX121" s="21"/>
      <c r="CY121" s="21"/>
      <c r="DB121" s="21"/>
      <c r="DC121" s="21"/>
    </row>
    <row r="122" spans="5:176" ht="16.95" customHeight="1">
      <c r="T122" s="21"/>
      <c r="U122" s="21"/>
      <c r="V122" s="21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7"/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J122" s="27"/>
      <c r="CK122" s="27"/>
      <c r="CL122" s="27"/>
      <c r="CM122" s="27"/>
      <c r="CN122" s="27"/>
      <c r="CO122" s="27"/>
      <c r="CP122" s="27"/>
      <c r="CQ122" s="27"/>
      <c r="CR122" s="27"/>
      <c r="CS122" s="27"/>
      <c r="CT122" s="27"/>
      <c r="CU122" s="21"/>
      <c r="CV122" s="21"/>
      <c r="CW122" s="21"/>
      <c r="CX122" s="21"/>
      <c r="CY122" s="21"/>
      <c r="DB122" s="21"/>
      <c r="DC122" s="21"/>
    </row>
    <row r="123" spans="5:176" ht="16.95" customHeight="1">
      <c r="U123" s="21"/>
      <c r="V123" s="21"/>
      <c r="W123" s="203"/>
      <c r="X123" s="27"/>
      <c r="Y123" s="203"/>
      <c r="Z123" s="203"/>
      <c r="AA123" s="203"/>
      <c r="AB123" s="203"/>
      <c r="AC123" s="203"/>
      <c r="AD123" s="27"/>
      <c r="AE123" s="27"/>
      <c r="AF123" s="27"/>
      <c r="AG123" s="27"/>
      <c r="AH123" s="27"/>
      <c r="AI123" s="27"/>
      <c r="AJ123" s="43" t="s">
        <v>249</v>
      </c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  <c r="BO123" s="27"/>
      <c r="BP123" s="27"/>
      <c r="BQ123" s="27"/>
      <c r="BR123" s="27"/>
      <c r="BS123" s="27"/>
      <c r="BT123" s="27"/>
      <c r="BU123" s="27"/>
      <c r="BV123" s="27"/>
      <c r="BW123" s="27"/>
      <c r="BX123" s="27"/>
      <c r="BY123" s="27"/>
      <c r="BZ123" s="27"/>
      <c r="CA123" s="27"/>
      <c r="CB123" s="27"/>
      <c r="CC123" s="27"/>
      <c r="CD123" s="27"/>
      <c r="CE123" s="200" t="s">
        <v>265</v>
      </c>
      <c r="CF123" s="27"/>
      <c r="CG123" s="27"/>
      <c r="CH123" s="27"/>
      <c r="CI123" s="27"/>
      <c r="CJ123" s="27"/>
      <c r="CK123" s="27"/>
      <c r="CL123" s="27"/>
      <c r="CM123" s="27"/>
      <c r="CN123" s="27"/>
      <c r="CO123" s="27"/>
      <c r="CP123" s="27"/>
      <c r="CQ123" s="27"/>
      <c r="CR123" s="27"/>
      <c r="CS123" s="27"/>
      <c r="CT123" s="27"/>
      <c r="CU123" s="27"/>
      <c r="CV123" s="27"/>
      <c r="CW123" s="27"/>
      <c r="CX123" s="21"/>
      <c r="CY123" s="21"/>
      <c r="CZ123" s="21"/>
      <c r="DA123" s="21"/>
      <c r="DB123" s="21"/>
      <c r="DE123" s="21"/>
      <c r="DF123" s="21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.05" customHeight="1">
      <c r="J124" s="43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07" t="s">
        <v>1</v>
      </c>
      <c r="V124" s="208" t="s">
        <v>0</v>
      </c>
      <c r="W124" s="27"/>
      <c r="X124" s="14" t="s">
        <v>198</v>
      </c>
      <c r="Y124" s="21"/>
      <c r="Z124" s="27"/>
      <c r="AA124" s="27"/>
      <c r="AB124" s="27"/>
      <c r="AC124" s="27"/>
      <c r="AD124" s="43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  <c r="AO124" s="207" t="s">
        <v>1</v>
      </c>
      <c r="AP124" s="208" t="s">
        <v>0</v>
      </c>
      <c r="AQ124" s="27"/>
      <c r="AR124" s="27"/>
      <c r="AS124" s="27"/>
      <c r="AT124" s="27"/>
      <c r="AU124" s="27"/>
      <c r="AV124" s="27"/>
      <c r="AW124" s="43"/>
      <c r="AX124" s="27"/>
      <c r="AY124" s="27"/>
      <c r="AZ124" s="27"/>
      <c r="BA124" s="27"/>
      <c r="BB124" s="27"/>
      <c r="BC124" s="27"/>
      <c r="BD124" s="27"/>
      <c r="BE124" s="27"/>
      <c r="BF124" s="27"/>
      <c r="BG124" s="27"/>
      <c r="BH124" s="207" t="s">
        <v>1</v>
      </c>
      <c r="BI124" s="208" t="s">
        <v>0</v>
      </c>
      <c r="BJ124" s="27"/>
      <c r="BK124" s="27"/>
      <c r="BL124" s="27"/>
      <c r="BM124" s="27"/>
      <c r="BN124" s="27"/>
      <c r="BO124" s="27"/>
      <c r="BP124" s="43"/>
      <c r="BQ124" s="27"/>
      <c r="BR124" s="27"/>
      <c r="BS124" s="27"/>
      <c r="BT124" s="27"/>
      <c r="BU124" s="27"/>
      <c r="BV124" s="27"/>
      <c r="BW124" s="27"/>
      <c r="BX124" s="27"/>
      <c r="BY124" s="27"/>
      <c r="BZ124" s="27"/>
      <c r="CA124" s="207" t="s">
        <v>1</v>
      </c>
      <c r="CB124" s="208" t="s">
        <v>0</v>
      </c>
      <c r="CC124" s="203"/>
      <c r="CD124" s="203"/>
      <c r="CE124" s="216" t="s">
        <v>62</v>
      </c>
      <c r="CF124" s="203"/>
      <c r="CG124" s="203"/>
      <c r="CH124" s="203"/>
      <c r="CI124" s="203"/>
      <c r="CJ124" s="203"/>
      <c r="CK124" s="27"/>
      <c r="CL124" s="27"/>
      <c r="CM124" s="27"/>
      <c r="CN124" s="27"/>
      <c r="CO124" s="27"/>
      <c r="CP124" s="27"/>
      <c r="CQ124" s="27"/>
      <c r="CR124" s="27"/>
      <c r="CS124" s="203"/>
      <c r="CT124" s="203"/>
      <c r="CU124" s="27"/>
      <c r="CV124" s="207" t="s">
        <v>1</v>
      </c>
      <c r="CW124" s="208" t="s">
        <v>0</v>
      </c>
      <c r="EL124" s="179" t="s">
        <v>1</v>
      </c>
      <c r="EM124" s="178" t="s">
        <v>0</v>
      </c>
      <c r="EY124" s="1"/>
      <c r="EZ124" s="1"/>
      <c r="FA124" s="1"/>
      <c r="FB124" s="1"/>
      <c r="FC124" s="1"/>
      <c r="FL124" s="179" t="s">
        <v>1</v>
      </c>
      <c r="FM124" s="178" t="s">
        <v>0</v>
      </c>
    </row>
    <row r="125" spans="5:176" ht="19.05" customHeight="1">
      <c r="J125" s="27"/>
      <c r="K125" s="209"/>
      <c r="L125" s="27"/>
      <c r="M125" s="27"/>
      <c r="N125" s="27"/>
      <c r="O125" s="27"/>
      <c r="P125" s="27"/>
      <c r="Q125" s="27"/>
      <c r="R125" s="27"/>
      <c r="S125" s="27"/>
      <c r="T125" s="27"/>
      <c r="U125" s="198" t="s">
        <v>252</v>
      </c>
      <c r="V125" s="199" t="s">
        <v>253</v>
      </c>
      <c r="W125" s="27"/>
      <c r="X125" s="3" t="s">
        <v>199</v>
      </c>
      <c r="Y125" s="21" t="s">
        <v>200</v>
      </c>
      <c r="Z125" s="27"/>
      <c r="AA125" s="27"/>
      <c r="AB125" s="27"/>
      <c r="AC125" s="27"/>
      <c r="AD125" s="27"/>
      <c r="AE125" s="209"/>
      <c r="AF125" s="27"/>
      <c r="AG125" s="27"/>
      <c r="AH125" s="27"/>
      <c r="AI125" s="27"/>
      <c r="AJ125" s="27"/>
      <c r="AK125" s="27"/>
      <c r="AL125" s="27"/>
      <c r="AM125" s="27"/>
      <c r="AN125" s="27"/>
      <c r="AO125" s="198" t="s">
        <v>252</v>
      </c>
      <c r="AP125" s="199" t="s">
        <v>253</v>
      </c>
      <c r="AQ125" s="27"/>
      <c r="AR125" s="27"/>
      <c r="AS125" s="27"/>
      <c r="AT125" s="27"/>
      <c r="AU125" s="27"/>
      <c r="AV125" s="27"/>
      <c r="AW125" s="27"/>
      <c r="AX125" s="209"/>
      <c r="AY125" s="27"/>
      <c r="AZ125" s="27"/>
      <c r="BA125" s="27"/>
      <c r="BB125" s="27"/>
      <c r="BC125" s="27"/>
      <c r="BD125" s="27"/>
      <c r="BE125" s="27"/>
      <c r="BF125" s="27"/>
      <c r="BG125" s="27"/>
      <c r="BH125" s="198" t="s">
        <v>252</v>
      </c>
      <c r="BI125" s="199" t="s">
        <v>253</v>
      </c>
      <c r="BJ125" s="27"/>
      <c r="BK125" s="27"/>
      <c r="BL125" s="27"/>
      <c r="BM125" s="27"/>
      <c r="BN125" s="27"/>
      <c r="BO125" s="27"/>
      <c r="BP125" s="27"/>
      <c r="BQ125" s="27"/>
      <c r="BR125" s="27"/>
      <c r="BS125" s="27"/>
      <c r="BT125" s="27"/>
      <c r="BU125" s="27"/>
      <c r="BV125" s="27"/>
      <c r="BW125" s="27"/>
      <c r="BX125" s="27"/>
      <c r="BY125" s="27"/>
      <c r="BZ125" s="27"/>
      <c r="CA125" s="198" t="s">
        <v>252</v>
      </c>
      <c r="CB125" s="199" t="s">
        <v>253</v>
      </c>
      <c r="CC125" s="203"/>
      <c r="CD125" s="203"/>
      <c r="CE125" s="217">
        <v>1173.1500000000001</v>
      </c>
      <c r="CF125" s="203"/>
      <c r="CG125" s="203"/>
      <c r="CH125" s="203"/>
      <c r="CI125" s="203"/>
      <c r="CJ125" s="203"/>
      <c r="CK125" s="27"/>
      <c r="CL125" s="27"/>
      <c r="CM125" s="27"/>
      <c r="CN125" s="27"/>
      <c r="CO125" s="27"/>
      <c r="CP125" s="27"/>
      <c r="CQ125" s="27"/>
      <c r="CR125" s="27" t="s">
        <v>425</v>
      </c>
      <c r="CS125" s="203"/>
      <c r="CT125" s="203"/>
      <c r="CU125" s="27"/>
      <c r="CV125" s="198" t="s">
        <v>252</v>
      </c>
      <c r="CW125" s="199" t="s">
        <v>253</v>
      </c>
      <c r="EL125" s="181" t="s">
        <v>83</v>
      </c>
      <c r="EM125" s="180" t="s">
        <v>87</v>
      </c>
      <c r="EY125" s="1"/>
      <c r="EZ125" s="1"/>
      <c r="FA125" s="1"/>
      <c r="FB125" s="1"/>
      <c r="FC125" s="1"/>
      <c r="FL125" s="181" t="s">
        <v>83</v>
      </c>
      <c r="FM125" s="180" t="s">
        <v>87</v>
      </c>
    </row>
    <row r="126" spans="5:176" ht="16.2" customHeight="1">
      <c r="E126" s="362" t="s">
        <v>413</v>
      </c>
      <c r="F126" s="362"/>
      <c r="G126" s="362"/>
      <c r="H126" s="362"/>
      <c r="J126" s="27"/>
      <c r="K126" s="210"/>
      <c r="L126" s="27"/>
      <c r="M126" s="27"/>
      <c r="N126" s="27"/>
      <c r="O126" s="27"/>
      <c r="P126" s="27"/>
      <c r="Q126" s="27" t="s">
        <v>335</v>
      </c>
      <c r="R126" s="27"/>
      <c r="S126" s="27"/>
      <c r="T126" s="27"/>
      <c r="U126" s="211">
        <f>K132</f>
        <v>208.55560337725498</v>
      </c>
      <c r="V126" s="212">
        <f>V132</f>
        <v>25297.051877142174</v>
      </c>
      <c r="W126" s="370" t="s">
        <v>326</v>
      </c>
      <c r="X126" s="370"/>
      <c r="Y126" s="370"/>
      <c r="Z126" s="370"/>
      <c r="AA126" s="370"/>
      <c r="AB126" s="27"/>
      <c r="AC126" s="27"/>
      <c r="AD126" s="27"/>
      <c r="AE126" s="210"/>
      <c r="AF126" s="27"/>
      <c r="AG126" s="27"/>
      <c r="AH126" s="27"/>
      <c r="AI126" s="27"/>
      <c r="AJ126" s="27"/>
      <c r="AK126" s="27" t="s">
        <v>412</v>
      </c>
      <c r="AL126" s="27"/>
      <c r="AM126" s="27"/>
      <c r="AN126" s="27"/>
      <c r="AO126" s="211">
        <f>AE132</f>
        <v>208.55560337725498</v>
      </c>
      <c r="AP126" s="212">
        <f>AP132</f>
        <v>25297.051877142174</v>
      </c>
      <c r="AQ126" s="370" t="s">
        <v>435</v>
      </c>
      <c r="AR126" s="370"/>
      <c r="AS126" s="370"/>
      <c r="AT126" s="370"/>
      <c r="AU126" s="370"/>
      <c r="AV126" s="27"/>
      <c r="AW126" s="27"/>
      <c r="AX126" s="210"/>
      <c r="AY126" s="27"/>
      <c r="AZ126" s="27"/>
      <c r="BA126" s="27"/>
      <c r="BB126" s="27"/>
      <c r="BC126" s="27"/>
      <c r="BD126" s="27" t="s">
        <v>436</v>
      </c>
      <c r="BE126" s="27"/>
      <c r="BF126" s="27"/>
      <c r="BG126" s="27"/>
      <c r="BH126" s="211">
        <f>AX132</f>
        <v>208.55560337725498</v>
      </c>
      <c r="BI126" s="212">
        <f>BI132</f>
        <v>25297.051877142174</v>
      </c>
      <c r="BJ126" s="370" t="s">
        <v>348</v>
      </c>
      <c r="BK126" s="370"/>
      <c r="BL126" s="370"/>
      <c r="BM126" s="370"/>
      <c r="BN126" s="370"/>
      <c r="BO126" s="27"/>
      <c r="BP126" s="27"/>
      <c r="BQ126" s="210"/>
      <c r="BR126" s="27"/>
      <c r="BS126" s="27"/>
      <c r="BT126" s="27"/>
      <c r="BU126" s="27"/>
      <c r="BV126" s="27"/>
      <c r="BW126" s="27" t="s">
        <v>382</v>
      </c>
      <c r="BX126" s="27"/>
      <c r="BY126" s="27"/>
      <c r="BZ126" s="27"/>
      <c r="CA126" s="211">
        <f>BQ132</f>
        <v>208.55560337725498</v>
      </c>
      <c r="CB126" s="212">
        <f>CB132</f>
        <v>25297.051877142174</v>
      </c>
      <c r="CC126" s="370" t="s">
        <v>349</v>
      </c>
      <c r="CD126" s="370"/>
      <c r="CE126" s="370"/>
      <c r="CF126" s="370"/>
      <c r="CG126" s="370"/>
      <c r="CH126" s="27"/>
      <c r="CI126" s="27"/>
      <c r="CJ126" s="203"/>
      <c r="CK126" s="27"/>
      <c r="CL126" s="27"/>
      <c r="CM126" s="27"/>
      <c r="CN126" s="27"/>
      <c r="CO126" s="27"/>
      <c r="CP126" s="27"/>
      <c r="CQ126" s="27"/>
      <c r="CR126" s="27"/>
      <c r="CS126" s="203"/>
      <c r="CT126" s="203"/>
      <c r="CU126" s="27"/>
      <c r="CV126" s="211">
        <f>CL131</f>
        <v>111.00813284002646</v>
      </c>
      <c r="CW126" s="212">
        <f>CW131</f>
        <v>242016.07607977447</v>
      </c>
      <c r="DS126" s="357" t="s">
        <v>76</v>
      </c>
      <c r="DT126" s="357"/>
      <c r="DU126" s="357"/>
      <c r="DV126" s="357"/>
      <c r="DW126" s="357"/>
      <c r="DX126" s="357"/>
      <c r="DY126" s="357"/>
      <c r="EG126" s="14" t="s">
        <v>445</v>
      </c>
      <c r="EL126" s="109">
        <f>EB134</f>
        <v>1314.2879334772852</v>
      </c>
      <c r="EM126" s="110">
        <f>EM134</f>
        <v>6682782.3361421349</v>
      </c>
      <c r="EN126" s="347" t="s">
        <v>337</v>
      </c>
      <c r="EO126" s="347"/>
      <c r="EP126" s="347"/>
      <c r="EQ126" s="347"/>
      <c r="ER126" s="347"/>
      <c r="ES126" s="347"/>
      <c r="ET126" s="347"/>
      <c r="EY126" s="1"/>
      <c r="EZ126" s="1"/>
      <c r="FA126" s="1"/>
      <c r="FB126" s="1"/>
      <c r="FC126" s="1"/>
      <c r="FD126" s="1"/>
      <c r="FE126" s="14" t="s">
        <v>446</v>
      </c>
      <c r="FL126" s="177">
        <f>FB131</f>
        <v>616.23583583508366</v>
      </c>
      <c r="FM126" s="175">
        <f>FM131</f>
        <v>4157895.2984628798</v>
      </c>
      <c r="FN126" s="347" t="s">
        <v>331</v>
      </c>
      <c r="FO126" s="347"/>
      <c r="FP126" s="347"/>
      <c r="FQ126" s="347"/>
      <c r="FR126" s="347"/>
      <c r="FS126" s="347"/>
      <c r="FT126" s="347"/>
    </row>
    <row r="127" spans="5:176" ht="16.2" customHeight="1">
      <c r="E127" s="362"/>
      <c r="F127" s="362"/>
      <c r="G127" s="362"/>
      <c r="H127" s="362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371"/>
      <c r="X127" s="371"/>
      <c r="Y127" s="371"/>
      <c r="Z127" s="371"/>
      <c r="AA127" s="371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370"/>
      <c r="AR127" s="370"/>
      <c r="AS127" s="370"/>
      <c r="AT127" s="370"/>
      <c r="AU127" s="370"/>
      <c r="AV127" s="27"/>
      <c r="AW127" s="27"/>
      <c r="AX127" s="27"/>
      <c r="AY127" s="27"/>
      <c r="AZ127" s="27"/>
      <c r="BA127" s="27"/>
      <c r="BB127" s="27"/>
      <c r="BC127" s="27"/>
      <c r="BD127" s="27"/>
      <c r="BE127" s="27"/>
      <c r="BF127" s="27"/>
      <c r="BG127" s="27"/>
      <c r="BH127" s="27"/>
      <c r="BI127" s="27"/>
      <c r="BJ127" s="370"/>
      <c r="BK127" s="370"/>
      <c r="BL127" s="370"/>
      <c r="BM127" s="370"/>
      <c r="BN127" s="370"/>
      <c r="BO127" s="27"/>
      <c r="BP127" s="27"/>
      <c r="BQ127" s="27"/>
      <c r="BR127" s="27"/>
      <c r="BS127" s="27"/>
      <c r="BT127" s="27"/>
      <c r="BU127" s="27"/>
      <c r="BV127" s="27"/>
      <c r="BW127" s="27"/>
      <c r="BX127" s="27"/>
      <c r="BY127" s="27"/>
      <c r="BZ127" s="27"/>
      <c r="CA127" s="27"/>
      <c r="CB127" s="27"/>
      <c r="CC127" s="370"/>
      <c r="CD127" s="370"/>
      <c r="CE127" s="370"/>
      <c r="CF127" s="370"/>
      <c r="CG127" s="370"/>
      <c r="CH127" s="203"/>
      <c r="CI127" s="203"/>
      <c r="CJ127" s="203"/>
      <c r="CK127" s="27"/>
      <c r="CL127" s="27"/>
      <c r="CM127" s="27"/>
      <c r="CN127" s="27"/>
      <c r="CO127" s="27"/>
      <c r="CP127" s="27"/>
      <c r="CQ127" s="27"/>
      <c r="CR127" s="27"/>
      <c r="CS127" s="203"/>
      <c r="CT127" s="203"/>
      <c r="CU127" s="27"/>
      <c r="CV127" s="27"/>
      <c r="CW127" s="203"/>
      <c r="DS127" s="357"/>
      <c r="DT127" s="357"/>
      <c r="DU127" s="357"/>
      <c r="DV127" s="357"/>
      <c r="DW127" s="357"/>
      <c r="DX127" s="357"/>
      <c r="DY127" s="357"/>
      <c r="EN127" s="347"/>
      <c r="EO127" s="347"/>
      <c r="EP127" s="347"/>
      <c r="EQ127" s="347"/>
      <c r="ER127" s="347"/>
      <c r="ES127" s="347"/>
      <c r="ET127" s="347"/>
      <c r="EY127" s="1"/>
      <c r="EZ127" s="1"/>
      <c r="FA127" s="1"/>
      <c r="FB127" s="1"/>
      <c r="FC127" s="1"/>
      <c r="FD127" s="1"/>
      <c r="FE127" s="1"/>
      <c r="FF127" s="1"/>
      <c r="FG127" s="1"/>
      <c r="FN127" s="347"/>
      <c r="FO127" s="347"/>
      <c r="FP127" s="347"/>
      <c r="FQ127" s="347"/>
      <c r="FR127" s="347"/>
      <c r="FS127" s="347"/>
      <c r="FT127" s="347"/>
    </row>
    <row r="128" spans="5:176" ht="19.8" customHeight="1">
      <c r="J128" s="21"/>
      <c r="K128" s="1" t="s">
        <v>449</v>
      </c>
      <c r="L128" s="1" t="s">
        <v>450</v>
      </c>
      <c r="M128" s="1" t="s">
        <v>579</v>
      </c>
      <c r="N128" s="1" t="s">
        <v>79</v>
      </c>
      <c r="O128" s="1" t="s">
        <v>509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48</v>
      </c>
      <c r="U128" s="1" t="s">
        <v>451</v>
      </c>
      <c r="V128" s="1" t="s">
        <v>49</v>
      </c>
      <c r="W128" s="133" t="s">
        <v>339</v>
      </c>
      <c r="X128" s="191" t="s">
        <v>379</v>
      </c>
      <c r="Y128" s="95" t="s">
        <v>273</v>
      </c>
      <c r="Z128" s="345" t="s">
        <v>269</v>
      </c>
      <c r="AA128" s="98" t="s">
        <v>245</v>
      </c>
      <c r="AB128" s="1"/>
      <c r="AC128" s="27"/>
      <c r="AD128" s="21"/>
      <c r="AE128" s="1" t="s">
        <v>449</v>
      </c>
      <c r="AF128" s="1" t="s">
        <v>450</v>
      </c>
      <c r="AG128" s="1" t="s">
        <v>579</v>
      </c>
      <c r="AH128" s="1" t="s">
        <v>79</v>
      </c>
      <c r="AI128" s="1" t="s">
        <v>509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48</v>
      </c>
      <c r="AO128" s="1" t="s">
        <v>451</v>
      </c>
      <c r="AP128" s="1" t="s">
        <v>49</v>
      </c>
      <c r="AQ128" s="133" t="s">
        <v>339</v>
      </c>
      <c r="AR128" s="191" t="s">
        <v>379</v>
      </c>
      <c r="AS128" s="95" t="s">
        <v>273</v>
      </c>
      <c r="AT128" s="345" t="s">
        <v>269</v>
      </c>
      <c r="AU128" s="98" t="s">
        <v>245</v>
      </c>
      <c r="AV128" s="1"/>
      <c r="AW128" s="21"/>
      <c r="AX128" s="1" t="s">
        <v>449</v>
      </c>
      <c r="AY128" s="1" t="s">
        <v>450</v>
      </c>
      <c r="AZ128" s="1" t="s">
        <v>579</v>
      </c>
      <c r="BA128" s="1" t="s">
        <v>79</v>
      </c>
      <c r="BB128" s="1" t="s">
        <v>509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48</v>
      </c>
      <c r="BH128" s="1" t="s">
        <v>451</v>
      </c>
      <c r="BI128" s="1" t="s">
        <v>49</v>
      </c>
      <c r="BJ128" s="133" t="s">
        <v>339</v>
      </c>
      <c r="BK128" s="191" t="s">
        <v>379</v>
      </c>
      <c r="BL128" s="95" t="s">
        <v>273</v>
      </c>
      <c r="BM128" s="345" t="s">
        <v>269</v>
      </c>
      <c r="BN128" s="98" t="s">
        <v>245</v>
      </c>
      <c r="BO128" s="1"/>
      <c r="BP128" s="21"/>
      <c r="BQ128" s="1" t="s">
        <v>449</v>
      </c>
      <c r="BR128" s="1" t="s">
        <v>450</v>
      </c>
      <c r="BS128" s="1" t="s">
        <v>579</v>
      </c>
      <c r="BT128" s="1" t="s">
        <v>79</v>
      </c>
      <c r="BU128" s="1" t="s">
        <v>509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48</v>
      </c>
      <c r="CA128" s="1" t="s">
        <v>451</v>
      </c>
      <c r="CB128" s="1" t="s">
        <v>49</v>
      </c>
      <c r="CC128" s="133" t="s">
        <v>339</v>
      </c>
      <c r="CD128" s="191" t="s">
        <v>379</v>
      </c>
      <c r="CE128" s="95" t="s">
        <v>273</v>
      </c>
      <c r="CF128" s="345" t="s">
        <v>269</v>
      </c>
      <c r="CG128" s="98" t="s">
        <v>245</v>
      </c>
      <c r="CH128" s="203"/>
      <c r="CI128" s="203"/>
      <c r="CJ128" s="203"/>
      <c r="CK128" s="21"/>
      <c r="CL128" s="1" t="s">
        <v>449</v>
      </c>
      <c r="CM128" s="1" t="s">
        <v>450</v>
      </c>
      <c r="CN128" s="1" t="s">
        <v>579</v>
      </c>
      <c r="CO128" s="1" t="s">
        <v>79</v>
      </c>
      <c r="CP128" s="1" t="s">
        <v>509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48</v>
      </c>
      <c r="CV128" s="1" t="s">
        <v>451</v>
      </c>
      <c r="CW128" s="1" t="s">
        <v>49</v>
      </c>
      <c r="DS128" s="357"/>
      <c r="DT128" s="357"/>
      <c r="DU128" s="357"/>
      <c r="DV128" s="357"/>
      <c r="DW128" s="357"/>
      <c r="DX128" s="357"/>
      <c r="DY128" s="357"/>
      <c r="EA128" s="21"/>
      <c r="EB128" s="1" t="s">
        <v>449</v>
      </c>
      <c r="EC128" s="1" t="s">
        <v>450</v>
      </c>
      <c r="ED128" s="1" t="s">
        <v>579</v>
      </c>
      <c r="EE128" s="1" t="s">
        <v>79</v>
      </c>
      <c r="EF128" s="1" t="s">
        <v>509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48</v>
      </c>
      <c r="EL128" s="1" t="s">
        <v>451</v>
      </c>
      <c r="EM128" s="1" t="s">
        <v>49</v>
      </c>
      <c r="EN128" s="347"/>
      <c r="EO128" s="347"/>
      <c r="EP128" s="347"/>
      <c r="EQ128" s="347"/>
      <c r="ER128" s="347"/>
      <c r="ES128" s="347"/>
      <c r="ET128" s="347"/>
      <c r="EZ128" s="1"/>
      <c r="FA128" s="1"/>
      <c r="FB128" s="1" t="s">
        <v>449</v>
      </c>
      <c r="FC128" s="1" t="s">
        <v>450</v>
      </c>
      <c r="FD128" s="1" t="s">
        <v>579</v>
      </c>
      <c r="FE128" s="1" t="s">
        <v>79</v>
      </c>
      <c r="FF128" s="1" t="s">
        <v>509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48</v>
      </c>
      <c r="FL128" s="1" t="s">
        <v>451</v>
      </c>
      <c r="FM128" s="1" t="s">
        <v>49</v>
      </c>
      <c r="FN128" s="347"/>
      <c r="FO128" s="347"/>
      <c r="FP128" s="347"/>
      <c r="FQ128" s="347"/>
      <c r="FR128" s="347"/>
      <c r="FS128" s="347"/>
      <c r="FT128" s="347"/>
    </row>
    <row r="129" spans="2:171" ht="19.2" customHeight="1">
      <c r="J129" s="21" t="s">
        <v>40</v>
      </c>
      <c r="K129" s="1" t="s">
        <v>82</v>
      </c>
      <c r="L129" s="21" t="s">
        <v>213</v>
      </c>
      <c r="M129" s="139" t="s">
        <v>84</v>
      </c>
      <c r="N129" s="139" t="s">
        <v>80</v>
      </c>
      <c r="O129" s="1" t="s">
        <v>89</v>
      </c>
      <c r="P129" s="139" t="s">
        <v>89</v>
      </c>
      <c r="Q129" s="139" t="s">
        <v>24</v>
      </c>
      <c r="R129" s="139" t="s">
        <v>91</v>
      </c>
      <c r="S129" s="139" t="s">
        <v>89</v>
      </c>
      <c r="T129" s="139" t="s">
        <v>89</v>
      </c>
      <c r="U129" s="139" t="s">
        <v>88</v>
      </c>
      <c r="V129" s="139" t="s">
        <v>86</v>
      </c>
      <c r="W129" s="137" t="s">
        <v>47</v>
      </c>
      <c r="X129" s="201" t="s">
        <v>47</v>
      </c>
      <c r="Y129" s="201" t="s">
        <v>252</v>
      </c>
      <c r="Z129" s="346"/>
      <c r="AA129" s="96" t="s">
        <v>77</v>
      </c>
      <c r="AB129" s="21"/>
      <c r="AC129" s="27"/>
      <c r="AD129" s="21" t="s">
        <v>40</v>
      </c>
      <c r="AE129" s="1" t="s">
        <v>82</v>
      </c>
      <c r="AF129" s="21" t="s">
        <v>213</v>
      </c>
      <c r="AG129" s="139" t="s">
        <v>84</v>
      </c>
      <c r="AH129" s="139" t="s">
        <v>80</v>
      </c>
      <c r="AI129" s="1" t="s">
        <v>89</v>
      </c>
      <c r="AJ129" s="139" t="s">
        <v>89</v>
      </c>
      <c r="AK129" s="139" t="s">
        <v>24</v>
      </c>
      <c r="AL129" s="139" t="s">
        <v>91</v>
      </c>
      <c r="AM129" s="139" t="s">
        <v>89</v>
      </c>
      <c r="AN129" s="139" t="s">
        <v>89</v>
      </c>
      <c r="AO129" s="139" t="s">
        <v>88</v>
      </c>
      <c r="AP129" s="139" t="s">
        <v>86</v>
      </c>
      <c r="AQ129" s="137" t="s">
        <v>47</v>
      </c>
      <c r="AR129" s="201" t="s">
        <v>47</v>
      </c>
      <c r="AS129" s="201" t="s">
        <v>252</v>
      </c>
      <c r="AT129" s="346"/>
      <c r="AU129" s="96" t="s">
        <v>77</v>
      </c>
      <c r="AV129" s="21"/>
      <c r="AW129" s="21" t="s">
        <v>40</v>
      </c>
      <c r="AX129" s="1" t="s">
        <v>82</v>
      </c>
      <c r="AY129" s="21" t="s">
        <v>213</v>
      </c>
      <c r="AZ129" s="139" t="s">
        <v>84</v>
      </c>
      <c r="BA129" s="139" t="s">
        <v>80</v>
      </c>
      <c r="BB129" s="1" t="s">
        <v>89</v>
      </c>
      <c r="BC129" s="139" t="s">
        <v>89</v>
      </c>
      <c r="BD129" s="139" t="s">
        <v>24</v>
      </c>
      <c r="BE129" s="139" t="s">
        <v>91</v>
      </c>
      <c r="BF129" s="139" t="s">
        <v>89</v>
      </c>
      <c r="BG129" s="139" t="s">
        <v>89</v>
      </c>
      <c r="BH129" s="139" t="s">
        <v>88</v>
      </c>
      <c r="BI129" s="139" t="s">
        <v>86</v>
      </c>
      <c r="BJ129" s="137" t="s">
        <v>47</v>
      </c>
      <c r="BK129" s="201" t="s">
        <v>47</v>
      </c>
      <c r="BL129" s="201" t="s">
        <v>252</v>
      </c>
      <c r="BM129" s="346"/>
      <c r="BN129" s="96" t="s">
        <v>77</v>
      </c>
      <c r="BO129" s="21"/>
      <c r="BP129" s="21" t="s">
        <v>40</v>
      </c>
      <c r="BQ129" s="1" t="s">
        <v>82</v>
      </c>
      <c r="BR129" s="21" t="s">
        <v>213</v>
      </c>
      <c r="BS129" s="139" t="s">
        <v>84</v>
      </c>
      <c r="BT129" s="139" t="s">
        <v>80</v>
      </c>
      <c r="BU129" s="1" t="s">
        <v>89</v>
      </c>
      <c r="BV129" s="139" t="s">
        <v>89</v>
      </c>
      <c r="BW129" s="139" t="s">
        <v>24</v>
      </c>
      <c r="BX129" s="139" t="s">
        <v>91</v>
      </c>
      <c r="BY129" s="139" t="s">
        <v>89</v>
      </c>
      <c r="BZ129" s="139" t="s">
        <v>89</v>
      </c>
      <c r="CA129" s="139" t="s">
        <v>88</v>
      </c>
      <c r="CB129" s="139" t="s">
        <v>86</v>
      </c>
      <c r="CC129" s="137" t="s">
        <v>47</v>
      </c>
      <c r="CD129" s="201" t="s">
        <v>47</v>
      </c>
      <c r="CE129" s="201" t="s">
        <v>252</v>
      </c>
      <c r="CF129" s="346"/>
      <c r="CG129" s="96" t="s">
        <v>77</v>
      </c>
      <c r="CH129" s="203"/>
      <c r="CI129" s="203"/>
      <c r="CK129" s="21" t="s">
        <v>40</v>
      </c>
      <c r="CL129" s="1" t="s">
        <v>82</v>
      </c>
      <c r="CM129" s="21" t="s">
        <v>213</v>
      </c>
      <c r="CN129" s="139" t="s">
        <v>84</v>
      </c>
      <c r="CO129" s="139" t="s">
        <v>80</v>
      </c>
      <c r="CP129" s="1" t="s">
        <v>89</v>
      </c>
      <c r="CQ129" s="139" t="s">
        <v>89</v>
      </c>
      <c r="CR129" s="139" t="s">
        <v>24</v>
      </c>
      <c r="CS129" s="139" t="s">
        <v>91</v>
      </c>
      <c r="CT129" s="139" t="s">
        <v>89</v>
      </c>
      <c r="CU129" s="139" t="s">
        <v>89</v>
      </c>
      <c r="CV129" s="139" t="s">
        <v>88</v>
      </c>
      <c r="CW129" s="139" t="s">
        <v>86</v>
      </c>
      <c r="DT129" s="133" t="s">
        <v>339</v>
      </c>
      <c r="DU129" s="133" t="s">
        <v>379</v>
      </c>
      <c r="DV129" s="17" t="s">
        <v>264</v>
      </c>
      <c r="DW129" s="358" t="s">
        <v>269</v>
      </c>
      <c r="DX129" s="193" t="s">
        <v>245</v>
      </c>
      <c r="DY129" s="1"/>
      <c r="EA129" s="21" t="s">
        <v>40</v>
      </c>
      <c r="EB129" s="1" t="s">
        <v>82</v>
      </c>
      <c r="EC129" s="1" t="s">
        <v>452</v>
      </c>
      <c r="ED129" s="1" t="s">
        <v>84</v>
      </c>
      <c r="EE129" s="1" t="s">
        <v>80</v>
      </c>
      <c r="EF129" s="1" t="s">
        <v>89</v>
      </c>
      <c r="EG129" s="1" t="s">
        <v>89</v>
      </c>
      <c r="EH129" s="1" t="s">
        <v>24</v>
      </c>
      <c r="EI129" s="1" t="s">
        <v>91</v>
      </c>
      <c r="EJ129" s="1" t="s">
        <v>89</v>
      </c>
      <c r="EK129" s="1" t="s">
        <v>89</v>
      </c>
      <c r="EL129" s="1" t="s">
        <v>88</v>
      </c>
      <c r="EM129" s="1" t="s">
        <v>86</v>
      </c>
      <c r="EO129" s="133" t="s">
        <v>339</v>
      </c>
      <c r="EP129" s="133" t="s">
        <v>379</v>
      </c>
      <c r="EQ129" s="127" t="s">
        <v>264</v>
      </c>
      <c r="ER129" s="349" t="s">
        <v>269</v>
      </c>
      <c r="ES129" s="193" t="s">
        <v>245</v>
      </c>
      <c r="FA129" s="139" t="s">
        <v>40</v>
      </c>
      <c r="FB129" s="1" t="s">
        <v>82</v>
      </c>
      <c r="FC129" s="1" t="s">
        <v>452</v>
      </c>
      <c r="FD129" s="1" t="s">
        <v>84</v>
      </c>
      <c r="FE129" s="1" t="s">
        <v>80</v>
      </c>
      <c r="FF129" s="1" t="s">
        <v>89</v>
      </c>
      <c r="FG129" s="1" t="s">
        <v>89</v>
      </c>
      <c r="FH129" s="1" t="s">
        <v>24</v>
      </c>
      <c r="FI129" s="1" t="s">
        <v>91</v>
      </c>
      <c r="FJ129" s="1" t="s">
        <v>89</v>
      </c>
      <c r="FK129" s="1" t="s">
        <v>89</v>
      </c>
      <c r="FL129" s="1" t="s">
        <v>88</v>
      </c>
      <c r="FM129" s="1" t="s">
        <v>86</v>
      </c>
    </row>
    <row r="130" spans="2:171" ht="19.05" customHeight="1">
      <c r="I130" s="351" t="s">
        <v>335</v>
      </c>
      <c r="J130" s="144" t="s">
        <v>254</v>
      </c>
      <c r="K130" s="144">
        <f>Limestone_for_BF</f>
        <v>198.12782320839224</v>
      </c>
      <c r="L130" s="144">
        <v>0.95</v>
      </c>
      <c r="M130" s="144">
        <f>MW_CaCO3</f>
        <v>0.1000872</v>
      </c>
      <c r="N130" s="144">
        <f>K130/M130</f>
        <v>1979.5520626852608</v>
      </c>
      <c r="O130" s="144">
        <f>h_CaCO3</f>
        <v>-1207.5999999999999</v>
      </c>
      <c r="P130" s="144">
        <f>b_ch_CaCO3</f>
        <v>11.256799999999885</v>
      </c>
      <c r="Q130" s="144">
        <f>N130/N132</f>
        <v>0.94119632891260407</v>
      </c>
      <c r="R130" s="144">
        <f>LN(Q130)</f>
        <v>-6.0603522569383693E-2</v>
      </c>
      <c r="S130" s="144">
        <f>RT0*R130</f>
        <v>-0.15014959061927308</v>
      </c>
      <c r="T130" s="144">
        <f>S130+P130</f>
        <v>11.106650409380611</v>
      </c>
      <c r="U130" s="144">
        <f>T130*Q130</f>
        <v>10.453538591824703</v>
      </c>
      <c r="V130" s="144">
        <f>U130*N132</f>
        <v>21986.192727413487</v>
      </c>
      <c r="W130" s="196">
        <f>AP142</f>
        <v>6.7177820097776806</v>
      </c>
      <c r="X130" s="213">
        <f>SUM(V126,V140,V163,V151)-$AP$126-AP142</f>
        <v>275.72728743553762</v>
      </c>
      <c r="Y130" s="129">
        <f>SUM(U126,U140,U151,U163) - SUM(AO126,AO142)</f>
        <v>0</v>
      </c>
      <c r="Z130" s="99" t="s">
        <v>489</v>
      </c>
      <c r="AA130" s="96">
        <f>($AP$126+AP142)/(SUM(V126,V140,V163,V151))</f>
        <v>0.98922076974338935</v>
      </c>
      <c r="AB130" s="21"/>
      <c r="AC130" s="351" t="s">
        <v>412</v>
      </c>
      <c r="AD130" s="144" t="s">
        <v>254</v>
      </c>
      <c r="AE130" s="144">
        <f>Limestone_for_BF</f>
        <v>198.12782320839224</v>
      </c>
      <c r="AF130" s="144">
        <v>0.95</v>
      </c>
      <c r="AG130" s="144">
        <f>MW_CaCO3</f>
        <v>0.1000872</v>
      </c>
      <c r="AH130" s="144">
        <f>AE130/AG130</f>
        <v>1979.5520626852608</v>
      </c>
      <c r="AI130" s="144">
        <f>h_CaCO3</f>
        <v>-1207.5999999999999</v>
      </c>
      <c r="AJ130" s="144">
        <f>b_ch_CaCO3</f>
        <v>11.256799999999885</v>
      </c>
      <c r="AK130" s="144">
        <f>AH130/AH132</f>
        <v>0.94119632891260407</v>
      </c>
      <c r="AL130" s="144">
        <f>LN(AK130)</f>
        <v>-6.0603522569383693E-2</v>
      </c>
      <c r="AM130" s="144">
        <f>RT0*AL130</f>
        <v>-0.15014959061927308</v>
      </c>
      <c r="AN130" s="144">
        <f>AM130+AJ130</f>
        <v>11.106650409380611</v>
      </c>
      <c r="AO130" s="144">
        <f>AN130*AK130</f>
        <v>10.453538591824703</v>
      </c>
      <c r="AP130" s="144">
        <f>AO130*AH132</f>
        <v>21986.192727413487</v>
      </c>
      <c r="AQ130" s="196">
        <f>0</f>
        <v>0</v>
      </c>
      <c r="AR130" s="213">
        <f>AP126+AU113-BI126</f>
        <v>2824.885647744919</v>
      </c>
      <c r="AS130" s="129">
        <f>BH126-AO126</f>
        <v>0</v>
      </c>
      <c r="AT130" s="99" t="s">
        <v>489</v>
      </c>
      <c r="AU130" s="96">
        <f>BI126/(AU113+AP126)</f>
        <v>0.89954868347015648</v>
      </c>
      <c r="AV130" s="351" t="s">
        <v>436</v>
      </c>
      <c r="AW130" s="144" t="s">
        <v>254</v>
      </c>
      <c r="AX130" s="144">
        <f>Limestone_for_BF</f>
        <v>198.12782320839224</v>
      </c>
      <c r="AY130" s="144">
        <v>0.95</v>
      </c>
      <c r="AZ130" s="144">
        <f>MW_CaCO3</f>
        <v>0.1000872</v>
      </c>
      <c r="BA130" s="144">
        <f>AX130/AZ130</f>
        <v>1979.5520626852608</v>
      </c>
      <c r="BB130" s="144">
        <f>h_CaCO3</f>
        <v>-1207.5999999999999</v>
      </c>
      <c r="BC130" s="144">
        <f>b_ch_CaCO3</f>
        <v>11.256799999999885</v>
      </c>
      <c r="BD130" s="144">
        <f>BA130/BA132</f>
        <v>0.94119632891260407</v>
      </c>
      <c r="BE130" s="144">
        <f>LN(BD130)</f>
        <v>-6.0603522569383693E-2</v>
      </c>
      <c r="BF130" s="144">
        <f>RT0*BE130</f>
        <v>-0.15014959061927308</v>
      </c>
      <c r="BG130" s="144">
        <f>BF130+BC130</f>
        <v>11.106650409380611</v>
      </c>
      <c r="BH130" s="144">
        <f>BG130*BD130</f>
        <v>10.453538591824703</v>
      </c>
      <c r="BI130" s="144">
        <f>BH130*BA132</f>
        <v>21986.192727413487</v>
      </c>
      <c r="BJ130" s="196">
        <v>0</v>
      </c>
      <c r="BK130" s="213">
        <f>BI126+BM116-CB126</f>
        <v>34.678095164115803</v>
      </c>
      <c r="BL130" s="129">
        <f>CA126-BH126</f>
        <v>0</v>
      </c>
      <c r="BM130" s="99" t="s">
        <v>489</v>
      </c>
      <c r="BN130" s="96">
        <f>CB126/(BM113+BI126)</f>
        <v>0.99884664645418608</v>
      </c>
      <c r="BO130" s="351" t="s">
        <v>424</v>
      </c>
      <c r="BP130" s="144" t="s">
        <v>254</v>
      </c>
      <c r="BQ130" s="144">
        <f>Limestone_for_BF</f>
        <v>198.12782320839224</v>
      </c>
      <c r="BR130" s="144">
        <v>0.95</v>
      </c>
      <c r="BS130" s="144">
        <f>MW_CaCO3</f>
        <v>0.1000872</v>
      </c>
      <c r="BT130" s="144">
        <f>BQ130/BS130</f>
        <v>1979.5520626852608</v>
      </c>
      <c r="BU130" s="144">
        <f>h_CaCO3</f>
        <v>-1207.5999999999999</v>
      </c>
      <c r="BV130" s="144">
        <f>b_ch_CaCO3</f>
        <v>11.256799999999885</v>
      </c>
      <c r="BW130" s="144">
        <f>BT130/BT132</f>
        <v>0.94119632891260407</v>
      </c>
      <c r="BX130" s="144">
        <f>LN(BW130)</f>
        <v>-6.0603522569383693E-2</v>
      </c>
      <c r="BY130" s="144">
        <f>RT0*BX130</f>
        <v>-0.15014959061927308</v>
      </c>
      <c r="BZ130" s="144">
        <f>BY130+BV130</f>
        <v>11.106650409380611</v>
      </c>
      <c r="CA130" s="144">
        <f>BZ130*BW130</f>
        <v>10.453538591824703</v>
      </c>
      <c r="CB130" s="144">
        <f>CA130*BT132</f>
        <v>21986.192727413487</v>
      </c>
      <c r="CC130" s="196">
        <f>CW114+CW138</f>
        <v>94961.386511485034</v>
      </c>
      <c r="CD130" s="213">
        <f>CB126+CB140+CB152-CW114-CW126-CW138</f>
        <v>1642067.5780806448</v>
      </c>
      <c r="CE130" s="129">
        <f>SUM(CV138,CV126,CV114) - SUM(CA126,CA140,CA152)</f>
        <v>0</v>
      </c>
      <c r="CF130" s="99" t="s">
        <v>489</v>
      </c>
      <c r="CG130" s="96">
        <f>(CW138+CW126+CW114)/(CB140+CB126+CB152)</f>
        <v>0.17027276068302746</v>
      </c>
      <c r="CH130" s="203"/>
      <c r="CI130" s="203"/>
      <c r="CJ130" s="138" t="s">
        <v>425</v>
      </c>
      <c r="CK130" s="202" t="s">
        <v>113</v>
      </c>
      <c r="CL130" s="161">
        <f>Quicklime_for_BF</f>
        <v>111.00813284002646</v>
      </c>
      <c r="CM130" s="161">
        <v>1</v>
      </c>
      <c r="CN130" s="161">
        <f>MW_CaO</f>
        <v>5.6077400000000006E-2</v>
      </c>
      <c r="CO130" s="161">
        <f>CL130/CN130</f>
        <v>1979.5520626852608</v>
      </c>
      <c r="CP130" s="161">
        <f>h_CaO</f>
        <v>-634.9</v>
      </c>
      <c r="CQ130" s="161">
        <f>b_ch_CaO</f>
        <v>122.25799999999992</v>
      </c>
      <c r="CR130" s="214">
        <f>CO130/CO131</f>
        <v>1</v>
      </c>
      <c r="CS130" s="214">
        <f>LN(CR130)</f>
        <v>0</v>
      </c>
      <c r="CT130" s="214">
        <f>RT0*CS130</f>
        <v>0</v>
      </c>
      <c r="CU130" s="161">
        <f>CT130+CQ130</f>
        <v>122.25799999999992</v>
      </c>
      <c r="CV130" s="161">
        <f>CU130*CR130</f>
        <v>122.25799999999992</v>
      </c>
      <c r="CW130" s="214">
        <f>CV130*CO131</f>
        <v>242016.07607977447</v>
      </c>
      <c r="DT130" s="137" t="s">
        <v>47</v>
      </c>
      <c r="DU130" s="194" t="s">
        <v>47</v>
      </c>
      <c r="DV130" s="1" t="s">
        <v>83</v>
      </c>
      <c r="DW130" s="359"/>
      <c r="DX130" s="96" t="s">
        <v>77</v>
      </c>
      <c r="DY130" s="21"/>
      <c r="DZ130" s="351" t="s">
        <v>445</v>
      </c>
      <c r="EA130" s="40" t="s">
        <v>14</v>
      </c>
      <c r="EB130" s="111">
        <f>Fe2O3_BF_in</f>
        <v>881.06000000000006</v>
      </c>
      <c r="EC130" s="111">
        <f>EB130/$EB$134</f>
        <v>0.67037060719939068</v>
      </c>
      <c r="ED130" s="112">
        <f>MW_Fe2O3</f>
        <v>0.1596882</v>
      </c>
      <c r="EE130" s="112">
        <f>EB130/ED130</f>
        <v>5517.3769884061567</v>
      </c>
      <c r="EF130" s="112">
        <f>h_Fe2O3</f>
        <v>-824.2</v>
      </c>
      <c r="EG130" s="112">
        <f>b_ch_Fe2O3</f>
        <v>17.358400000000074</v>
      </c>
      <c r="EH130" s="112">
        <f>EE130/$EE$134</f>
        <v>0.20286330971780439</v>
      </c>
      <c r="EI130" s="113">
        <f>LN(EH130)</f>
        <v>-1.5952228778868696</v>
      </c>
      <c r="EJ130" s="113">
        <f>RT0*EI130</f>
        <v>-3.9522795360119272</v>
      </c>
      <c r="EK130" s="113">
        <f>EG130+EJ130</f>
        <v>13.406120463988147</v>
      </c>
      <c r="EL130" s="113">
        <f>EK130*EH130</f>
        <v>2.7196099678002228</v>
      </c>
      <c r="EM130" s="113">
        <f>$EE$134*EL130</f>
        <v>73966.620551809072</v>
      </c>
      <c r="EO130" s="137" t="s">
        <v>47</v>
      </c>
      <c r="EP130" s="194" t="s">
        <v>47</v>
      </c>
      <c r="EQ130" s="194" t="s">
        <v>83</v>
      </c>
      <c r="ER130" s="350"/>
      <c r="ES130" s="96" t="s">
        <v>77</v>
      </c>
      <c r="EZ130" s="138" t="s">
        <v>446</v>
      </c>
      <c r="FA130" s="1" t="s">
        <v>15</v>
      </c>
      <c r="FB130" s="172">
        <f>Fe_BF_out</f>
        <v>616.23583583508366</v>
      </c>
      <c r="FC130" s="172">
        <f>FB130/FB131</f>
        <v>1</v>
      </c>
      <c r="FD130" s="161">
        <f>MW_Fe</f>
        <v>5.5844999999999999E-2</v>
      </c>
      <c r="FE130" s="161">
        <f>FB130/FD130</f>
        <v>11034.753976812313</v>
      </c>
      <c r="FF130" s="161">
        <f>h_Fe</f>
        <v>0</v>
      </c>
      <c r="FG130" s="155">
        <f>b_ch_Fe</f>
        <v>376.8</v>
      </c>
      <c r="FH130" s="161">
        <f>FE130/FE131</f>
        <v>1</v>
      </c>
      <c r="FI130" s="172">
        <f>LN(FH130)</f>
        <v>0</v>
      </c>
      <c r="FJ130" s="172">
        <f>RT0*FI130</f>
        <v>0</v>
      </c>
      <c r="FK130" s="172">
        <f>FG130+FJ130</f>
        <v>376.8</v>
      </c>
      <c r="FL130" s="172">
        <f>FK130*FH130</f>
        <v>376.8</v>
      </c>
      <c r="FM130" s="172">
        <f>FE131*FL130</f>
        <v>4157895.2984628798</v>
      </c>
    </row>
    <row r="131" spans="2:171" ht="19.05" customHeight="1">
      <c r="I131" s="351"/>
      <c r="J131" s="27" t="s">
        <v>257</v>
      </c>
      <c r="K131" s="27">
        <f>(K130*L131)/L130</f>
        <v>10.427780168862752</v>
      </c>
      <c r="L131" s="27">
        <v>0.05</v>
      </c>
      <c r="M131" s="27">
        <f>MW_MgCO3</f>
        <v>8.4314200000000006E-2</v>
      </c>
      <c r="N131" s="27">
        <f>K131/M131</f>
        <v>123.6776268868441</v>
      </c>
      <c r="O131" s="27">
        <f>h_MgCO3</f>
        <v>-1095.8</v>
      </c>
      <c r="P131" s="27">
        <f>b_ch_MgCO3</f>
        <v>33.790400000000034</v>
      </c>
      <c r="Q131" s="27">
        <f>N131/N132</f>
        <v>5.880367108739603E-2</v>
      </c>
      <c r="R131" s="27">
        <f>LN(Q131)</f>
        <v>-2.8335509925673268</v>
      </c>
      <c r="S131" s="27">
        <f>RT0*R131</f>
        <v>-7.0203265997570163</v>
      </c>
      <c r="T131" s="27">
        <f>S131+P131</f>
        <v>26.770073400243017</v>
      </c>
      <c r="U131" s="27">
        <f>T131*Q131</f>
        <v>1.5741785912133399</v>
      </c>
      <c r="V131" s="27">
        <f>U131*N132</f>
        <v>3310.8591497286861</v>
      </c>
      <c r="W131" s="27"/>
      <c r="X131" s="27"/>
      <c r="Y131" s="27"/>
      <c r="Z131" s="100" t="s">
        <v>318</v>
      </c>
      <c r="AA131" s="97">
        <f>$AP$130/(SUM(V126,V140,V163,V151))</f>
        <v>0.85952404667389759</v>
      </c>
      <c r="AB131" s="21"/>
      <c r="AC131" s="351"/>
      <c r="AD131" s="27" t="s">
        <v>257</v>
      </c>
      <c r="AE131" s="27">
        <f>(AE130*AF131)/AF130</f>
        <v>10.427780168862752</v>
      </c>
      <c r="AF131" s="27">
        <v>0.05</v>
      </c>
      <c r="AG131" s="27">
        <f>MW_MgCO3</f>
        <v>8.4314200000000006E-2</v>
      </c>
      <c r="AH131" s="27">
        <f>AE131/AG131</f>
        <v>123.6776268868441</v>
      </c>
      <c r="AI131" s="27">
        <f>h_MgCO3</f>
        <v>-1095.8</v>
      </c>
      <c r="AJ131" s="27">
        <f>b_ch_MgCO3</f>
        <v>33.790400000000034</v>
      </c>
      <c r="AK131" s="27">
        <f>AH131/AH132</f>
        <v>5.880367108739603E-2</v>
      </c>
      <c r="AL131" s="27">
        <f>LN(AK131)</f>
        <v>-2.8335509925673268</v>
      </c>
      <c r="AM131" s="27">
        <f>RT0*AL131</f>
        <v>-7.0203265997570163</v>
      </c>
      <c r="AN131" s="27">
        <f>AM131+AJ131</f>
        <v>26.770073400243017</v>
      </c>
      <c r="AO131" s="27">
        <f>AN131*AK131</f>
        <v>1.5741785912133399</v>
      </c>
      <c r="AP131" s="27">
        <f>AO131*AH132</f>
        <v>3310.8591497286861</v>
      </c>
      <c r="AQ131" s="27"/>
      <c r="AR131" s="27"/>
      <c r="AS131" s="21"/>
      <c r="AT131" s="100" t="s">
        <v>318</v>
      </c>
      <c r="AU131" s="97">
        <f>BI130/(AU113+AP126)</f>
        <v>0.78181642740498758</v>
      </c>
      <c r="AV131" s="351"/>
      <c r="AW131" s="27" t="s">
        <v>257</v>
      </c>
      <c r="AX131" s="27">
        <f>(AX130*AY131)/AY130</f>
        <v>10.427780168862752</v>
      </c>
      <c r="AY131" s="27">
        <v>0.05</v>
      </c>
      <c r="AZ131" s="27">
        <f>MW_MgCO3</f>
        <v>8.4314200000000006E-2</v>
      </c>
      <c r="BA131" s="27">
        <f>AX131/AZ131</f>
        <v>123.6776268868441</v>
      </c>
      <c r="BB131" s="27">
        <f>h_MgCO3</f>
        <v>-1095.8</v>
      </c>
      <c r="BC131" s="27">
        <f>b_ch_MgCO3</f>
        <v>33.790400000000034</v>
      </c>
      <c r="BD131" s="27">
        <f>BA131/BA132</f>
        <v>5.880367108739603E-2</v>
      </c>
      <c r="BE131" s="27">
        <f>LN(BD131)</f>
        <v>-2.8335509925673268</v>
      </c>
      <c r="BF131" s="27">
        <f>RT0*BE131</f>
        <v>-7.0203265997570163</v>
      </c>
      <c r="BG131" s="27">
        <f>BF131+BC131</f>
        <v>26.770073400243017</v>
      </c>
      <c r="BH131" s="27">
        <f>BG131*BD131</f>
        <v>1.5741785912133399</v>
      </c>
      <c r="BI131" s="27">
        <f>BH131*BA132</f>
        <v>3310.8591497286861</v>
      </c>
      <c r="BJ131" s="27"/>
      <c r="BK131" s="27"/>
      <c r="BL131" s="21"/>
      <c r="BM131" s="100" t="s">
        <v>318</v>
      </c>
      <c r="BN131" s="97">
        <f>CB130/(BM113+BI126)</f>
        <v>0.86811834757376105</v>
      </c>
      <c r="BO131" s="351"/>
      <c r="BP131" s="27" t="s">
        <v>257</v>
      </c>
      <c r="BQ131" s="27">
        <f>(BQ130*BR131)/BR130</f>
        <v>10.427780168862752</v>
      </c>
      <c r="BR131" s="27">
        <v>0.05</v>
      </c>
      <c r="BS131" s="27">
        <f>MW_MgCO3</f>
        <v>8.4314200000000006E-2</v>
      </c>
      <c r="BT131" s="27">
        <f>BQ131/BS131</f>
        <v>123.6776268868441</v>
      </c>
      <c r="BU131" s="27">
        <f>h_MgCO3</f>
        <v>-1095.8</v>
      </c>
      <c r="BV131" s="27">
        <f>b_ch_MgCO3</f>
        <v>33.790400000000034</v>
      </c>
      <c r="BW131" s="27">
        <f>BT131/BT132</f>
        <v>5.880367108739603E-2</v>
      </c>
      <c r="BX131" s="27">
        <f>LN(BW131)</f>
        <v>-2.8335509925673268</v>
      </c>
      <c r="BY131" s="27">
        <f>RT0*BX131</f>
        <v>-7.0203265997570163</v>
      </c>
      <c r="BZ131" s="27">
        <f>BY131+BV131</f>
        <v>26.770073400243017</v>
      </c>
      <c r="CA131" s="27">
        <f>BZ131*BW131</f>
        <v>1.5741785912133399</v>
      </c>
      <c r="CB131" s="27">
        <f>CA131*BT132</f>
        <v>3310.8591497286861</v>
      </c>
      <c r="CC131" s="203"/>
      <c r="CD131" s="27"/>
      <c r="CF131" s="100" t="s">
        <v>318</v>
      </c>
      <c r="CG131" s="97">
        <f>CW130/(CB126+CB152+CB140)</f>
        <v>0.1222893219234706</v>
      </c>
      <c r="CH131" s="203"/>
      <c r="CI131" s="203"/>
      <c r="CK131" s="27" t="s">
        <v>18</v>
      </c>
      <c r="CL131" s="27">
        <f>SUM(CL130)</f>
        <v>111.00813284002646</v>
      </c>
      <c r="CM131" s="27"/>
      <c r="CN131" s="27">
        <f>SUM(CN130)</f>
        <v>5.6077400000000006E-2</v>
      </c>
      <c r="CO131" s="27">
        <f>SUM(CO130)</f>
        <v>1979.5520626852608</v>
      </c>
      <c r="CP131" s="27">
        <f>SUM(CP130)</f>
        <v>-634.9</v>
      </c>
      <c r="CQ131" s="27"/>
      <c r="CR131" s="27"/>
      <c r="CS131" s="203"/>
      <c r="CT131" s="203"/>
      <c r="CU131" s="27"/>
      <c r="CV131" s="27">
        <f>SUM(CV130)</f>
        <v>122.25799999999992</v>
      </c>
      <c r="CW131" s="27">
        <f>SUM(CW130)</f>
        <v>242016.07607977447</v>
      </c>
      <c r="DT131" s="196">
        <f>0</f>
        <v>0</v>
      </c>
      <c r="DU131" s="190">
        <f>(CW126+CA42+CW206)-(EM126)</f>
        <v>55594.067320963368</v>
      </c>
      <c r="DV131" s="17">
        <f>EL126-CV126-CV206-BZ42</f>
        <v>0</v>
      </c>
      <c r="DW131" s="99" t="s">
        <v>489</v>
      </c>
      <c r="DX131" s="195">
        <f>EM126/(CW126+CW206+CA42)</f>
        <v>0.99174963463121601</v>
      </c>
      <c r="DY131" s="21"/>
      <c r="DZ131" s="351"/>
      <c r="EA131" s="1" t="s">
        <v>16</v>
      </c>
      <c r="EB131" s="114">
        <f>SiO2_BF_in</f>
        <v>118.94000000000001</v>
      </c>
      <c r="EC131" s="114">
        <f t="shared" ref="EC131:EC133" si="46">EB131/$EB$134</f>
        <v>9.0497673280248256E-2</v>
      </c>
      <c r="ED131" s="107">
        <f>MW_SIO2</f>
        <v>6.00843E-2</v>
      </c>
      <c r="EE131" s="107">
        <f>EB131/ED131</f>
        <v>1979.5520626852608</v>
      </c>
      <c r="EF131" s="107">
        <f>h_SiO2</f>
        <v>-910.7</v>
      </c>
      <c r="EG131" s="107">
        <f>b_ch_SiO2</f>
        <v>1.5260000000000673</v>
      </c>
      <c r="EH131" s="107">
        <f>EE131/$EE$134</f>
        <v>7.2784311102701241E-2</v>
      </c>
      <c r="EI131" s="115">
        <f t="shared" ref="EI131:EI133" si="47">LN(EH131)</f>
        <v>-2.6202548538354575</v>
      </c>
      <c r="EJ131" s="115">
        <f>RT0*EI131</f>
        <v>-6.4918700587268221</v>
      </c>
      <c r="EK131" s="115">
        <f t="shared" ref="EK131:EK134" si="48">EG131+EJ131</f>
        <v>-4.9658700587267548</v>
      </c>
      <c r="EL131" s="115">
        <f t="shared" ref="EL131:EL133" si="49">EK131*EH131</f>
        <v>-0.36143743124995742</v>
      </c>
      <c r="EM131" s="115">
        <f>$EE$134*EL131</f>
        <v>-9830.1983177795246</v>
      </c>
      <c r="EO131" s="196">
        <f>FM141+FM104</f>
        <v>472084.51440660493</v>
      </c>
      <c r="EP131" s="157">
        <f>SUM(EM101,EM114,EM126,EM140,EM152)-(FM126+FM141+FM104)</f>
        <v>7253543.9652409712</v>
      </c>
      <c r="EQ131" s="156">
        <f>(SUM(BF_SolidWaste,FL126,FL141))-SUM(EL101,EL114,EL126,EL140,EL152)</f>
        <v>0</v>
      </c>
      <c r="ER131" s="99" t="s">
        <v>489</v>
      </c>
      <c r="ES131" s="195">
        <f>SUM(FM104,FM126,FM141)/SUM(EU117,EM101,EM114,EM126,EM140,EM152)</f>
        <v>0.37943022424115741</v>
      </c>
      <c r="FA131" s="40" t="s">
        <v>18</v>
      </c>
      <c r="FB131" s="40">
        <f t="shared" ref="FB131" si="50">SUM(FB130:FB130)</f>
        <v>616.23583583508366</v>
      </c>
      <c r="FC131" s="40">
        <v>1</v>
      </c>
      <c r="FD131" s="40">
        <f t="shared" ref="FD131:FM131" si="51">SUM(FD130:FD130)</f>
        <v>5.5844999999999999E-2</v>
      </c>
      <c r="FE131" s="40">
        <f t="shared" si="51"/>
        <v>11034.753976812313</v>
      </c>
      <c r="FF131" s="40">
        <f t="shared" si="51"/>
        <v>0</v>
      </c>
      <c r="FG131" s="40">
        <f>FG130</f>
        <v>376.8</v>
      </c>
      <c r="FH131" s="40">
        <v>1</v>
      </c>
      <c r="FI131" s="40"/>
      <c r="FJ131" s="40">
        <f>FJ130</f>
        <v>0</v>
      </c>
      <c r="FK131" s="40">
        <f>FK130</f>
        <v>376.8</v>
      </c>
      <c r="FL131" s="40">
        <f t="shared" si="51"/>
        <v>376.8</v>
      </c>
      <c r="FM131" s="40">
        <f t="shared" si="51"/>
        <v>4157895.2984628798</v>
      </c>
    </row>
    <row r="132" spans="2:171" ht="19.05" customHeight="1">
      <c r="J132" s="144" t="s">
        <v>18</v>
      </c>
      <c r="K132" s="144">
        <f>SUM(K130:K131)</f>
        <v>208.55560337725498</v>
      </c>
      <c r="L132" s="144">
        <f>SUM(L130:L131)</f>
        <v>1</v>
      </c>
      <c r="M132" s="144">
        <f>SUM(M130:M131)</f>
        <v>0.18440139999999999</v>
      </c>
      <c r="N132" s="144">
        <f>SUM(N130:N131)</f>
        <v>2103.2296895721047</v>
      </c>
      <c r="O132" s="18">
        <f t="array" ref="O132">SUM(K130:K131*O130:O131) / K132</f>
        <v>-1202.01</v>
      </c>
      <c r="P132" s="144"/>
      <c r="Q132" s="144">
        <f>SUM(Q130:Q131)</f>
        <v>1</v>
      </c>
      <c r="R132" s="215"/>
      <c r="S132" s="215"/>
      <c r="T132" s="215"/>
      <c r="U132" s="144">
        <f>SUM(U130:U131)</f>
        <v>12.027717183038042</v>
      </c>
      <c r="V132" s="144">
        <f>SUM(V130:V131)</f>
        <v>25297.051877142174</v>
      </c>
      <c r="W132" s="27"/>
      <c r="X132" s="27"/>
      <c r="Y132" s="27"/>
      <c r="AB132" s="21"/>
      <c r="AC132" s="27"/>
      <c r="AD132" s="144" t="s">
        <v>18</v>
      </c>
      <c r="AE132" s="144">
        <f>SUM(AE130:AE131)</f>
        <v>208.55560337725498</v>
      </c>
      <c r="AF132" s="144">
        <f>SUM(AF130:AF131)</f>
        <v>1</v>
      </c>
      <c r="AG132" s="144">
        <f>SUM(AG130:AG131)</f>
        <v>0.18440139999999999</v>
      </c>
      <c r="AH132" s="144">
        <f>SUM(AH130:AH131)</f>
        <v>2103.2296895721047</v>
      </c>
      <c r="AI132" s="18">
        <f t="array" ref="AI132">SUM(AE130:AE131*AI130:AI131) / AE132</f>
        <v>-1202.01</v>
      </c>
      <c r="AJ132" s="144"/>
      <c r="AK132" s="144">
        <f>SUM(AK130:AK131)</f>
        <v>1</v>
      </c>
      <c r="AL132" s="215"/>
      <c r="AM132" s="215"/>
      <c r="AN132" s="215"/>
      <c r="AO132" s="144">
        <f>SUM(AO130:AO131)</f>
        <v>12.027717183038042</v>
      </c>
      <c r="AP132" s="144">
        <f>SUM(AP130:AP131)</f>
        <v>25297.051877142174</v>
      </c>
      <c r="AQ132" s="27"/>
      <c r="AR132" s="27"/>
      <c r="AS132" s="21"/>
      <c r="AV132" s="21"/>
      <c r="AW132" s="144" t="s">
        <v>18</v>
      </c>
      <c r="AX132" s="144">
        <f>SUM(AX130:AX131)</f>
        <v>208.55560337725498</v>
      </c>
      <c r="AY132" s="144">
        <f>SUM(AY130:AY131)</f>
        <v>1</v>
      </c>
      <c r="AZ132" s="144">
        <f>SUM(AZ130:AZ131)</f>
        <v>0.18440139999999999</v>
      </c>
      <c r="BA132" s="144">
        <f>SUM(BA130:BA131)</f>
        <v>2103.2296895721047</v>
      </c>
      <c r="BB132" s="18">
        <f t="array" ref="BB132">SUM(AX130:AX131*BB130:BB131) / AX132</f>
        <v>-1202.01</v>
      </c>
      <c r="BC132" s="144"/>
      <c r="BD132" s="144">
        <f>SUM(BD130:BD131)</f>
        <v>1</v>
      </c>
      <c r="BE132" s="215"/>
      <c r="BF132" s="215"/>
      <c r="BG132" s="215"/>
      <c r="BH132" s="144">
        <f>SUM(BH130:BH131)</f>
        <v>12.027717183038042</v>
      </c>
      <c r="BI132" s="144">
        <f>SUM(BI130:BI131)</f>
        <v>25297.051877142174</v>
      </c>
      <c r="BJ132" s="27"/>
      <c r="BK132" s="27"/>
      <c r="BL132" s="21"/>
      <c r="BO132" s="21"/>
      <c r="BP132" s="144" t="s">
        <v>18</v>
      </c>
      <c r="BQ132" s="144">
        <f>SUM(BQ130:BQ131)</f>
        <v>208.55560337725498</v>
      </c>
      <c r="BR132" s="144">
        <f>SUM(BR130:BR131)</f>
        <v>1</v>
      </c>
      <c r="BS132" s="144">
        <f>SUM(BS130:BS131)</f>
        <v>0.18440139999999999</v>
      </c>
      <c r="BT132" s="144">
        <f>SUM(BT130:BT131)</f>
        <v>2103.2296895721047</v>
      </c>
      <c r="BU132" s="18">
        <f t="array" ref="BU132">SUM(BQ130:BQ131*BU130:BU131) / BQ132</f>
        <v>-1202.01</v>
      </c>
      <c r="BV132" s="144"/>
      <c r="BW132" s="144">
        <f>SUM(BW130:BW131)</f>
        <v>1</v>
      </c>
      <c r="BX132" s="215"/>
      <c r="BY132" s="215"/>
      <c r="BZ132" s="215"/>
      <c r="CA132" s="144">
        <f>SUM(CA130:CA131)</f>
        <v>12.027717183038042</v>
      </c>
      <c r="CB132" s="144">
        <f>SUM(CB130:CB131)</f>
        <v>25297.051877142174</v>
      </c>
      <c r="CC132" s="203"/>
      <c r="CD132" s="203"/>
      <c r="CH132" s="203"/>
      <c r="CI132" s="203"/>
      <c r="CK132" s="27"/>
      <c r="CL132" s="27" t="s">
        <v>252</v>
      </c>
      <c r="CM132" s="27"/>
      <c r="CN132" s="203" t="s">
        <v>258</v>
      </c>
      <c r="CO132" s="203" t="s">
        <v>259</v>
      </c>
      <c r="CP132" s="1" t="s">
        <v>640</v>
      </c>
      <c r="CQ132" s="27"/>
      <c r="CR132" s="27"/>
      <c r="CS132" s="203"/>
      <c r="CT132" s="203"/>
      <c r="CU132" s="203"/>
      <c r="CV132" s="203" t="s">
        <v>260</v>
      </c>
      <c r="CW132" s="27" t="s">
        <v>253</v>
      </c>
      <c r="DU132" s="21"/>
      <c r="DV132" s="21"/>
      <c r="DW132" s="100" t="s">
        <v>318</v>
      </c>
      <c r="DX132" s="190">
        <f>EM130/(CW126+CW206+CA42)</f>
        <v>1.0976920273227081E-2</v>
      </c>
      <c r="DY132" s="21"/>
      <c r="DZ132" s="351"/>
      <c r="EA132" s="1" t="s">
        <v>113</v>
      </c>
      <c r="EB132" s="114">
        <f>CV126</f>
        <v>111.00813284002646</v>
      </c>
      <c r="EC132" s="114">
        <f t="shared" si="46"/>
        <v>8.4462567153246265E-2</v>
      </c>
      <c r="ED132" s="107">
        <f>MW_CaO</f>
        <v>5.6077400000000006E-2</v>
      </c>
      <c r="EE132" s="107">
        <f>EB132/ED132</f>
        <v>1979.5520626852608</v>
      </c>
      <c r="EF132" s="107">
        <f>h_CaO</f>
        <v>-634.9</v>
      </c>
      <c r="EG132" s="107">
        <f>b_ch_CaO</f>
        <v>122.25799999999992</v>
      </c>
      <c r="EH132" s="107">
        <f>EE132/$EE$134</f>
        <v>7.2784311102701241E-2</v>
      </c>
      <c r="EI132" s="115">
        <f t="shared" si="47"/>
        <v>-2.6202548538354575</v>
      </c>
      <c r="EJ132" s="115">
        <f>RT0*EI132</f>
        <v>-6.4918700587268221</v>
      </c>
      <c r="EK132" s="115">
        <f t="shared" si="48"/>
        <v>115.76612994127311</v>
      </c>
      <c r="EL132" s="115">
        <f t="shared" si="49"/>
        <v>8.4259580168013581</v>
      </c>
      <c r="EM132" s="115">
        <f>$EE$134*EL132</f>
        <v>229165.08131433709</v>
      </c>
      <c r="EP132" s="21"/>
      <c r="EQ132" s="21"/>
      <c r="ER132" s="100" t="s">
        <v>318</v>
      </c>
      <c r="ES132" s="190">
        <f>FM130/SUM(EU117,EM152,EM140,EM126,EM114,EM101)</f>
        <v>0.34074255379728524</v>
      </c>
      <c r="FA132" s="1"/>
      <c r="FB132" s="116" t="s">
        <v>83</v>
      </c>
      <c r="FC132" s="116"/>
      <c r="FD132" s="107" t="s">
        <v>85</v>
      </c>
      <c r="FE132" s="107" t="s">
        <v>81</v>
      </c>
      <c r="FF132" s="1" t="s">
        <v>640</v>
      </c>
      <c r="FG132" s="117" t="s">
        <v>636</v>
      </c>
      <c r="FH132" s="117"/>
      <c r="FI132" s="107"/>
      <c r="FJ132" s="107" t="s">
        <v>637</v>
      </c>
      <c r="FK132" s="107" t="s">
        <v>638</v>
      </c>
      <c r="FL132" s="107" t="s">
        <v>90</v>
      </c>
      <c r="FM132" s="115" t="s">
        <v>87</v>
      </c>
    </row>
    <row r="133" spans="2:171" ht="18" customHeight="1">
      <c r="J133" s="27"/>
      <c r="K133" s="27" t="s">
        <v>252</v>
      </c>
      <c r="L133" s="27"/>
      <c r="M133" s="203" t="s">
        <v>258</v>
      </c>
      <c r="N133" s="203" t="s">
        <v>259</v>
      </c>
      <c r="O133" s="1" t="s">
        <v>640</v>
      </c>
      <c r="P133" s="27"/>
      <c r="Q133" s="27"/>
      <c r="R133" s="203"/>
      <c r="S133" s="203"/>
      <c r="T133" s="203"/>
      <c r="U133" s="203" t="s">
        <v>260</v>
      </c>
      <c r="V133" s="27" t="s">
        <v>253</v>
      </c>
      <c r="W133" s="27"/>
      <c r="X133" s="27"/>
      <c r="Y133" s="27"/>
      <c r="Z133" s="27"/>
      <c r="AA133" s="27"/>
      <c r="AB133" s="27"/>
      <c r="AC133" s="27"/>
      <c r="AD133" s="27"/>
      <c r="AE133" s="27" t="s">
        <v>252</v>
      </c>
      <c r="AF133" s="27"/>
      <c r="AG133" s="203" t="s">
        <v>258</v>
      </c>
      <c r="AH133" s="203" t="s">
        <v>259</v>
      </c>
      <c r="AI133" s="1" t="s">
        <v>640</v>
      </c>
      <c r="AJ133" s="27"/>
      <c r="AK133" s="27"/>
      <c r="AL133" s="203"/>
      <c r="AM133" s="203"/>
      <c r="AN133" s="203"/>
      <c r="AO133" s="203" t="s">
        <v>260</v>
      </c>
      <c r="AP133" s="27" t="s">
        <v>253</v>
      </c>
      <c r="AQ133" s="27"/>
      <c r="AR133" s="27"/>
      <c r="AS133" s="21"/>
      <c r="AT133" s="27"/>
      <c r="AU133" s="27"/>
      <c r="AV133" s="27"/>
      <c r="AW133" s="27"/>
      <c r="AX133" s="27" t="s">
        <v>252</v>
      </c>
      <c r="AY133" s="27"/>
      <c r="AZ133" s="203" t="s">
        <v>258</v>
      </c>
      <c r="BA133" s="203" t="s">
        <v>259</v>
      </c>
      <c r="BB133" s="1" t="s">
        <v>640</v>
      </c>
      <c r="BC133" s="27"/>
      <c r="BD133" s="27"/>
      <c r="BE133" s="203"/>
      <c r="BF133" s="203"/>
      <c r="BG133" s="203"/>
      <c r="BH133" s="203" t="s">
        <v>260</v>
      </c>
      <c r="BI133" s="27" t="s">
        <v>253</v>
      </c>
      <c r="BJ133" s="27"/>
      <c r="BK133" s="27"/>
      <c r="BL133" s="21"/>
      <c r="BM133" s="27"/>
      <c r="BN133" s="27"/>
      <c r="BO133" s="27"/>
      <c r="BP133" s="27"/>
      <c r="BQ133" s="27" t="s">
        <v>252</v>
      </c>
      <c r="BR133" s="27"/>
      <c r="BS133" s="203" t="s">
        <v>258</v>
      </c>
      <c r="BT133" s="203" t="s">
        <v>259</v>
      </c>
      <c r="BU133" s="1" t="s">
        <v>640</v>
      </c>
      <c r="BV133" s="27"/>
      <c r="BW133" s="27"/>
      <c r="BX133" s="203"/>
      <c r="BY133" s="203"/>
      <c r="BZ133" s="203"/>
      <c r="CA133" s="203" t="s">
        <v>260</v>
      </c>
      <c r="CB133" s="27" t="s">
        <v>253</v>
      </c>
      <c r="CC133" s="203"/>
      <c r="CD133" s="203"/>
      <c r="CF133" s="203"/>
      <c r="CG133" s="203"/>
      <c r="CH133" s="203"/>
      <c r="CI133" s="203"/>
      <c r="CJ133" s="203"/>
      <c r="CK133" s="203"/>
      <c r="CL133" s="203"/>
      <c r="CM133" s="203"/>
      <c r="CN133" s="203"/>
      <c r="CO133" s="203"/>
      <c r="CP133" s="203"/>
      <c r="CQ133" s="203"/>
      <c r="CR133" s="203"/>
      <c r="CS133" s="203"/>
      <c r="CT133" s="203"/>
      <c r="CU133" s="203"/>
      <c r="CV133" s="203"/>
      <c r="CW133" s="203"/>
      <c r="DY133" s="21"/>
      <c r="DZ133" s="351"/>
      <c r="EA133" s="168" t="str">
        <f>_xlfn.CONCAT("C"," ",mol_C_coke," ","H"," ",mol_H_coke," ","O",mol_O_coke," ","N"," ",mol_N_coke," ","S",mol_S_coke)</f>
        <v>C 1 H 0.060922208137734 O0.00537322041192087 N 0.000876805458948301 S0.00344697420465994</v>
      </c>
      <c r="EB133" s="114">
        <f>CV206</f>
        <v>203.27980063725872</v>
      </c>
      <c r="EC133" s="114">
        <f t="shared" si="46"/>
        <v>0.15466915236711484</v>
      </c>
      <c r="ED133" s="107">
        <f>MW_Coke</f>
        <v>217.63525920401193</v>
      </c>
      <c r="EE133" s="107">
        <f>mol_C_to_BF</f>
        <v>17721.029348224434</v>
      </c>
      <c r="EF133" s="107">
        <f>(NCV_dry_anthrocite*MW_Coke)</f>
        <v>6546468.5968566788</v>
      </c>
      <c r="EG133" s="107">
        <f>(b_ch_coke*EB133)/EE133</f>
        <v>361.62056363730647</v>
      </c>
      <c r="EH133" s="107">
        <f>EE133/$EE$134</f>
        <v>0.65156806807679313</v>
      </c>
      <c r="EI133" s="115">
        <f t="shared" si="47"/>
        <v>-0.42837340886205988</v>
      </c>
      <c r="EJ133" s="115">
        <f>RT0*EI133</f>
        <v>-1.0613259633411913</v>
      </c>
      <c r="EK133" s="115">
        <f t="shared" si="48"/>
        <v>360.5592376739653</v>
      </c>
      <c r="EL133" s="115">
        <f t="shared" si="49"/>
        <v>234.92888591846685</v>
      </c>
      <c r="EM133" s="115">
        <f>$EE$134*EL133</f>
        <v>6389480.8325937679</v>
      </c>
      <c r="EZ133" s="21"/>
      <c r="FA133" s="1"/>
      <c r="FB133" s="1"/>
      <c r="FE133" s="21"/>
      <c r="FF133" s="21"/>
      <c r="FG133" s="21"/>
      <c r="FL133" s="1"/>
    </row>
    <row r="134" spans="2:171" ht="16.05" customHeight="1"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14" t="s">
        <v>2</v>
      </c>
      <c r="AS134" s="14" t="s">
        <v>3</v>
      </c>
      <c r="AT134" s="14" t="s">
        <v>475</v>
      </c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14" t="s">
        <v>2</v>
      </c>
      <c r="BL134" s="14" t="s">
        <v>3</v>
      </c>
      <c r="BM134" s="14" t="s">
        <v>475</v>
      </c>
      <c r="BN134" s="21"/>
      <c r="BO134" s="21"/>
      <c r="BP134" s="21"/>
      <c r="BQ134" s="21"/>
      <c r="BR134" s="21"/>
      <c r="BS134" s="21"/>
      <c r="BW134" s="21"/>
      <c r="BX134" s="21"/>
      <c r="CB134" s="203"/>
      <c r="DT134" s="21"/>
      <c r="DU134" s="21"/>
      <c r="DV134" s="21"/>
      <c r="DW134" s="21"/>
      <c r="DX134" s="21"/>
      <c r="DY134" s="21"/>
      <c r="EA134" s="1" t="s">
        <v>639</v>
      </c>
      <c r="EB134" s="111">
        <f>SUM(EB130:EB133)</f>
        <v>1314.2879334772852</v>
      </c>
      <c r="EC134" s="111">
        <f>SUM(EC130:EC133)</f>
        <v>1</v>
      </c>
      <c r="ED134" s="112">
        <f>SUM(ED130:ED133)</f>
        <v>217.91110910401193</v>
      </c>
      <c r="EE134" s="112">
        <f>SUM(EE130:EE133)</f>
        <v>27197.510462001112</v>
      </c>
      <c r="EF134" s="18">
        <f t="array" ref="EF134">SUM(EB130:EB133*EF130:EF133) / EB134</f>
        <v>1011848.1879043626</v>
      </c>
      <c r="EG134" s="112">
        <f t="array" ref="EG134">SUM(EG130:EG133*EH130:EH133)</f>
        <v>248.1513276669431</v>
      </c>
      <c r="EH134" s="112">
        <f>SUM(EH130:EH133)</f>
        <v>1</v>
      </c>
      <c r="EI134" s="112"/>
      <c r="EJ134" s="112">
        <f t="array" ref="EJ134">SUM(EJ130:EJ133*EH130:EH133)</f>
        <v>-2.4383111951246583</v>
      </c>
      <c r="EK134" s="112">
        <f t="shared" si="48"/>
        <v>245.71301647181843</v>
      </c>
      <c r="EL134" s="112">
        <f>SUM(EL130:EL133)</f>
        <v>245.71301647181846</v>
      </c>
      <c r="EM134" s="112">
        <f>SUM(EM130:EM133)</f>
        <v>6682782.3361421349</v>
      </c>
      <c r="ES134" s="21"/>
      <c r="EZ134" s="21"/>
      <c r="FA134" s="1"/>
      <c r="FB134" s="1"/>
      <c r="FE134" s="21"/>
      <c r="FF134" s="21"/>
      <c r="FG134" s="21"/>
      <c r="FL134" s="1"/>
    </row>
    <row r="135" spans="2:171" ht="19.05" customHeight="1">
      <c r="T135" s="21"/>
      <c r="U135" s="21"/>
      <c r="V135" s="21"/>
      <c r="W135" s="21"/>
      <c r="X135" s="21"/>
      <c r="Y135" s="14" t="s">
        <v>2</v>
      </c>
      <c r="Z135" s="14" t="s">
        <v>3</v>
      </c>
      <c r="AA135" s="14" t="s">
        <v>475</v>
      </c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1" t="s">
        <v>477</v>
      </c>
      <c r="AS135" s="1" t="s">
        <v>477</v>
      </c>
      <c r="AT135" s="1" t="s">
        <v>477</v>
      </c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  <c r="BK135" s="1" t="s">
        <v>477</v>
      </c>
      <c r="BL135" s="1" t="s">
        <v>477</v>
      </c>
      <c r="BM135" s="1" t="s">
        <v>477</v>
      </c>
      <c r="BN135" s="21"/>
      <c r="BO135" s="21"/>
      <c r="BP135" s="21"/>
      <c r="BQ135" s="21"/>
      <c r="BR135" s="21"/>
      <c r="BS135" s="21"/>
      <c r="BW135" s="21"/>
      <c r="BX135" s="21"/>
      <c r="EB135" s="116" t="s">
        <v>83</v>
      </c>
      <c r="EC135" s="116"/>
      <c r="ED135" s="107" t="s">
        <v>85</v>
      </c>
      <c r="EE135" s="107" t="s">
        <v>81</v>
      </c>
      <c r="EF135" s="1" t="s">
        <v>640</v>
      </c>
      <c r="EG135" s="117" t="s">
        <v>636</v>
      </c>
      <c r="EH135" s="117"/>
      <c r="EI135" s="107"/>
      <c r="EJ135" s="107" t="s">
        <v>637</v>
      </c>
      <c r="EK135" s="107" t="s">
        <v>638</v>
      </c>
      <c r="EL135" s="107" t="s">
        <v>90</v>
      </c>
      <c r="EM135" s="115" t="s">
        <v>87</v>
      </c>
      <c r="ER135" s="21"/>
      <c r="EZ135" s="21"/>
      <c r="FA135" s="1"/>
      <c r="FB135" s="1"/>
      <c r="FE135" s="21"/>
      <c r="FF135" s="21"/>
      <c r="FG135" s="21"/>
      <c r="FL135" s="1"/>
    </row>
    <row r="136" spans="2:171" ht="18" customHeight="1">
      <c r="T136" s="21"/>
      <c r="U136" s="21"/>
      <c r="V136" s="21"/>
      <c r="W136" s="21"/>
      <c r="X136" s="21"/>
      <c r="Y136" s="1" t="s">
        <v>477</v>
      </c>
      <c r="Z136" s="1" t="s">
        <v>477</v>
      </c>
      <c r="AA136" s="1" t="s">
        <v>477</v>
      </c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 t="s">
        <v>59</v>
      </c>
      <c r="AR136" s="14" t="s">
        <v>476</v>
      </c>
      <c r="AS136" s="14" t="s">
        <v>476</v>
      </c>
      <c r="AT136" s="14" t="s">
        <v>476</v>
      </c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 t="s">
        <v>59</v>
      </c>
      <c r="BK136" s="14" t="s">
        <v>476</v>
      </c>
      <c r="BL136" s="14" t="s">
        <v>476</v>
      </c>
      <c r="BM136" s="14" t="s">
        <v>476</v>
      </c>
      <c r="BN136" s="21"/>
      <c r="BO136" s="21"/>
      <c r="BP136" s="21"/>
      <c r="BQ136" s="21"/>
      <c r="BR136" s="21"/>
      <c r="BS136" s="21"/>
      <c r="BT136" s="21"/>
      <c r="BU136" s="21"/>
      <c r="BV136" s="21"/>
      <c r="BW136" s="21"/>
      <c r="BX136" s="21"/>
      <c r="BY136" s="21"/>
      <c r="CD136" s="21"/>
      <c r="CE136" s="14" t="s">
        <v>2</v>
      </c>
      <c r="CF136" s="14" t="s">
        <v>3</v>
      </c>
      <c r="CG136" s="14" t="s">
        <v>475</v>
      </c>
      <c r="CH136" s="1"/>
      <c r="CI136" s="1"/>
      <c r="CL136" s="21"/>
      <c r="CM136" s="21"/>
      <c r="CV136" s="179" t="s">
        <v>1</v>
      </c>
      <c r="CW136" s="178" t="s">
        <v>0</v>
      </c>
      <c r="EG136" s="114"/>
      <c r="EH136" s="107"/>
      <c r="EI136" s="107"/>
      <c r="EJ136" s="107"/>
      <c r="EK136" s="107"/>
      <c r="EL136" s="107"/>
      <c r="EM136" s="107"/>
      <c r="EN136" s="107"/>
      <c r="EO136" s="107"/>
      <c r="EP136" s="107"/>
      <c r="FC136" s="21"/>
      <c r="FD136" s="1"/>
      <c r="FE136" s="1"/>
      <c r="FF136" s="1"/>
      <c r="FI136" s="21"/>
      <c r="FJ136" s="21"/>
    </row>
    <row r="137" spans="2:171" ht="19.05" customHeight="1">
      <c r="B137" s="348" t="s">
        <v>386</v>
      </c>
      <c r="C137" s="348"/>
      <c r="D137" s="348"/>
      <c r="E137" s="348"/>
      <c r="F137" s="348"/>
      <c r="G137" s="348"/>
      <c r="H137" s="348"/>
      <c r="T137" s="21"/>
      <c r="U137" s="21"/>
      <c r="V137" s="21"/>
      <c r="W137" s="21"/>
      <c r="X137" s="21" t="s">
        <v>59</v>
      </c>
      <c r="Y137" s="14" t="s">
        <v>476</v>
      </c>
      <c r="Z137" s="14" t="s">
        <v>476</v>
      </c>
      <c r="AA137" s="14" t="s">
        <v>476</v>
      </c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14" t="s">
        <v>30</v>
      </c>
      <c r="AR137" s="33">
        <f>AH130</f>
        <v>1979.5520626852608</v>
      </c>
      <c r="AS137" s="33">
        <f>BA130</f>
        <v>1979.5520626852608</v>
      </c>
      <c r="AT137" s="14">
        <f>AR137-AS137</f>
        <v>0</v>
      </c>
      <c r="AU137" s="21"/>
      <c r="AW137" t="s">
        <v>796</v>
      </c>
      <c r="BA137" s="21"/>
      <c r="BB137" s="21"/>
      <c r="BC137" s="21"/>
      <c r="BD137" s="21"/>
      <c r="BE137" s="21"/>
      <c r="BF137" s="21"/>
      <c r="BG137" s="21"/>
      <c r="BH137" s="21"/>
      <c r="BI137" s="21"/>
      <c r="BJ137" s="14" t="s">
        <v>30</v>
      </c>
      <c r="BK137" s="33">
        <f>BA130</f>
        <v>1979.5520626852608</v>
      </c>
      <c r="BL137" s="33">
        <f>BT130</f>
        <v>1979.5520626852608</v>
      </c>
      <c r="BM137" s="14">
        <f>BK137-BL137</f>
        <v>0</v>
      </c>
      <c r="BN137" s="21"/>
      <c r="BO137" s="21"/>
      <c r="BP137" s="21"/>
      <c r="BQ137" s="21"/>
      <c r="BR137" s="21"/>
      <c r="BS137" s="21"/>
      <c r="BT137" s="21"/>
      <c r="BU137" s="21"/>
      <c r="BV137" s="21"/>
      <c r="BW137" s="21"/>
      <c r="BX137" s="21"/>
      <c r="BY137" s="21"/>
      <c r="CD137" s="21"/>
      <c r="CE137" s="1" t="s">
        <v>477</v>
      </c>
      <c r="CF137" s="1" t="s">
        <v>477</v>
      </c>
      <c r="CG137" s="1" t="s">
        <v>477</v>
      </c>
      <c r="CH137" s="1"/>
      <c r="CI137" s="1"/>
      <c r="CL137" s="21"/>
      <c r="CM137" s="21"/>
      <c r="CV137" s="181" t="s">
        <v>83</v>
      </c>
      <c r="CW137" s="180" t="s">
        <v>87</v>
      </c>
      <c r="EB137" s="114"/>
      <c r="EC137" s="114"/>
      <c r="ED137" s="107"/>
      <c r="EE137" s="107"/>
      <c r="EF137" s="107"/>
      <c r="EG137" s="107"/>
      <c r="EH137" s="107"/>
      <c r="EI137" s="107"/>
      <c r="EJ137" s="107"/>
      <c r="EK137" s="107"/>
      <c r="EL137" s="107"/>
      <c r="EM137" s="107"/>
      <c r="EP137" s="21"/>
      <c r="EQ137" s="14" t="s">
        <v>2</v>
      </c>
      <c r="ER137" s="14" t="s">
        <v>3</v>
      </c>
      <c r="ES137" s="14" t="s">
        <v>475</v>
      </c>
      <c r="EZ137" s="21"/>
      <c r="FA137" s="1"/>
      <c r="FB137" s="1"/>
      <c r="FE137" s="21"/>
      <c r="FF137" s="21"/>
      <c r="FG137" s="21"/>
      <c r="FL137" s="1"/>
      <c r="FO137" s="1"/>
    </row>
    <row r="138" spans="2:171" ht="19.05" customHeight="1">
      <c r="B138" s="361"/>
      <c r="C138" s="361"/>
      <c r="D138" s="361"/>
      <c r="E138" s="361"/>
      <c r="F138" s="361"/>
      <c r="G138" s="361"/>
      <c r="H138" s="36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179" t="s">
        <v>1</v>
      </c>
      <c r="V138" s="178" t="s">
        <v>0</v>
      </c>
      <c r="W138" s="21"/>
      <c r="X138" s="14" t="s">
        <v>30</v>
      </c>
      <c r="Y138" s="33">
        <f>N130</f>
        <v>1979.5520626852608</v>
      </c>
      <c r="Z138" s="33">
        <f>AH130</f>
        <v>1979.5520626852608</v>
      </c>
      <c r="AA138" s="14">
        <f>Y138-Z138</f>
        <v>0</v>
      </c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14" t="s">
        <v>17</v>
      </c>
      <c r="AR138" s="33">
        <f>AH130+AH131</f>
        <v>2103.2296895721047</v>
      </c>
      <c r="AS138" s="33">
        <f>BA130+BA131</f>
        <v>2103.2296895721047</v>
      </c>
      <c r="AT138" s="14">
        <f>AR138-AS138</f>
        <v>0</v>
      </c>
      <c r="AU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14" t="s">
        <v>17</v>
      </c>
      <c r="BK138" s="33">
        <f>BA130+BA131</f>
        <v>2103.2296895721047</v>
      </c>
      <c r="BL138" s="33">
        <f>BT130+BT131</f>
        <v>2103.2296895721047</v>
      </c>
      <c r="BM138" s="14">
        <f>BK138-BL138</f>
        <v>0</v>
      </c>
      <c r="BN138" s="21"/>
      <c r="BO138" s="21"/>
      <c r="BZ138" s="105" t="s">
        <v>265</v>
      </c>
      <c r="CA138" s="103" t="s">
        <v>1</v>
      </c>
      <c r="CB138" s="178" t="s">
        <v>0</v>
      </c>
      <c r="CD138" s="21" t="s">
        <v>59</v>
      </c>
      <c r="CE138" s="14" t="s">
        <v>476</v>
      </c>
      <c r="CF138" s="14" t="s">
        <v>476</v>
      </c>
      <c r="CG138" s="14" t="s">
        <v>476</v>
      </c>
      <c r="CH138" s="1"/>
      <c r="CI138" s="1"/>
      <c r="CJ138" s="1"/>
      <c r="CK138" s="1"/>
      <c r="CL138" s="1"/>
      <c r="CO138" s="21"/>
      <c r="CP138" s="21"/>
      <c r="CQ138" s="21"/>
      <c r="CR138" s="14" t="s">
        <v>426</v>
      </c>
      <c r="CV138" s="177">
        <f>CL145</f>
        <v>774.43493010294708</v>
      </c>
      <c r="CW138" s="175">
        <f>CW145</f>
        <v>87222.135331413883</v>
      </c>
      <c r="EB138" s="114"/>
      <c r="EC138" s="114"/>
      <c r="ED138" s="107"/>
      <c r="EE138" s="107"/>
      <c r="EF138" s="107"/>
      <c r="EG138" s="107"/>
      <c r="EH138" s="107"/>
      <c r="EI138" s="107"/>
      <c r="EJ138" s="107"/>
      <c r="EK138" s="107"/>
      <c r="EL138" s="118" t="s">
        <v>1</v>
      </c>
      <c r="EM138" s="119" t="s">
        <v>0</v>
      </c>
      <c r="EP138" s="21"/>
      <c r="EQ138" s="1" t="s">
        <v>477</v>
      </c>
      <c r="ER138" s="1" t="s">
        <v>477</v>
      </c>
      <c r="ES138" s="1" t="s">
        <v>477</v>
      </c>
      <c r="EZ138" s="1"/>
      <c r="FA138" s="1"/>
      <c r="FB138" s="1"/>
      <c r="FE138" s="21"/>
      <c r="FF138" s="21"/>
      <c r="FG138" s="21"/>
      <c r="FL138" s="1"/>
    </row>
    <row r="139" spans="2:171" ht="19.05" customHeight="1">
      <c r="B139" s="2" t="s">
        <v>195</v>
      </c>
      <c r="C139" s="204" t="s">
        <v>194</v>
      </c>
      <c r="D139" s="204" t="s">
        <v>166</v>
      </c>
      <c r="E139" s="204" t="s">
        <v>166</v>
      </c>
      <c r="F139" s="204" t="s">
        <v>166</v>
      </c>
      <c r="G139" s="205" t="s">
        <v>250</v>
      </c>
      <c r="H139" s="204" t="s">
        <v>244</v>
      </c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181" t="s">
        <v>83</v>
      </c>
      <c r="V139" s="180" t="s">
        <v>87</v>
      </c>
      <c r="W139" s="21"/>
      <c r="X139" s="14" t="s">
        <v>17</v>
      </c>
      <c r="Y139" s="33">
        <f>N130+N131+(12*N144)+(8*N155)</f>
        <v>2103.6726491469517</v>
      </c>
      <c r="Z139" s="33">
        <f>AH130+AH131+AH146</f>
        <v>2103.6726491469517</v>
      </c>
      <c r="AA139" s="14">
        <f>Y139-Z139</f>
        <v>0</v>
      </c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14" t="s">
        <v>240</v>
      </c>
      <c r="AR139" s="33">
        <f>AH131</f>
        <v>123.6776268868441</v>
      </c>
      <c r="AS139" s="33">
        <f>BA131</f>
        <v>123.6776268868441</v>
      </c>
      <c r="AT139" s="14">
        <f t="shared" ref="AT139:AT140" si="52">AR139-AS139</f>
        <v>0</v>
      </c>
      <c r="AU139" s="21"/>
      <c r="AW139" s="307" t="s">
        <v>782</v>
      </c>
      <c r="AX139" s="307" t="s">
        <v>265</v>
      </c>
      <c r="AY139" s="308" t="s">
        <v>250</v>
      </c>
      <c r="AZ139" s="308" t="s">
        <v>783</v>
      </c>
      <c r="BA139" s="21"/>
      <c r="BB139" s="21"/>
      <c r="BC139" s="21"/>
      <c r="BD139" s="21"/>
      <c r="BE139" s="21"/>
      <c r="BF139" s="21"/>
      <c r="BG139" s="21"/>
      <c r="BH139" s="21"/>
      <c r="BI139" s="21"/>
      <c r="BJ139" s="14" t="s">
        <v>240</v>
      </c>
      <c r="BK139" s="33">
        <f>BA131</f>
        <v>123.6776268868441</v>
      </c>
      <c r="BL139" s="33">
        <f>BT131</f>
        <v>123.6776268868441</v>
      </c>
      <c r="BM139" s="14">
        <f t="shared" ref="BM139:BM140" si="53">BK139-BL139</f>
        <v>0</v>
      </c>
      <c r="BN139" s="21"/>
      <c r="BO139" s="21"/>
      <c r="BZ139" s="106" t="s">
        <v>62</v>
      </c>
      <c r="CA139" s="136" t="s">
        <v>83</v>
      </c>
      <c r="CB139" s="180" t="s">
        <v>87</v>
      </c>
      <c r="CD139" s="14" t="s">
        <v>30</v>
      </c>
      <c r="CE139" s="33">
        <f>BT130</f>
        <v>1979.5520626852608</v>
      </c>
      <c r="CF139" s="33">
        <f>CO130</f>
        <v>1979.5520626852608</v>
      </c>
      <c r="CG139" s="14">
        <f>CE139-CF139</f>
        <v>0</v>
      </c>
      <c r="CK139" s="1"/>
      <c r="CL139" s="1"/>
      <c r="CM139" s="21"/>
      <c r="CN139" s="21"/>
      <c r="CO139" s="21"/>
      <c r="CP139" s="21"/>
      <c r="CQ139" s="21"/>
      <c r="CR139" s="21"/>
      <c r="CS139" s="21"/>
      <c r="CT139" s="21"/>
      <c r="CU139" s="21"/>
      <c r="CV139" s="21"/>
      <c r="EB139" s="114"/>
      <c r="EC139" s="114"/>
      <c r="ED139" s="107"/>
      <c r="EE139" s="107"/>
      <c r="EF139" s="107"/>
      <c r="EG139" s="107"/>
      <c r="EH139" s="107"/>
      <c r="EI139" s="107"/>
      <c r="EJ139" s="107"/>
      <c r="EK139" s="107"/>
      <c r="EL139" s="120" t="s">
        <v>83</v>
      </c>
      <c r="EM139" s="121" t="s">
        <v>87</v>
      </c>
      <c r="EP139" s="21" t="s">
        <v>59</v>
      </c>
      <c r="EQ139" s="14" t="s">
        <v>476</v>
      </c>
      <c r="ER139" s="14" t="s">
        <v>476</v>
      </c>
      <c r="ES139" s="14" t="s">
        <v>476</v>
      </c>
      <c r="EZ139" s="1"/>
      <c r="FA139" s="1"/>
      <c r="FB139" s="1"/>
      <c r="FE139" s="21"/>
      <c r="FF139" s="21"/>
      <c r="FG139" s="21"/>
      <c r="FL139" s="179" t="s">
        <v>1</v>
      </c>
      <c r="FM139" s="178" t="s">
        <v>0</v>
      </c>
    </row>
    <row r="140" spans="2:171" ht="19.05" customHeight="1">
      <c r="B140" s="2" t="s">
        <v>91</v>
      </c>
      <c r="C140" s="2" t="s">
        <v>91</v>
      </c>
      <c r="D140" s="204" t="s">
        <v>255</v>
      </c>
      <c r="E140" s="204" t="s">
        <v>256</v>
      </c>
      <c r="F140" s="204" t="s">
        <v>47</v>
      </c>
      <c r="G140" s="205" t="s">
        <v>91</v>
      </c>
      <c r="H140" s="204" t="s">
        <v>47</v>
      </c>
      <c r="J140" s="21"/>
      <c r="K140" s="21"/>
      <c r="L140" s="21"/>
      <c r="M140" s="21"/>
      <c r="N140" s="21"/>
      <c r="O140" s="21"/>
      <c r="P140" s="21"/>
      <c r="Q140" s="134" t="s">
        <v>466</v>
      </c>
      <c r="R140" s="21"/>
      <c r="S140" s="21"/>
      <c r="T140" s="21"/>
      <c r="U140" s="177">
        <f>L145</f>
        <v>5.671161105764883E-3</v>
      </c>
      <c r="V140" s="175">
        <f>V145</f>
        <v>257.99399332425372</v>
      </c>
      <c r="W140" s="21"/>
      <c r="X140" s="14" t="s">
        <v>240</v>
      </c>
      <c r="Y140" s="33">
        <f>N131</f>
        <v>123.6776268868441</v>
      </c>
      <c r="Z140" s="33">
        <f>AH131</f>
        <v>123.6776268868441</v>
      </c>
      <c r="AA140" s="14">
        <f t="shared" ref="AA140:AA143" si="54">Y140-Z140</f>
        <v>0</v>
      </c>
      <c r="AB140" s="21"/>
      <c r="AE140" s="21"/>
      <c r="AF140" s="21"/>
      <c r="AO140" s="179" t="s">
        <v>1</v>
      </c>
      <c r="AP140" s="178" t="s">
        <v>0</v>
      </c>
      <c r="AQ140" s="14" t="s">
        <v>28</v>
      </c>
      <c r="AR140" s="33">
        <f>3*(AH130+AH131)</f>
        <v>6309.6890687163141</v>
      </c>
      <c r="AS140" s="33">
        <f>3*(BA130+BA131)</f>
        <v>6309.6890687163141</v>
      </c>
      <c r="AT140" s="14">
        <f t="shared" si="52"/>
        <v>0</v>
      </c>
      <c r="AU140" s="21"/>
      <c r="AW140" s="307" t="s">
        <v>47</v>
      </c>
      <c r="AX140" s="307" t="s">
        <v>62</v>
      </c>
      <c r="AY140" s="307" t="s">
        <v>91</v>
      </c>
      <c r="AZ140" s="307" t="s">
        <v>47</v>
      </c>
      <c r="BA140" s="21"/>
      <c r="BB140" s="21"/>
      <c r="BC140" s="21"/>
      <c r="BD140" s="21"/>
      <c r="BE140" s="21"/>
      <c r="BF140" s="21"/>
      <c r="BG140" s="21"/>
      <c r="BH140" s="21"/>
      <c r="BI140" s="21"/>
      <c r="BJ140" s="14" t="s">
        <v>28</v>
      </c>
      <c r="BK140" s="33">
        <f>3*(BA130+BA131)</f>
        <v>6309.6890687163141</v>
      </c>
      <c r="BL140" s="33">
        <f>3*(BT130+BT131)</f>
        <v>6309.6890687163141</v>
      </c>
      <c r="BM140" s="14">
        <f t="shared" si="53"/>
        <v>0</v>
      </c>
      <c r="BN140" s="21"/>
      <c r="BO140" s="21"/>
      <c r="BW140" s="14" t="s">
        <v>420</v>
      </c>
      <c r="BZ140" s="211">
        <v>298.14999999999998</v>
      </c>
      <c r="CA140" s="104">
        <f>BQ146</f>
        <v>644.2421909044931</v>
      </c>
      <c r="CB140" s="175">
        <f>CB146</f>
        <v>2671.5132120132448</v>
      </c>
      <c r="CD140" s="14" t="s">
        <v>17</v>
      </c>
      <c r="CE140" s="33">
        <f>BT130+BT131+BT156</f>
        <v>4448.8373784188816</v>
      </c>
      <c r="CF140" s="33">
        <f>CO143</f>
        <v>4448.8373784188816</v>
      </c>
      <c r="CG140" s="14">
        <f>CE140-CF140</f>
        <v>0</v>
      </c>
      <c r="CK140" s="21"/>
      <c r="CL140" s="1" t="s">
        <v>449</v>
      </c>
      <c r="CM140" s="1" t="s">
        <v>450</v>
      </c>
      <c r="CN140" s="1" t="s">
        <v>579</v>
      </c>
      <c r="CO140" s="1" t="s">
        <v>79</v>
      </c>
      <c r="CP140" s="1" t="s">
        <v>509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48</v>
      </c>
      <c r="CV140" s="1" t="s">
        <v>451</v>
      </c>
      <c r="CW140" s="1" t="s">
        <v>49</v>
      </c>
      <c r="EB140" s="114"/>
      <c r="EC140" s="114"/>
      <c r="ED140" s="107"/>
      <c r="EE140" s="107"/>
      <c r="EF140" s="107"/>
      <c r="EG140" s="107"/>
      <c r="EH140" s="107" t="s">
        <v>420</v>
      </c>
      <c r="EI140" s="107"/>
      <c r="EJ140" s="107"/>
      <c r="EK140" s="107"/>
      <c r="EL140" s="109">
        <f>EB146</f>
        <v>2852.0490535886452</v>
      </c>
      <c r="EM140" s="110">
        <f>EM146</f>
        <v>11826.742854693757</v>
      </c>
      <c r="EP140" s="14" t="s">
        <v>15</v>
      </c>
      <c r="EQ140" s="33">
        <f>2*EE130</f>
        <v>11034.753976812313</v>
      </c>
      <c r="ER140" s="33">
        <f>FE130</f>
        <v>11034.753976812313</v>
      </c>
      <c r="ES140" s="14">
        <f>EQ140-ER140</f>
        <v>0</v>
      </c>
      <c r="EZ140" s="1"/>
      <c r="FA140" s="1"/>
      <c r="FB140" s="1"/>
      <c r="FE140" s="21"/>
      <c r="FF140" s="21"/>
      <c r="FG140" s="21"/>
      <c r="FL140" s="181" t="s">
        <v>83</v>
      </c>
      <c r="FM140" s="180" t="s">
        <v>87</v>
      </c>
    </row>
    <row r="141" spans="2:171" ht="19.2" customHeight="1">
      <c r="B141" s="2" t="s">
        <v>209</v>
      </c>
      <c r="C141" s="204" t="s">
        <v>201</v>
      </c>
      <c r="D141" s="2">
        <v>5570</v>
      </c>
      <c r="E141" s="204">
        <f t="shared" ref="E141:E148" si="55">D141*Btu_to_kJ</f>
        <v>5876.6842000000006</v>
      </c>
      <c r="F141" s="204">
        <f t="shared" ref="F141:F148" si="56">E141*($AE$131/1000)</f>
        <v>61.28077095942907</v>
      </c>
      <c r="G141" s="204">
        <v>1.06</v>
      </c>
      <c r="H141" s="204">
        <f t="shared" ref="H141:H148" si="57">F141*G141</f>
        <v>64.957617216994819</v>
      </c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14" t="s">
        <v>28</v>
      </c>
      <c r="Y141" s="33">
        <f>(3*(N130+N131))+(2*N167)</f>
        <v>6311.0055270044713</v>
      </c>
      <c r="Z141" s="33">
        <f>(3*(AH130+AH131))+(2*AH146)+AH147</f>
        <v>6311.0055270044704</v>
      </c>
      <c r="AA141" s="14">
        <f t="shared" si="54"/>
        <v>0</v>
      </c>
      <c r="AB141" s="21"/>
      <c r="AE141" s="21"/>
      <c r="AF141" s="21"/>
      <c r="AO141" s="181" t="s">
        <v>83</v>
      </c>
      <c r="AP141" s="180" t="s">
        <v>87</v>
      </c>
      <c r="AQ141" s="21"/>
      <c r="AR141" s="21"/>
      <c r="AS141" s="21"/>
      <c r="AT141" s="21"/>
      <c r="AU141" s="21"/>
      <c r="AW141" s="309">
        <f>AS113</f>
        <v>2824.8856477449194</v>
      </c>
      <c r="AX141" s="309">
        <f>T_0</f>
        <v>298</v>
      </c>
      <c r="AY141" s="309">
        <f>1-(T_0/AX141)</f>
        <v>0</v>
      </c>
      <c r="AZ141" s="309">
        <f>AW141</f>
        <v>2824.8856477449194</v>
      </c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  <c r="BK141" s="21"/>
      <c r="BL141" s="21"/>
      <c r="BM141" s="21"/>
      <c r="BN141" s="21"/>
      <c r="BO141" s="21"/>
      <c r="CD141" s="14" t="s">
        <v>240</v>
      </c>
      <c r="CE141" s="33">
        <f>BT131</f>
        <v>123.6776268868441</v>
      </c>
      <c r="CF141" s="33">
        <f>CO118</f>
        <v>123.67762688684408</v>
      </c>
      <c r="CG141" s="14">
        <f t="shared" ref="CG141:CG144" si="58">CE141-CF141</f>
        <v>0</v>
      </c>
      <c r="CK141" s="21" t="s">
        <v>40</v>
      </c>
      <c r="CL141" s="1" t="s">
        <v>82</v>
      </c>
      <c r="CM141" s="21" t="s">
        <v>213</v>
      </c>
      <c r="CN141" s="139" t="s">
        <v>84</v>
      </c>
      <c r="CO141" s="139" t="s">
        <v>80</v>
      </c>
      <c r="CP141" s="1" t="s">
        <v>89</v>
      </c>
      <c r="CQ141" s="139" t="s">
        <v>89</v>
      </c>
      <c r="CR141" s="139" t="s">
        <v>24</v>
      </c>
      <c r="CS141" s="139" t="s">
        <v>91</v>
      </c>
      <c r="CT141" s="139" t="s">
        <v>89</v>
      </c>
      <c r="CU141" s="139" t="s">
        <v>89</v>
      </c>
      <c r="CV141" s="139" t="s">
        <v>88</v>
      </c>
      <c r="CW141" s="139" t="s">
        <v>86</v>
      </c>
      <c r="EB141" s="114"/>
      <c r="EC141" s="114"/>
      <c r="ED141" s="107"/>
      <c r="EE141" s="107"/>
      <c r="EF141" s="107"/>
      <c r="EG141" s="107"/>
      <c r="EH141" s="107"/>
      <c r="EI141" s="107"/>
      <c r="EJ141" s="107"/>
      <c r="EK141" s="107"/>
      <c r="EL141" s="107"/>
      <c r="EM141" s="107"/>
      <c r="EP141" s="14" t="s">
        <v>29</v>
      </c>
      <c r="EQ141" s="160">
        <f>EE131</f>
        <v>1979.5520626852608</v>
      </c>
      <c r="ER141" s="33">
        <f>FE108</f>
        <v>1979.552062685261</v>
      </c>
      <c r="ES141" s="14">
        <f t="shared" ref="ES141:ES147" si="59">EQ141-ER141</f>
        <v>0</v>
      </c>
      <c r="EZ141" s="1"/>
      <c r="FA141" s="1"/>
      <c r="FB141" s="1"/>
      <c r="FE141" s="21"/>
      <c r="FF141" s="21"/>
      <c r="FG141" s="21" t="s">
        <v>447</v>
      </c>
      <c r="FL141" s="177">
        <f>FB149</f>
        <v>3402.2651449800928</v>
      </c>
      <c r="FM141" s="175">
        <f>FM149</f>
        <v>404209.15818875749</v>
      </c>
    </row>
    <row r="142" spans="2:171" ht="19.05" customHeight="1">
      <c r="B142" s="2" t="s">
        <v>209</v>
      </c>
      <c r="C142" s="2" t="s">
        <v>202</v>
      </c>
      <c r="D142" s="2">
        <v>5140</v>
      </c>
      <c r="E142" s="204">
        <f t="shared" si="55"/>
        <v>5423.0084000000006</v>
      </c>
      <c r="F142" s="204">
        <f t="shared" si="56"/>
        <v>56.549939449096122</v>
      </c>
      <c r="G142" s="204">
        <v>1.06</v>
      </c>
      <c r="H142" s="204">
        <f t="shared" si="57"/>
        <v>59.942935816041896</v>
      </c>
      <c r="J142" s="21"/>
      <c r="K142" s="14" t="s">
        <v>454</v>
      </c>
      <c r="L142" s="1" t="s">
        <v>449</v>
      </c>
      <c r="M142" s="1" t="s">
        <v>579</v>
      </c>
      <c r="N142" s="1" t="s">
        <v>79</v>
      </c>
      <c r="O142" s="1" t="s">
        <v>509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48</v>
      </c>
      <c r="U142" s="1" t="s">
        <v>451</v>
      </c>
      <c r="V142" s="1" t="s">
        <v>49</v>
      </c>
      <c r="W142" s="21"/>
      <c r="X142" s="21" t="s">
        <v>135</v>
      </c>
      <c r="Y142" s="61">
        <f>(23*N144)+(18*N155)</f>
        <v>0.86107827692526073</v>
      </c>
      <c r="Z142" s="61">
        <f>2*AH147</f>
        <v>0.86107827692526073</v>
      </c>
      <c r="AA142" s="14">
        <f t="shared" si="54"/>
        <v>0</v>
      </c>
      <c r="AB142" s="21"/>
      <c r="AC142" s="1"/>
      <c r="AD142" s="1"/>
      <c r="AE142" s="1"/>
      <c r="AH142" s="21"/>
      <c r="AI142" s="21"/>
      <c r="AJ142" s="21"/>
      <c r="AK142" s="14" t="s">
        <v>437</v>
      </c>
      <c r="AO142" s="177">
        <f>AE149</f>
        <v>9.658257192857822E-2</v>
      </c>
      <c r="AP142" s="175">
        <f>AP149</f>
        <v>6.7177820097776806</v>
      </c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  <c r="BK142" s="348" t="s">
        <v>414</v>
      </c>
      <c r="BL142" s="348"/>
      <c r="BM142" s="348"/>
      <c r="BN142" s="348"/>
      <c r="BP142" s="21"/>
      <c r="BQ142" s="1" t="s">
        <v>449</v>
      </c>
      <c r="BR142" s="1" t="s">
        <v>450</v>
      </c>
      <c r="BS142" s="1" t="s">
        <v>579</v>
      </c>
      <c r="BT142" s="1" t="s">
        <v>79</v>
      </c>
      <c r="BU142" s="1" t="s">
        <v>509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48</v>
      </c>
      <c r="CA142" s="1" t="s">
        <v>451</v>
      </c>
      <c r="CB142" s="1" t="s">
        <v>49</v>
      </c>
      <c r="CC142" s="1"/>
      <c r="CD142" s="14" t="s">
        <v>28</v>
      </c>
      <c r="CE142" s="33">
        <f>(3*BT130)+(3*BT131)+(2*BT144)</f>
        <v>15692.119824103422</v>
      </c>
      <c r="CF142" s="33">
        <f>CO118+CO130+(CO142)+(2*CO143)</f>
        <v>15692.119824103422</v>
      </c>
      <c r="CG142" s="14">
        <f t="shared" si="58"/>
        <v>0</v>
      </c>
      <c r="CJ142" s="343" t="s">
        <v>426</v>
      </c>
      <c r="CK142" s="18" t="s">
        <v>67</v>
      </c>
      <c r="CL142" s="40">
        <f>H2O_Kiln_Out</f>
        <v>84.513558569455128</v>
      </c>
      <c r="CM142" s="40">
        <f>CL142/CL145</f>
        <v>0.10912932163096076</v>
      </c>
      <c r="CN142" s="1">
        <f>MW_H2O</f>
        <v>1.8015280000000002E-2</v>
      </c>
      <c r="CO142" s="1">
        <f>Kiln_H2OWaste/CN142</f>
        <v>4691.2153776935538</v>
      </c>
      <c r="CP142" s="40">
        <f>h_H2O</f>
        <v>-241.8</v>
      </c>
      <c r="CQ142" s="1">
        <f>b_ch_H2O</f>
        <v>9.5113440000000082</v>
      </c>
      <c r="CR142" s="1">
        <f>CO142/$CO$145</f>
        <v>0.17518247218835592</v>
      </c>
      <c r="CS142" s="1">
        <f>LN(CR142)</f>
        <v>-1.7419271500716491</v>
      </c>
      <c r="CT142" s="1">
        <f>RT0*CS142</f>
        <v>-4.3157499330573152</v>
      </c>
      <c r="CU142" s="1">
        <f>CQ142+CT142</f>
        <v>5.195594066942693</v>
      </c>
      <c r="CV142" s="1">
        <f>CU142*CR142</f>
        <v>0.91017701313417532</v>
      </c>
      <c r="CW142" s="40">
        <f>$CO$145*CV142</f>
        <v>24373.650783094952</v>
      </c>
      <c r="DV142" s="348" t="s">
        <v>414</v>
      </c>
      <c r="DW142" s="348"/>
      <c r="DX142" s="348"/>
      <c r="DY142" s="348"/>
      <c r="EA142" s="21"/>
      <c r="EB142" s="1" t="s">
        <v>449</v>
      </c>
      <c r="EC142" s="1" t="s">
        <v>450</v>
      </c>
      <c r="ED142" s="1" t="s">
        <v>579</v>
      </c>
      <c r="EE142" s="1" t="s">
        <v>79</v>
      </c>
      <c r="EF142" s="1" t="s">
        <v>509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48</v>
      </c>
      <c r="EL142" s="1" t="s">
        <v>451</v>
      </c>
      <c r="EM142" s="1" t="s">
        <v>49</v>
      </c>
      <c r="EN142" s="1"/>
      <c r="EP142" s="14" t="s">
        <v>30</v>
      </c>
      <c r="EQ142" s="160">
        <f>EE132</f>
        <v>1979.5520626852608</v>
      </c>
      <c r="ER142" s="33">
        <f>FE108</f>
        <v>1979.552062685261</v>
      </c>
      <c r="ES142" s="14">
        <f t="shared" si="59"/>
        <v>0</v>
      </c>
      <c r="FA142" s="1"/>
      <c r="FB142" s="1"/>
      <c r="FC142" s="21"/>
      <c r="FD142" s="21"/>
      <c r="FE142" s="21"/>
      <c r="FF142" s="21"/>
      <c r="FG142" s="21"/>
      <c r="FH142" s="21"/>
      <c r="FI142" s="21"/>
      <c r="FJ142" s="21"/>
      <c r="FK142" s="21"/>
      <c r="FL142" s="21"/>
    </row>
    <row r="143" spans="2:171" ht="18" customHeight="1">
      <c r="B143" s="2" t="s">
        <v>209</v>
      </c>
      <c r="C143" s="2" t="s">
        <v>183</v>
      </c>
      <c r="D143" s="2">
        <f>3660+2040+1020+133</f>
        <v>6853</v>
      </c>
      <c r="E143" s="204">
        <f t="shared" si="55"/>
        <v>7230.3261800000009</v>
      </c>
      <c r="F143" s="204">
        <f t="shared" si="56"/>
        <v>75.396251954213184</v>
      </c>
      <c r="G143" s="204">
        <v>1.06</v>
      </c>
      <c r="H143" s="204">
        <f t="shared" si="57"/>
        <v>79.920027071465981</v>
      </c>
      <c r="J143" s="21" t="s">
        <v>40</v>
      </c>
      <c r="K143" s="14" t="s">
        <v>453</v>
      </c>
      <c r="L143" s="1" t="s">
        <v>82</v>
      </c>
      <c r="M143" s="1" t="s">
        <v>84</v>
      </c>
      <c r="N143" s="1" t="s">
        <v>80</v>
      </c>
      <c r="O143" s="1" t="s">
        <v>89</v>
      </c>
      <c r="P143" s="1" t="s">
        <v>499</v>
      </c>
      <c r="Q143" s="1" t="s">
        <v>24</v>
      </c>
      <c r="R143" s="1" t="s">
        <v>91</v>
      </c>
      <c r="S143" s="1" t="s">
        <v>89</v>
      </c>
      <c r="T143" s="1" t="s">
        <v>89</v>
      </c>
      <c r="U143" s="1" t="s">
        <v>88</v>
      </c>
      <c r="V143" s="1" t="s">
        <v>86</v>
      </c>
      <c r="W143" s="21"/>
      <c r="X143" s="21" t="s">
        <v>284</v>
      </c>
      <c r="Y143" s="61">
        <f>2*N168</f>
        <v>4.9498831634702833</v>
      </c>
      <c r="Z143" s="61">
        <f>2*AH148</f>
        <v>4.9498831634702833</v>
      </c>
      <c r="AA143" s="14">
        <f t="shared" si="54"/>
        <v>0</v>
      </c>
      <c r="AB143" s="21"/>
      <c r="AD143" s="1"/>
      <c r="AE143" s="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  <c r="BK143" s="348"/>
      <c r="BL143" s="348"/>
      <c r="BM143" s="348"/>
      <c r="BN143" s="348"/>
      <c r="BO143" s="21"/>
      <c r="BP143" s="21" t="s">
        <v>40</v>
      </c>
      <c r="BQ143" s="1" t="s">
        <v>82</v>
      </c>
      <c r="BR143" s="21" t="s">
        <v>213</v>
      </c>
      <c r="BS143" s="139" t="s">
        <v>84</v>
      </c>
      <c r="BT143" s="139" t="s">
        <v>80</v>
      </c>
      <c r="BU143" s="1" t="s">
        <v>89</v>
      </c>
      <c r="BV143" s="139" t="s">
        <v>89</v>
      </c>
      <c r="BW143" s="139" t="s">
        <v>24</v>
      </c>
      <c r="BX143" s="139" t="s">
        <v>91</v>
      </c>
      <c r="BY143" s="139" t="s">
        <v>89</v>
      </c>
      <c r="BZ143" s="139" t="s">
        <v>89</v>
      </c>
      <c r="CA143" s="139" t="s">
        <v>88</v>
      </c>
      <c r="CB143" s="139" t="s">
        <v>86</v>
      </c>
      <c r="CD143" s="14" t="s">
        <v>284</v>
      </c>
      <c r="CE143" s="33">
        <f>(2*BT145)</f>
        <v>35277.939640255521</v>
      </c>
      <c r="CF143" s="33">
        <f>(2*CO144)</f>
        <v>35277.939640255521</v>
      </c>
      <c r="CG143" s="14">
        <f t="shared" si="58"/>
        <v>0</v>
      </c>
      <c r="CJ143" s="343"/>
      <c r="CK143" s="14" t="s">
        <v>479</v>
      </c>
      <c r="CL143" s="24">
        <f>CO2_Kiln_Out+CO2_Kiln_out_from_methane</f>
        <v>195.79244325673932</v>
      </c>
      <c r="CM143" s="24">
        <f>CL143/CL145</f>
        <v>0.25281974720679534</v>
      </c>
      <c r="CN143" s="24">
        <f>MW_CO2</f>
        <v>4.4009800000000002E-2</v>
      </c>
      <c r="CO143" s="24">
        <f>CL143/CN143</f>
        <v>4448.8373784188816</v>
      </c>
      <c r="CP143" s="24">
        <f>h_CO2</f>
        <v>-393.5</v>
      </c>
      <c r="CQ143" s="24">
        <f>b_ch_CO2</f>
        <v>19.900000000000034</v>
      </c>
      <c r="CR143" s="1">
        <f>CO143/$CO$145</f>
        <v>0.16613143238342581</v>
      </c>
      <c r="CS143" s="1">
        <f t="shared" ref="CS143" si="60">LN(CR143)</f>
        <v>-1.7949760425573198</v>
      </c>
      <c r="CT143" s="1">
        <f>RT0*CS143</f>
        <v>-4.4471823837108237</v>
      </c>
      <c r="CU143" s="1">
        <f t="shared" ref="CU143" si="61">CQ143+CT143</f>
        <v>15.452817616289209</v>
      </c>
      <c r="CV143" s="1">
        <f t="shared" ref="CV143" si="62">CU143*CR143</f>
        <v>2.5671987249539621</v>
      </c>
      <c r="CW143" s="1">
        <f>$CO$145*CV143</f>
        <v>68747.072613237193</v>
      </c>
      <c r="DV143" s="348"/>
      <c r="DW143" s="348"/>
      <c r="DX143" s="348"/>
      <c r="DY143" s="348"/>
      <c r="EA143" s="187" t="s">
        <v>40</v>
      </c>
      <c r="EB143" s="122" t="s">
        <v>82</v>
      </c>
      <c r="EC143" s="1" t="s">
        <v>452</v>
      </c>
      <c r="ED143" s="123" t="s">
        <v>84</v>
      </c>
      <c r="EE143" s="123" t="s">
        <v>80</v>
      </c>
      <c r="EF143" s="1" t="s">
        <v>89</v>
      </c>
      <c r="EG143" s="123" t="s">
        <v>89</v>
      </c>
      <c r="EH143" s="123" t="s">
        <v>24</v>
      </c>
      <c r="EI143" s="123" t="s">
        <v>91</v>
      </c>
      <c r="EJ143" s="123" t="s">
        <v>89</v>
      </c>
      <c r="EK143" s="123" t="s">
        <v>89</v>
      </c>
      <c r="EL143" s="123" t="s">
        <v>88</v>
      </c>
      <c r="EM143" s="123" t="s">
        <v>86</v>
      </c>
      <c r="EN143" s="1"/>
      <c r="EP143" s="14" t="s">
        <v>17</v>
      </c>
      <c r="EQ143" s="33">
        <f>(EE133/coke_C_coeff)+EE157+EE118+(10*EE105)</f>
        <v>20331.250270534823</v>
      </c>
      <c r="ER143" s="33">
        <f>FE145</f>
        <v>20331.250270534823</v>
      </c>
      <c r="ES143" s="14">
        <f t="shared" si="59"/>
        <v>0</v>
      </c>
      <c r="FA143" s="1"/>
      <c r="FB143" s="1" t="s">
        <v>449</v>
      </c>
      <c r="FC143" s="1" t="s">
        <v>450</v>
      </c>
      <c r="FD143" s="1" t="s">
        <v>579</v>
      </c>
      <c r="FE143" s="1" t="s">
        <v>79</v>
      </c>
      <c r="FF143" s="1" t="s">
        <v>509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48</v>
      </c>
      <c r="FL143" s="1" t="s">
        <v>451</v>
      </c>
      <c r="FM143" s="1" t="s">
        <v>49</v>
      </c>
    </row>
    <row r="144" spans="2:171" ht="18" customHeight="1">
      <c r="B144" s="2" t="s">
        <v>209</v>
      </c>
      <c r="C144" s="2" t="s">
        <v>203</v>
      </c>
      <c r="D144" s="2">
        <f>3100</f>
        <v>3100</v>
      </c>
      <c r="E144" s="204">
        <f t="shared" si="55"/>
        <v>3270.6860000000001</v>
      </c>
      <c r="F144" s="204">
        <f t="shared" si="56"/>
        <v>34.105994609377035</v>
      </c>
      <c r="G144" s="204">
        <v>1.06</v>
      </c>
      <c r="H144" s="204">
        <f t="shared" si="57"/>
        <v>36.152354285939658</v>
      </c>
      <c r="I144" s="158" t="s">
        <v>466</v>
      </c>
      <c r="J144" s="23" t="s">
        <v>389</v>
      </c>
      <c r="K144" s="18">
        <f>F149</f>
        <v>241.59146310558401</v>
      </c>
      <c r="L144" s="18">
        <f>K144/LHV_Diesel</f>
        <v>5.671161105764883E-3</v>
      </c>
      <c r="M144" s="18">
        <f>MW_C12H23</f>
        <v>0.16731462</v>
      </c>
      <c r="N144" s="18">
        <f>L144/M144</f>
        <v>3.3895191620223523E-2</v>
      </c>
      <c r="O144" s="18">
        <f>LHV_Diesel*M144</f>
        <v>7127.6028120000001</v>
      </c>
      <c r="P144" s="18">
        <f>b_ch_Diesel</f>
        <v>45492.270191724252</v>
      </c>
      <c r="Q144" s="18">
        <f>N144/N145</f>
        <v>1</v>
      </c>
      <c r="R144" s="18">
        <f>LN(Q144)</f>
        <v>0</v>
      </c>
      <c r="S144" s="18">
        <f>RT0*R144</f>
        <v>0</v>
      </c>
      <c r="T144" s="18">
        <f>S144+P144</f>
        <v>45492.270191724252</v>
      </c>
      <c r="U144" s="18">
        <f>Q144*T144</f>
        <v>45492.270191724252</v>
      </c>
      <c r="V144" s="18">
        <f>U144*L144</f>
        <v>257.99399332425372</v>
      </c>
      <c r="W144" s="21"/>
      <c r="X144" s="21"/>
      <c r="Y144" s="21"/>
      <c r="Z144" s="21"/>
      <c r="AA144" s="21"/>
      <c r="AB144" s="21"/>
      <c r="AD144" s="21"/>
      <c r="AE144" s="1" t="s">
        <v>449</v>
      </c>
      <c r="AF144" s="1" t="s">
        <v>450</v>
      </c>
      <c r="AG144" s="1" t="s">
        <v>579</v>
      </c>
      <c r="AH144" s="1" t="s">
        <v>79</v>
      </c>
      <c r="AI144" s="1" t="s">
        <v>509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48</v>
      </c>
      <c r="AO144" s="1" t="s">
        <v>451</v>
      </c>
      <c r="AP144" s="1" t="s">
        <v>49</v>
      </c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343" t="s">
        <v>420</v>
      </c>
      <c r="BP144" s="40" t="s">
        <v>233</v>
      </c>
      <c r="BQ144" s="18">
        <f>O2_Kiln_in</f>
        <v>150.11326262774048</v>
      </c>
      <c r="BR144" s="18">
        <f>O2_Kiln_in/BQ146</f>
        <v>0.23300750051310176</v>
      </c>
      <c r="BS144" s="14">
        <f>MW_O2</f>
        <v>3.1998800000000001E-2</v>
      </c>
      <c r="BT144" s="14">
        <f>BQ144/BS144</f>
        <v>4691.2153776935538</v>
      </c>
      <c r="BU144" s="144">
        <f>h_O2</f>
        <v>0</v>
      </c>
      <c r="BV144" s="14">
        <f>b_ch_O2</f>
        <v>4</v>
      </c>
      <c r="BW144" s="14">
        <f>BT144/BT146</f>
        <v>0.21008403361344538</v>
      </c>
      <c r="BX144" s="1">
        <f>LN(BW144)</f>
        <v>-1.5602476682433286</v>
      </c>
      <c r="BY144" s="1">
        <f>RT0*BX144</f>
        <v>-3.8656259359049598</v>
      </c>
      <c r="BZ144" s="1">
        <f>BV144+BY144</f>
        <v>0.13437406409504016</v>
      </c>
      <c r="CA144" s="1">
        <f>BZ144*BW144</f>
        <v>2.8229845398117681E-2</v>
      </c>
      <c r="CB144" s="1">
        <f>BT146*CA144</f>
        <v>630.37767584583162</v>
      </c>
      <c r="CD144" s="14" t="s">
        <v>135</v>
      </c>
      <c r="CE144" s="33">
        <f>(4*BT156)</f>
        <v>9382.4307553871076</v>
      </c>
      <c r="CF144" s="33">
        <f>(2*CO142)</f>
        <v>9382.4307553871076</v>
      </c>
      <c r="CG144" s="14">
        <f t="shared" si="58"/>
        <v>0</v>
      </c>
      <c r="CJ144" s="343"/>
      <c r="CK144" s="24" t="s">
        <v>66</v>
      </c>
      <c r="CL144" s="159">
        <f>N2_Kiln_in</f>
        <v>494.12892827675262</v>
      </c>
      <c r="CM144" s="1">
        <f>CL144/$CL$145</f>
        <v>0.63805093116224387</v>
      </c>
      <c r="CN144" s="27">
        <f>MW_N2</f>
        <v>2.801348E-2</v>
      </c>
      <c r="CO144" s="1">
        <f>CL144/CN144</f>
        <v>17638.969820127761</v>
      </c>
      <c r="CP144" s="1">
        <f>h_N2</f>
        <v>0</v>
      </c>
      <c r="CQ144" s="27">
        <f>b_ch_N2</f>
        <v>0.7</v>
      </c>
      <c r="CR144" s="1">
        <f>CO144/$CO$145</f>
        <v>0.65868609542821821</v>
      </c>
      <c r="CS144" s="1">
        <f>LN(CR144)</f>
        <v>-0.41750819266984601</v>
      </c>
      <c r="CT144" s="1">
        <f>RT0*CS144</f>
        <v>-1.0344066079294156</v>
      </c>
      <c r="CU144" s="1">
        <f>CQ144+CT144</f>
        <v>-0.33440660792941568</v>
      </c>
      <c r="CV144" s="1">
        <f>CU144*CR144</f>
        <v>-0.22026898286242186</v>
      </c>
      <c r="CW144" s="1">
        <f>$CO$145*CV144</f>
        <v>-5898.58806491826</v>
      </c>
      <c r="DZ144" s="343" t="s">
        <v>420</v>
      </c>
      <c r="EA144" s="1" t="s">
        <v>233</v>
      </c>
      <c r="EB144" s="114">
        <f>(EE105*O2_Oil_molcoeff*MW_O2)+(EE118*O2_Naturalgas_molcoeff*MW_O2) + O2_in_BF_for_COG+O2_in_BF_for_coke+O2_in_BF</f>
        <v>664.54882131744762</v>
      </c>
      <c r="EC144" s="111">
        <f>EB144/EB146</f>
        <v>0.23300750051310176</v>
      </c>
      <c r="ED144" s="145">
        <f>MW_O2</f>
        <v>3.1998800000000001E-2</v>
      </c>
      <c r="EE144" s="107">
        <f>EB144/ED144</f>
        <v>20767.929463525121</v>
      </c>
      <c r="EF144" s="144">
        <f>h_O2</f>
        <v>0</v>
      </c>
      <c r="EG144" s="107">
        <f>b_ch_O2</f>
        <v>4</v>
      </c>
      <c r="EH144" s="107">
        <f>EE144/$EE$146</f>
        <v>0.21008403361344541</v>
      </c>
      <c r="EI144" s="115">
        <f>LN(EH144)</f>
        <v>-1.5602476682433284</v>
      </c>
      <c r="EJ144" s="115">
        <f>RT0*EI144</f>
        <v>-3.8656259359049594</v>
      </c>
      <c r="EK144" s="115">
        <f>EG144+EJ144</f>
        <v>0.1343740640950406</v>
      </c>
      <c r="EL144" s="115">
        <f>EK144*EH144</f>
        <v>2.8229845398117778E-2</v>
      </c>
      <c r="EM144" s="115">
        <f>$EE$146*EL144</f>
        <v>2790.671084853007</v>
      </c>
      <c r="EP144" s="14" t="s">
        <v>28</v>
      </c>
      <c r="EQ144" s="33">
        <f>(3*EE130)+(2*EE131)+EE132+(2*EE144)+(2*EE158)+(EE133/coke_O_coeff)</f>
        <v>64219.066359849749</v>
      </c>
      <c r="ER144" s="33">
        <f>FE146+(2*FE145)+(3*FE108)+(FE147*2)</f>
        <v>64219.066359849749</v>
      </c>
      <c r="ES144" s="14">
        <f t="shared" si="59"/>
        <v>0</v>
      </c>
      <c r="FA144" s="139" t="s">
        <v>40</v>
      </c>
      <c r="FB144" s="1" t="s">
        <v>82</v>
      </c>
      <c r="FC144" s="1" t="s">
        <v>452</v>
      </c>
      <c r="FD144" s="1" t="s">
        <v>84</v>
      </c>
      <c r="FE144" s="1" t="s">
        <v>80</v>
      </c>
      <c r="FF144" s="1" t="s">
        <v>89</v>
      </c>
      <c r="FG144" s="1" t="s">
        <v>89</v>
      </c>
      <c r="FH144" s="1" t="s">
        <v>24</v>
      </c>
      <c r="FI144" s="1" t="s">
        <v>91</v>
      </c>
      <c r="FJ144" s="1" t="s">
        <v>89</v>
      </c>
      <c r="FK144" s="1" t="s">
        <v>89</v>
      </c>
      <c r="FL144" s="1" t="s">
        <v>88</v>
      </c>
      <c r="FM144" s="1" t="s">
        <v>86</v>
      </c>
    </row>
    <row r="145" spans="2:169" ht="18" customHeight="1">
      <c r="B145" s="2" t="s">
        <v>209</v>
      </c>
      <c r="C145" s="2" t="s">
        <v>204</v>
      </c>
      <c r="D145" s="2">
        <v>1060</v>
      </c>
      <c r="E145" s="204">
        <f t="shared" si="55"/>
        <v>1118.3636000000001</v>
      </c>
      <c r="F145" s="204">
        <f t="shared" si="56"/>
        <v>11.662049769657957</v>
      </c>
      <c r="G145" s="204">
        <v>1.06</v>
      </c>
      <c r="H145" s="204">
        <f t="shared" si="57"/>
        <v>12.361772755837434</v>
      </c>
      <c r="J145" s="18" t="s">
        <v>18</v>
      </c>
      <c r="K145" s="18">
        <f>SUM(K144)</f>
        <v>241.59146310558401</v>
      </c>
      <c r="L145" s="18">
        <f>SUM(L144)</f>
        <v>5.671161105764883E-3</v>
      </c>
      <c r="M145" s="18">
        <f>SUM(M144)</f>
        <v>0.16731462</v>
      </c>
      <c r="N145" s="18">
        <f>SUM(N144)</f>
        <v>3.3895191620223523E-2</v>
      </c>
      <c r="O145" s="18">
        <f>SUM(O144)</f>
        <v>7127.6028120000001</v>
      </c>
      <c r="P145" s="18"/>
      <c r="Q145" s="18"/>
      <c r="R145" s="18"/>
      <c r="S145" s="18"/>
      <c r="T145" s="18"/>
      <c r="U145" s="18">
        <f>SUM(U144)</f>
        <v>45492.270191724252</v>
      </c>
      <c r="V145" s="18">
        <f>SUM(V144)</f>
        <v>257.99399332425372</v>
      </c>
      <c r="W145" s="21"/>
      <c r="X145" s="21"/>
      <c r="Y145" s="21"/>
      <c r="Z145" s="21"/>
      <c r="AA145" s="21"/>
      <c r="AB145" s="21"/>
      <c r="AD145" s="21" t="s">
        <v>40</v>
      </c>
      <c r="AE145" s="1" t="s">
        <v>82</v>
      </c>
      <c r="AF145" s="21" t="s">
        <v>213</v>
      </c>
      <c r="AG145" s="139" t="s">
        <v>84</v>
      </c>
      <c r="AH145" s="139" t="s">
        <v>80</v>
      </c>
      <c r="AI145" s="1" t="s">
        <v>89</v>
      </c>
      <c r="AJ145" s="139" t="s">
        <v>89</v>
      </c>
      <c r="AK145" s="139" t="s">
        <v>24</v>
      </c>
      <c r="AL145" s="139" t="s">
        <v>91</v>
      </c>
      <c r="AM145" s="139" t="s">
        <v>89</v>
      </c>
      <c r="AN145" s="139" t="s">
        <v>89</v>
      </c>
      <c r="AO145" s="139" t="s">
        <v>88</v>
      </c>
      <c r="AP145" s="139" t="s">
        <v>86</v>
      </c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/>
      <c r="BO145" s="343"/>
      <c r="BP145" s="159" t="s">
        <v>66</v>
      </c>
      <c r="BQ145" s="58">
        <f>N2_Kiln_in</f>
        <v>494.12892827675262</v>
      </c>
      <c r="BR145" s="14">
        <f>N2_Kiln_in/BQ146</f>
        <v>0.76699249948689818</v>
      </c>
      <c r="BS145" s="58">
        <f>MW_N2</f>
        <v>2.801348E-2</v>
      </c>
      <c r="BT145" s="58">
        <f>BQ145/BS145</f>
        <v>17638.969820127761</v>
      </c>
      <c r="BU145" s="27">
        <f>h_N2</f>
        <v>0</v>
      </c>
      <c r="BV145" s="58">
        <f>b_ch_N2</f>
        <v>0.7</v>
      </c>
      <c r="BW145" s="58">
        <f>BT145/BT146</f>
        <v>0.78991596638655459</v>
      </c>
      <c r="BX145" s="139">
        <f>LN(BW145)</f>
        <v>-0.23582871084152554</v>
      </c>
      <c r="BY145" s="139">
        <f>RT0*BX145</f>
        <v>-0.58428261077706012</v>
      </c>
      <c r="BZ145" s="139">
        <f>BV145+BY145</f>
        <v>0.11571738922293984</v>
      </c>
      <c r="CA145" s="139">
        <f>BZ145*BW145</f>
        <v>9.1407013335767603E-2</v>
      </c>
      <c r="CB145" s="139">
        <f>BT146*CA145</f>
        <v>2041.1355361674134</v>
      </c>
      <c r="CJ145" s="343"/>
      <c r="CK145" s="18" t="s">
        <v>18</v>
      </c>
      <c r="CL145" s="1">
        <f>SUM(CL142:CL144)</f>
        <v>774.43493010294708</v>
      </c>
      <c r="CM145" s="40">
        <f>SUM(CM142:CM144)</f>
        <v>1</v>
      </c>
      <c r="CN145" s="40">
        <f>SUM(CN142:CN144)</f>
        <v>9.0038560000000004E-2</v>
      </c>
      <c r="CO145" s="40">
        <f>SUM(CO142:CO144)</f>
        <v>26779.022576240197</v>
      </c>
      <c r="CP145" s="18">
        <f t="array" ref="CP145">SUM(CL142:CL144*CP142:CP144) / CL145</f>
        <v>-125.87204049624027</v>
      </c>
      <c r="CQ145" s="23"/>
      <c r="CR145" s="40">
        <f>SUM(CR142:CR144)</f>
        <v>1</v>
      </c>
      <c r="CS145" s="18"/>
      <c r="CT145" s="18"/>
      <c r="CU145" s="18"/>
      <c r="CV145" s="40">
        <f>SUM(CV142:CV144)</f>
        <v>3.2571067552257156</v>
      </c>
      <c r="CW145" s="40">
        <f>SUM(CW142:CW144)</f>
        <v>87222.135331413883</v>
      </c>
      <c r="DZ145" s="343"/>
      <c r="EA145" s="159" t="s">
        <v>66</v>
      </c>
      <c r="EB145" s="124">
        <f>ED145*EE145</f>
        <v>2187.5002322711975</v>
      </c>
      <c r="EC145" s="124">
        <f>EB145/EB146</f>
        <v>0.76699249948689829</v>
      </c>
      <c r="ED145" s="150">
        <f>MW_N2</f>
        <v>2.801348E-2</v>
      </c>
      <c r="EE145" s="125">
        <f>N2_molcoeff*EE144</f>
        <v>78087.414782854452</v>
      </c>
      <c r="EF145" s="27">
        <f>h_N2</f>
        <v>0</v>
      </c>
      <c r="EG145" s="125">
        <f>b_ch_N2</f>
        <v>0.7</v>
      </c>
      <c r="EH145" s="125">
        <f>EE145/$EE$146</f>
        <v>0.7899159663865547</v>
      </c>
      <c r="EI145" s="123">
        <f>LN(EH145)</f>
        <v>-0.23582871084152537</v>
      </c>
      <c r="EJ145" s="123">
        <f>RT0*EI145</f>
        <v>-0.58428261077705967</v>
      </c>
      <c r="EK145" s="123">
        <f>EG145+EJ145</f>
        <v>0.11571738922294028</v>
      </c>
      <c r="EL145" s="123">
        <f>EK145*EH145</f>
        <v>9.1407013335767964E-2</v>
      </c>
      <c r="EM145" s="123">
        <f>$EE$146*EL145</f>
        <v>9036.0717698407498</v>
      </c>
      <c r="EP145" s="14" t="s">
        <v>135</v>
      </c>
      <c r="EQ145" s="33">
        <f>(20*EE105)+(4*EE118)+(2*EE156)+(4*EE157)+(EE133/coke_H_coeff)+(2*EE159)</f>
        <v>34893.980176118836</v>
      </c>
      <c r="ER145" s="33">
        <f>2*FE146</f>
        <v>34893.980176118828</v>
      </c>
      <c r="ES145" s="14">
        <f t="shared" si="59"/>
        <v>0</v>
      </c>
      <c r="EZ145" s="343" t="s">
        <v>447</v>
      </c>
      <c r="FA145" s="14" t="s">
        <v>22</v>
      </c>
      <c r="FB145" s="40">
        <f>CO2_out_BF_from_COG+(EE105*Co2_Oil_molcoef*MW_CO2)+(EE118*Co2_Naturalgas_molcoeff*MW_CO2)+CO2_out_BF_from_coke</f>
        <v>894.77425815618358</v>
      </c>
      <c r="FC145" s="40">
        <f>BF_CO2Waste/$FB$149</f>
        <v>0.26299368803645051</v>
      </c>
      <c r="FD145" s="40">
        <f>MW_CO2</f>
        <v>4.4009800000000002E-2</v>
      </c>
      <c r="FE145" s="40">
        <f>FB145/FD145</f>
        <v>20331.250270534823</v>
      </c>
      <c r="FF145" s="40">
        <f>h_CO2</f>
        <v>-393.5</v>
      </c>
      <c r="FG145" s="40">
        <f>b_ch_CO2</f>
        <v>19.900000000000034</v>
      </c>
      <c r="FH145" s="40">
        <f>FE145/$FE$149</f>
        <v>0.17533231989148279</v>
      </c>
      <c r="FI145" s="40">
        <f>LN(FH145)</f>
        <v>-1.7410721350158418</v>
      </c>
      <c r="FJ145" s="40">
        <f>RT0*FI145</f>
        <v>-4.3136315716954687</v>
      </c>
      <c r="FK145" s="40">
        <f>FG145+FJ145</f>
        <v>15.586368428304565</v>
      </c>
      <c r="FL145" s="40">
        <f>FK145*FH145</f>
        <v>2.7327941352180041</v>
      </c>
      <c r="FM145" s="40">
        <f>$FE$149*FL145</f>
        <v>316890.35732462263</v>
      </c>
    </row>
    <row r="146" spans="2:169" ht="21" customHeight="1">
      <c r="B146" s="2" t="s">
        <v>209</v>
      </c>
      <c r="C146" s="206" t="s">
        <v>205</v>
      </c>
      <c r="D146" s="2">
        <v>60</v>
      </c>
      <c r="E146" s="204">
        <f t="shared" si="55"/>
        <v>63.303600000000003</v>
      </c>
      <c r="F146" s="204">
        <f t="shared" si="56"/>
        <v>0.6601160246976201</v>
      </c>
      <c r="G146" s="204">
        <v>1.06</v>
      </c>
      <c r="H146" s="204">
        <f t="shared" si="57"/>
        <v>0.69972298617947737</v>
      </c>
      <c r="K146" s="14" t="s">
        <v>47</v>
      </c>
      <c r="L146" s="1" t="s">
        <v>83</v>
      </c>
      <c r="M146" s="14" t="s">
        <v>85</v>
      </c>
      <c r="N146" s="14" t="s">
        <v>81</v>
      </c>
      <c r="O146" s="1" t="s">
        <v>640</v>
      </c>
      <c r="P146" s="21"/>
      <c r="Q146" s="21"/>
      <c r="U146" s="14" t="s">
        <v>90</v>
      </c>
      <c r="V146" s="1" t="s">
        <v>87</v>
      </c>
      <c r="W146" s="21"/>
      <c r="X146" s="21"/>
      <c r="Y146" s="21"/>
      <c r="Z146" s="21"/>
      <c r="AA146" s="21"/>
      <c r="AB146" s="21"/>
      <c r="AC146" s="343" t="s">
        <v>395</v>
      </c>
      <c r="AD146" s="18" t="s">
        <v>22</v>
      </c>
      <c r="AE146" s="40">
        <f>AG146*AH146</f>
        <v>1.949456229710942E-2</v>
      </c>
      <c r="AF146" s="40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40">
        <f>h_CO2</f>
        <v>-393.5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-5.0115618328847988</v>
      </c>
      <c r="AN146" s="1">
        <f>AJ146+AM146</f>
        <v>14.888438167115236</v>
      </c>
      <c r="AO146" s="1">
        <f>AN146*AK146</f>
        <v>1.9695666219293768</v>
      </c>
      <c r="AP146" s="40">
        <f>AH149*AO146</f>
        <v>6.5949762406438923</v>
      </c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  <c r="BK146" s="21"/>
      <c r="BL146" s="21"/>
      <c r="BM146" s="21"/>
      <c r="BN146" s="21"/>
      <c r="BO146" s="21"/>
      <c r="BP146" s="14" t="s">
        <v>18</v>
      </c>
      <c r="BQ146" s="14">
        <f>SUM(BQ144:BQ145)</f>
        <v>644.2421909044931</v>
      </c>
      <c r="BR146" s="18"/>
      <c r="BS146" s="14">
        <f>SUM(BS144:BS145)</f>
        <v>6.0012280000000001E-2</v>
      </c>
      <c r="BT146" s="14">
        <f>SUM(BT144:BT145)</f>
        <v>22330.185197821316</v>
      </c>
      <c r="BU146" s="144">
        <f>SUM(BU144:BU145)</f>
        <v>0</v>
      </c>
      <c r="BW146" s="14">
        <f>SUM(BW144:BW145)</f>
        <v>1</v>
      </c>
      <c r="CA146" s="14">
        <f>SUM(CA144:CA145)</f>
        <v>0.11963685873388528</v>
      </c>
      <c r="CB146" s="14">
        <f>SUM(CB144:CB145)</f>
        <v>2671.5132120132448</v>
      </c>
      <c r="CL146" s="1" t="s">
        <v>83</v>
      </c>
      <c r="CM146" s="1"/>
      <c r="CN146" s="14" t="s">
        <v>85</v>
      </c>
      <c r="CO146" s="14" t="s">
        <v>81</v>
      </c>
      <c r="CP146" s="1" t="s">
        <v>640</v>
      </c>
      <c r="CQ146" s="21"/>
      <c r="CR146" s="21"/>
      <c r="CV146" s="14" t="s">
        <v>90</v>
      </c>
      <c r="CW146" s="1" t="s">
        <v>87</v>
      </c>
      <c r="EA146" s="14" t="s">
        <v>18</v>
      </c>
      <c r="EB146" s="14">
        <f>SUM(EB144:EB145)</f>
        <v>2852.0490535886452</v>
      </c>
      <c r="ED146" s="14">
        <f>SUM(ED144:ED145)</f>
        <v>6.0012280000000001E-2</v>
      </c>
      <c r="EE146" s="14">
        <f>SUM(EE144:EE145)</f>
        <v>98855.344246379565</v>
      </c>
      <c r="EF146" s="144">
        <f>SUM(EF144:EF145)</f>
        <v>0</v>
      </c>
      <c r="EL146" s="14">
        <f>SUM(EL144:EL145)</f>
        <v>0.11963685873388574</v>
      </c>
      <c r="EM146" s="14">
        <f>SUM(EM144:EM145)</f>
        <v>11826.742854693757</v>
      </c>
      <c r="EP146" s="14" t="s">
        <v>284</v>
      </c>
      <c r="EQ146" s="33">
        <f>(2*EE145)+(EE133/coke_N_coeff)</f>
        <v>156189.34256449644</v>
      </c>
      <c r="ER146" s="33">
        <f>2*FE148</f>
        <v>156189.34256449644</v>
      </c>
      <c r="ES146" s="14">
        <f t="shared" si="59"/>
        <v>0</v>
      </c>
      <c r="EZ146" s="343"/>
      <c r="FA146" s="14" t="s">
        <v>359</v>
      </c>
      <c r="FB146" s="1">
        <f>H2O_out_BF_from_COG+(((EE105*H2O_Oil_molcoeff)+(EE118*H2O_Naturalgas_molcoeff))*FD146)+H2O_out_BF_from_coke</f>
        <v>314.31241159361502</v>
      </c>
      <c r="FC146" s="1">
        <f>FB146/$FB$149</f>
        <v>9.2383279432930301E-2</v>
      </c>
      <c r="FD146" s="1">
        <f>MW_H2O</f>
        <v>1.8015280000000002E-2</v>
      </c>
      <c r="FE146" s="1">
        <f>FB146/FD146</f>
        <v>17446.990088059414</v>
      </c>
      <c r="FF146" s="1">
        <f>h_H2O</f>
        <v>-241.8</v>
      </c>
      <c r="FG146" s="1">
        <f>b_ch_H2O</f>
        <v>9.5113440000000082</v>
      </c>
      <c r="FH146" s="1">
        <f>FE146/$FE$149</f>
        <v>0.15045908178585879</v>
      </c>
      <c r="FI146" s="1">
        <f>LN(FH146)</f>
        <v>-1.8940641135813059</v>
      </c>
      <c r="FJ146" s="1">
        <f>RT0*FI146</f>
        <v>-4.6926802140138628</v>
      </c>
      <c r="FK146" s="1">
        <f>FG146+FJ146</f>
        <v>4.8186637859861454</v>
      </c>
      <c r="FL146" s="1">
        <f>FK146*FH146</f>
        <v>0.72501172867424546</v>
      </c>
      <c r="FM146" s="1">
        <f>$FE$149*FL146</f>
        <v>84071.179311791129</v>
      </c>
    </row>
    <row r="147" spans="2:169" ht="18" customHeight="1">
      <c r="B147" s="2" t="s">
        <v>209</v>
      </c>
      <c r="C147" s="2" t="s">
        <v>206</v>
      </c>
      <c r="D147" s="204">
        <v>170</v>
      </c>
      <c r="E147" s="204">
        <f t="shared" si="55"/>
        <v>179.36020000000002</v>
      </c>
      <c r="F147" s="204">
        <f t="shared" si="56"/>
        <v>1.8703287366432571</v>
      </c>
      <c r="G147" s="204">
        <v>1.06</v>
      </c>
      <c r="H147" s="204">
        <f t="shared" si="57"/>
        <v>1.9825484608418527</v>
      </c>
      <c r="L147" s="1"/>
      <c r="P147" s="21"/>
      <c r="Q147" s="21"/>
      <c r="V147" s="1"/>
      <c r="W147" s="21"/>
      <c r="X147" s="21"/>
      <c r="Y147" s="21"/>
      <c r="Z147" s="21"/>
      <c r="AA147" s="21"/>
      <c r="AB147" s="21"/>
      <c r="AC147" s="343"/>
      <c r="AD147" s="14" t="s">
        <v>67</v>
      </c>
      <c r="AE147" s="1">
        <f>AG147*AH147</f>
        <v>7.7562831303630564E-3</v>
      </c>
      <c r="AF147" s="1">
        <f>AE147/AE149</f>
        <v>8.0307274650945767E-2</v>
      </c>
      <c r="AG147" s="27">
        <f>MW_H2O</f>
        <v>1.8015280000000002E-2</v>
      </c>
      <c r="AH147" s="1">
        <f>(H2O_molcoeff*N144)+(H2O_Gasoline_molcoeff*N155)</f>
        <v>0.43053913846263037</v>
      </c>
      <c r="AI147" s="1">
        <f>h_H2O</f>
        <v>-241.8</v>
      </c>
      <c r="AJ147" s="27">
        <f>b_ch_H2O</f>
        <v>9.5113440000000082</v>
      </c>
      <c r="AK147" s="1">
        <f>AH147/AH149</f>
        <v>0.12857901008411154</v>
      </c>
      <c r="AL147" s="1">
        <f t="shared" ref="AL147:AL148" si="63">LN(AK147)</f>
        <v>-2.0512116991307763</v>
      </c>
      <c r="AM147" s="1">
        <f>RT0*AL147</f>
        <v>-5.0820246718388358</v>
      </c>
      <c r="AN147" s="1">
        <f t="shared" ref="AN147:AN148" si="64">AJ147+AM147</f>
        <v>4.4293193281611725</v>
      </c>
      <c r="AO147" s="1">
        <f>AN147*AK147</f>
        <v>0.56951749456138556</v>
      </c>
      <c r="AP147" s="1">
        <f>AH149*AO147</f>
        <v>1.9069953275223879</v>
      </c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  <c r="BK147" s="21"/>
      <c r="BL147" s="21"/>
      <c r="BM147" s="21"/>
      <c r="BN147" s="21"/>
      <c r="BO147" s="21"/>
      <c r="BQ147" s="1" t="s">
        <v>83</v>
      </c>
      <c r="BS147" s="14" t="s">
        <v>85</v>
      </c>
      <c r="BT147" s="14" t="s">
        <v>81</v>
      </c>
      <c r="BU147" s="1" t="s">
        <v>640</v>
      </c>
      <c r="BV147" s="21"/>
      <c r="BW147" s="21"/>
      <c r="CA147" s="14" t="s">
        <v>90</v>
      </c>
      <c r="CB147" s="1" t="s">
        <v>87</v>
      </c>
      <c r="EB147" s="1" t="s">
        <v>83</v>
      </c>
      <c r="EC147" s="1"/>
      <c r="ED147" s="14" t="s">
        <v>85</v>
      </c>
      <c r="EE147" s="14" t="s">
        <v>81</v>
      </c>
      <c r="EF147" s="1" t="s">
        <v>640</v>
      </c>
      <c r="EG147" s="21"/>
      <c r="EH147" s="21"/>
      <c r="EL147" s="14" t="s">
        <v>90</v>
      </c>
      <c r="EM147" s="1" t="s">
        <v>87</v>
      </c>
      <c r="EP147" s="14" t="s">
        <v>133</v>
      </c>
      <c r="EQ147" s="33">
        <f>EE159+(EE133/coke_S_coeff)</f>
        <v>85.459771332449549</v>
      </c>
      <c r="ER147" s="33">
        <f>FE147</f>
        <v>85.459771332449534</v>
      </c>
      <c r="ES147" s="14">
        <f t="shared" si="59"/>
        <v>0</v>
      </c>
      <c r="EZ147" s="343"/>
      <c r="FA147" s="24" t="s">
        <v>561</v>
      </c>
      <c r="FB147" s="24">
        <f>SO2_out_BF_from_COG+SO2_out_BF_from_coke</f>
        <v>5.4749631584591132</v>
      </c>
      <c r="FC147" s="1">
        <f>FB147/$FB$149</f>
        <v>1.6092111946469558E-3</v>
      </c>
      <c r="FD147" s="24">
        <f>MW_SO2</f>
        <v>6.4064800000000005E-2</v>
      </c>
      <c r="FE147" s="1">
        <f>FB147/FD147</f>
        <v>85.459771332449534</v>
      </c>
      <c r="FF147" s="24">
        <f>h_SO2</f>
        <v>-296.8</v>
      </c>
      <c r="FG147" s="24">
        <f>b_ch_SO2</f>
        <v>311.19999999999993</v>
      </c>
      <c r="FH147" s="1">
        <f>FE147/$FE$149</f>
        <v>7.3698664694661956E-4</v>
      </c>
      <c r="FI147" s="1">
        <f>LN(FH147)</f>
        <v>-7.2129407840576345</v>
      </c>
      <c r="FJ147" s="1">
        <f>RT0*FI147</f>
        <v>-17.87058012423924</v>
      </c>
      <c r="FK147" s="1">
        <f>FG147+FJ147</f>
        <v>293.32941987576066</v>
      </c>
      <c r="FL147" s="1">
        <f>FK147*FH147</f>
        <v>0.21617986560503397</v>
      </c>
      <c r="FM147" s="1">
        <f>$FE$149*FL147</f>
        <v>25067.865147662586</v>
      </c>
    </row>
    <row r="148" spans="2:169" ht="19.05" customHeight="1">
      <c r="B148" s="2" t="s">
        <v>209</v>
      </c>
      <c r="C148" s="204" t="s">
        <v>208</v>
      </c>
      <c r="D148" s="204">
        <v>6</v>
      </c>
      <c r="E148" s="204">
        <f t="shared" si="55"/>
        <v>6.3303600000000007</v>
      </c>
      <c r="F148" s="204">
        <f t="shared" si="56"/>
        <v>6.601160246976201E-2</v>
      </c>
      <c r="G148" s="204">
        <v>1.06</v>
      </c>
      <c r="H148" s="204">
        <f t="shared" si="57"/>
        <v>6.9972298617947737E-2</v>
      </c>
      <c r="L148" s="1"/>
      <c r="P148" s="21"/>
      <c r="Q148" s="21"/>
      <c r="V148" s="1"/>
      <c r="W148" s="21"/>
      <c r="X148" s="21"/>
      <c r="Y148" s="21"/>
      <c r="Z148" s="21"/>
      <c r="AA148" s="21"/>
      <c r="AB148" s="21"/>
      <c r="AC148" s="343"/>
      <c r="AD148" s="24" t="s">
        <v>66</v>
      </c>
      <c r="AE148" s="1">
        <f>AG148*AH148</f>
        <v>6.933172650110575E-2</v>
      </c>
      <c r="AF148" s="1">
        <f>AE148/AE149</f>
        <v>0.71784924667750427</v>
      </c>
      <c r="AG148" s="27">
        <f>MW_N2</f>
        <v>2.801348E-2</v>
      </c>
      <c r="AH148" s="1">
        <f>N168</f>
        <v>2.4749415817351417</v>
      </c>
      <c r="AI148" s="1">
        <f>h_N2</f>
        <v>0</v>
      </c>
      <c r="AJ148" s="27">
        <f>MW_N2</f>
        <v>2.801348E-2</v>
      </c>
      <c r="AK148" s="1">
        <f>AH148/AH149</f>
        <v>0.73913265988274579</v>
      </c>
      <c r="AL148" s="1">
        <f t="shared" si="63"/>
        <v>-0.30227786144786772</v>
      </c>
      <c r="AM148" s="1">
        <f>RT0*AL148</f>
        <v>-0.74891516574311645</v>
      </c>
      <c r="AN148" s="1">
        <f t="shared" si="64"/>
        <v>-0.72090168574311642</v>
      </c>
      <c r="AO148" s="1">
        <f t="shared" ref="AO148" si="65">AN148*AK148</f>
        <v>-0.53284198049726494</v>
      </c>
      <c r="AP148" s="1">
        <f>AH149*AO148</f>
        <v>-1.7841895583885985</v>
      </c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/>
      <c r="BO148" s="21"/>
      <c r="BP148" s="21"/>
      <c r="BQ148" s="21"/>
      <c r="BR148" s="21"/>
      <c r="BS148" s="21"/>
      <c r="BT148" s="21"/>
      <c r="BU148" s="21"/>
      <c r="BV148" s="21"/>
      <c r="BW148" s="21"/>
      <c r="BZ148" s="21"/>
      <c r="CA148" s="21"/>
      <c r="EB148" s="1"/>
      <c r="EC148" s="1"/>
      <c r="EG148" s="21"/>
      <c r="EH148" s="21"/>
      <c r="EM148" s="1"/>
      <c r="FA148" s="159" t="s">
        <v>66</v>
      </c>
      <c r="FB148" s="116">
        <f>FD148*FE148</f>
        <v>2187.7035120718351</v>
      </c>
      <c r="FC148" s="1">
        <f>FB148/FB149</f>
        <v>0.64301382133597229</v>
      </c>
      <c r="FD148" s="27">
        <f>MW_N2</f>
        <v>2.801348E-2</v>
      </c>
      <c r="FE148" s="27">
        <f>((EE133/coke_N_coeff)/2)+EE145</f>
        <v>78094.671282248222</v>
      </c>
      <c r="FF148" s="27">
        <f>h_N2</f>
        <v>0</v>
      </c>
      <c r="FG148" s="24">
        <f>b_ch_N2</f>
        <v>0.7</v>
      </c>
      <c r="FH148" s="1">
        <f>FE148/$FE$149</f>
        <v>0.67347161167571179</v>
      </c>
      <c r="FI148" s="1">
        <f>LN(FH148)</f>
        <v>-0.39530943446445077</v>
      </c>
      <c r="FJ148" s="1">
        <f>RT0*FI148</f>
        <v>-0.97940758616495815</v>
      </c>
      <c r="FK148" s="1">
        <f>FG148+FJ148</f>
        <v>-0.2794075861649582</v>
      </c>
      <c r="FL148" s="1">
        <f>FK148*FH148</f>
        <v>-0.18817307736893471</v>
      </c>
      <c r="FM148" s="1">
        <f>$FE$149*FL148</f>
        <v>-21820.243595318854</v>
      </c>
    </row>
    <row r="149" spans="2:169" ht="16.95" customHeight="1">
      <c r="F149" s="14">
        <f>SUM(F141:F148)</f>
        <v>241.59146310558401</v>
      </c>
      <c r="H149" s="14">
        <f>SUM(H141:H148)</f>
        <v>256.086950891919</v>
      </c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179" t="s">
        <v>1</v>
      </c>
      <c r="V149" s="178" t="s">
        <v>0</v>
      </c>
      <c r="W149" s="21"/>
      <c r="X149" s="21"/>
      <c r="Y149" s="21"/>
      <c r="Z149" s="21"/>
      <c r="AA149" s="21"/>
      <c r="AB149" s="21"/>
      <c r="AC149" s="343"/>
      <c r="AD149" s="18" t="s">
        <v>18</v>
      </c>
      <c r="AE149" s="40">
        <f>SUM(AE146:AE148)</f>
        <v>9.658257192857822E-2</v>
      </c>
      <c r="AF149" s="40">
        <f>SUM(AF146:AF148)</f>
        <v>1</v>
      </c>
      <c r="AG149" s="40">
        <f>SUM(AG146:AG148)</f>
        <v>9.0038560000000004E-2</v>
      </c>
      <c r="AH149" s="40">
        <f>SUM(AH146:AH148)</f>
        <v>3.3484402950449521</v>
      </c>
      <c r="AI149" s="18">
        <f t="array" ref="AI149">SUM(AE146:AE148*AI146:AI148) / AE149</f>
        <v>-98.84370786785361</v>
      </c>
      <c r="AJ149" s="23"/>
      <c r="AK149" s="40">
        <f>SUM(AK146:AK148)</f>
        <v>0.99999999999999989</v>
      </c>
      <c r="AL149" s="18"/>
      <c r="AM149" s="18"/>
      <c r="AN149" s="18"/>
      <c r="AO149" s="40">
        <f>SUM(AO146:AO148)</f>
        <v>2.0062421359934972</v>
      </c>
      <c r="AP149" s="40">
        <f>SUM(AP146:AP148)</f>
        <v>6.7177820097776806</v>
      </c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  <c r="BK149" s="21"/>
      <c r="BL149" s="21"/>
      <c r="BM149" s="21"/>
      <c r="BN149" s="21"/>
      <c r="BO149" s="21"/>
      <c r="BP149" s="21"/>
      <c r="BQ149" s="21"/>
      <c r="BR149" s="21"/>
      <c r="BS149" s="21"/>
      <c r="BT149" s="21"/>
      <c r="BU149" s="21"/>
      <c r="BV149" s="21"/>
      <c r="BW149" s="21"/>
      <c r="BZ149" s="21"/>
      <c r="CA149" s="21"/>
      <c r="FA149" s="1" t="s">
        <v>18</v>
      </c>
      <c r="FB149" s="144">
        <f>SUM(FB145:FB148)</f>
        <v>3402.2651449800928</v>
      </c>
      <c r="FC149" s="144">
        <f>SUM(FC145:FC148)</f>
        <v>1</v>
      </c>
      <c r="FD149" s="144">
        <f>SUM(FD145:FD148)</f>
        <v>0.15410336000000002</v>
      </c>
      <c r="FE149" s="144">
        <f>SUM(FE145:FE148)</f>
        <v>115958.37141217491</v>
      </c>
      <c r="FF149" s="18">
        <f t="array" ref="FF149">SUM(FB145:FB148*FF145:FF148) / FB149</f>
        <v>-126.30390709179704</v>
      </c>
      <c r="FG149" s="144"/>
      <c r="FH149" s="144">
        <f>SUM(FH145:FH148)</f>
        <v>1</v>
      </c>
      <c r="FI149" s="144"/>
      <c r="FJ149" s="144"/>
      <c r="FK149" s="144"/>
      <c r="FL149" s="144">
        <f>SUM(FL145:FL148)</f>
        <v>3.4858126521283488</v>
      </c>
      <c r="FM149" s="144">
        <f>SUM(FM145:FM148)</f>
        <v>404209.15818875749</v>
      </c>
    </row>
    <row r="150" spans="2:169" ht="18" customHeight="1"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181" t="s">
        <v>83</v>
      </c>
      <c r="V150" s="180" t="s">
        <v>87</v>
      </c>
      <c r="W150" s="21"/>
      <c r="X150" s="21"/>
      <c r="Y150" s="21"/>
      <c r="Z150" s="21"/>
      <c r="AA150" s="21"/>
      <c r="AB150" s="21"/>
      <c r="AE150" s="1" t="s">
        <v>83</v>
      </c>
      <c r="AF150" s="1"/>
      <c r="AG150" s="14" t="s">
        <v>85</v>
      </c>
      <c r="AH150" s="14" t="s">
        <v>81</v>
      </c>
      <c r="AI150" s="1" t="s">
        <v>640</v>
      </c>
      <c r="AJ150" s="21"/>
      <c r="AK150" s="21"/>
      <c r="AO150" s="14" t="s">
        <v>90</v>
      </c>
      <c r="AP150" s="1" t="s">
        <v>87</v>
      </c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  <c r="BK150" s="21"/>
      <c r="BL150" s="21"/>
      <c r="BM150" s="21"/>
      <c r="BN150" s="21"/>
      <c r="BO150" s="21"/>
      <c r="BP150" s="173"/>
      <c r="BZ150" s="105" t="s">
        <v>265</v>
      </c>
      <c r="CA150" s="103" t="s">
        <v>1</v>
      </c>
      <c r="CB150" s="178" t="s">
        <v>0</v>
      </c>
      <c r="EL150" s="118" t="s">
        <v>1</v>
      </c>
      <c r="EM150" s="119" t="s">
        <v>0</v>
      </c>
      <c r="FB150" s="1" t="s">
        <v>83</v>
      </c>
      <c r="FC150" s="1"/>
      <c r="FD150" s="14" t="s">
        <v>85</v>
      </c>
      <c r="FE150" s="14" t="s">
        <v>81</v>
      </c>
      <c r="FF150" s="1" t="s">
        <v>640</v>
      </c>
      <c r="FG150" s="21"/>
      <c r="FH150" s="21"/>
      <c r="FL150" s="14" t="s">
        <v>90</v>
      </c>
      <c r="FM150" s="1" t="s">
        <v>87</v>
      </c>
    </row>
    <row r="151" spans="2:169" ht="19.05" customHeight="1">
      <c r="J151" s="21"/>
      <c r="K151" s="21"/>
      <c r="L151" s="21"/>
      <c r="M151" s="21"/>
      <c r="N151" s="21"/>
      <c r="O151" s="21"/>
      <c r="P151" s="21"/>
      <c r="Q151" s="134" t="s">
        <v>467</v>
      </c>
      <c r="R151" s="21"/>
      <c r="S151" s="21"/>
      <c r="T151" s="21"/>
      <c r="U151" s="177">
        <f>L156</f>
        <v>5.1714158616864253E-4</v>
      </c>
      <c r="V151" s="175">
        <f>V156</f>
        <v>24.076233417548465</v>
      </c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131"/>
      <c r="BJ151" s="131"/>
      <c r="BK151" s="131"/>
      <c r="BL151" s="131"/>
      <c r="BM151" s="21"/>
      <c r="BN151" s="21"/>
      <c r="BO151" s="21"/>
      <c r="BP151" s="173"/>
      <c r="BZ151" s="176" t="s">
        <v>62</v>
      </c>
      <c r="CA151" s="171" t="s">
        <v>10</v>
      </c>
      <c r="CB151" s="174" t="s">
        <v>47</v>
      </c>
      <c r="CK151" t="s">
        <v>784</v>
      </c>
      <c r="EL151" s="120" t="s">
        <v>83</v>
      </c>
      <c r="EM151" s="121" t="s">
        <v>87</v>
      </c>
    </row>
    <row r="152" spans="2:169" ht="16.95" customHeight="1"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  <c r="BK152" s="21"/>
      <c r="BL152" s="21"/>
      <c r="BM152" s="21"/>
      <c r="BN152" s="21"/>
      <c r="BO152" s="21"/>
      <c r="BP152" s="173"/>
      <c r="BW152" s="14" t="s">
        <v>377</v>
      </c>
      <c r="BZ152" s="211">
        <v>298.14999999999998</v>
      </c>
      <c r="CA152" s="182">
        <f>BR156</f>
        <v>37.630021206323519</v>
      </c>
      <c r="CB152" s="175">
        <f>CB156</f>
        <v>1951076.4755827489</v>
      </c>
      <c r="EH152" s="14" t="s">
        <v>517</v>
      </c>
      <c r="EL152" s="109">
        <f>EB160</f>
        <v>32.269863299428096</v>
      </c>
      <c r="EM152" s="110">
        <f>EM160</f>
        <v>2830357.1263978118</v>
      </c>
    </row>
    <row r="153" spans="2:169" ht="19.2" customHeight="1">
      <c r="B153" s="348" t="s">
        <v>387</v>
      </c>
      <c r="C153" s="348"/>
      <c r="D153" s="348"/>
      <c r="E153" s="348"/>
      <c r="F153" s="348"/>
      <c r="G153" s="348"/>
      <c r="H153" s="348"/>
      <c r="J153" s="21"/>
      <c r="K153" s="14" t="s">
        <v>454</v>
      </c>
      <c r="L153" s="1" t="s">
        <v>449</v>
      </c>
      <c r="M153" s="1" t="s">
        <v>579</v>
      </c>
      <c r="N153" s="1" t="s">
        <v>79</v>
      </c>
      <c r="O153" s="1" t="s">
        <v>509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48</v>
      </c>
      <c r="U153" s="1" t="s">
        <v>451</v>
      </c>
      <c r="V153" s="1" t="s">
        <v>49</v>
      </c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21"/>
      <c r="BM153" s="21"/>
      <c r="BN153" s="21"/>
      <c r="BO153" s="21"/>
      <c r="BP153" s="21"/>
      <c r="BV153" s="1"/>
      <c r="BW153" s="1"/>
      <c r="BX153" s="1"/>
      <c r="BY153" s="1"/>
      <c r="BZ153" s="1"/>
      <c r="CA153" s="1"/>
      <c r="CB153" s="1"/>
      <c r="CJ153" s="307" t="s">
        <v>782</v>
      </c>
      <c r="CK153" s="307" t="s">
        <v>265</v>
      </c>
      <c r="CL153" s="308" t="s">
        <v>250</v>
      </c>
      <c r="CM153" s="308" t="s">
        <v>783</v>
      </c>
    </row>
    <row r="154" spans="2:169" ht="18" customHeight="1">
      <c r="B154" s="361"/>
      <c r="C154" s="361"/>
      <c r="D154" s="361"/>
      <c r="E154" s="361"/>
      <c r="F154" s="361"/>
      <c r="G154" s="361"/>
      <c r="H154" s="361"/>
      <c r="J154" s="21" t="s">
        <v>40</v>
      </c>
      <c r="K154" s="14" t="s">
        <v>453</v>
      </c>
      <c r="L154" s="1" t="s">
        <v>82</v>
      </c>
      <c r="M154" s="1" t="s">
        <v>84</v>
      </c>
      <c r="N154" s="1" t="s">
        <v>80</v>
      </c>
      <c r="O154" s="1" t="s">
        <v>89</v>
      </c>
      <c r="P154" s="1" t="s">
        <v>499</v>
      </c>
      <c r="Q154" s="1" t="s">
        <v>24</v>
      </c>
      <c r="R154" s="1" t="s">
        <v>91</v>
      </c>
      <c r="S154" s="1" t="s">
        <v>89</v>
      </c>
      <c r="T154" s="1" t="s">
        <v>89</v>
      </c>
      <c r="U154" s="1" t="s">
        <v>88</v>
      </c>
      <c r="V154" s="1" t="s">
        <v>86</v>
      </c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348" t="s">
        <v>376</v>
      </c>
      <c r="BL154" s="348"/>
      <c r="BM154" s="348"/>
      <c r="BN154" s="348"/>
      <c r="BP154" s="21"/>
      <c r="BQ154" s="14" t="s">
        <v>454</v>
      </c>
      <c r="BR154" s="1" t="s">
        <v>449</v>
      </c>
      <c r="BS154" s="1" t="s">
        <v>579</v>
      </c>
      <c r="BT154" s="14" t="s">
        <v>284</v>
      </c>
      <c r="BU154" s="1" t="s">
        <v>509</v>
      </c>
      <c r="BV154" s="1" t="s">
        <v>120</v>
      </c>
      <c r="BW154" s="1" t="s">
        <v>119</v>
      </c>
      <c r="BX154" s="1" t="s">
        <v>8</v>
      </c>
      <c r="BY154" s="1" t="s">
        <v>121</v>
      </c>
      <c r="BZ154" s="1" t="s">
        <v>122</v>
      </c>
      <c r="CA154" s="1" t="s">
        <v>123</v>
      </c>
      <c r="CB154" s="1" t="s">
        <v>124</v>
      </c>
      <c r="CC154" s="1"/>
      <c r="CJ154" s="307" t="s">
        <v>47</v>
      </c>
      <c r="CK154" s="307" t="s">
        <v>62</v>
      </c>
      <c r="CL154" s="307" t="s">
        <v>91</v>
      </c>
      <c r="CM154" s="307" t="s">
        <v>47</v>
      </c>
      <c r="EA154" s="52"/>
      <c r="EB154" s="1" t="s">
        <v>449</v>
      </c>
      <c r="EC154" s="1" t="s">
        <v>450</v>
      </c>
      <c r="ED154" s="1" t="s">
        <v>579</v>
      </c>
      <c r="EE154" s="1" t="s">
        <v>79</v>
      </c>
      <c r="EF154" s="1" t="s">
        <v>509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48</v>
      </c>
      <c r="EL154" s="1" t="s">
        <v>451</v>
      </c>
      <c r="EM154" s="1" t="s">
        <v>49</v>
      </c>
      <c r="EN154" s="1"/>
    </row>
    <row r="155" spans="2:169" ht="18" customHeight="1">
      <c r="B155" s="2" t="s">
        <v>195</v>
      </c>
      <c r="C155" s="204" t="s">
        <v>194</v>
      </c>
      <c r="D155" s="204" t="s">
        <v>166</v>
      </c>
      <c r="E155" s="204" t="s">
        <v>166</v>
      </c>
      <c r="F155" s="204" t="s">
        <v>166</v>
      </c>
      <c r="G155" s="205" t="s">
        <v>250</v>
      </c>
      <c r="H155" s="204" t="s">
        <v>244</v>
      </c>
      <c r="I155" s="158" t="s">
        <v>467</v>
      </c>
      <c r="J155" s="23" t="s">
        <v>388</v>
      </c>
      <c r="K155" s="18">
        <f>F157</f>
        <v>22.443944839719084</v>
      </c>
      <c r="L155" s="18">
        <f>K155/LHV_Gasoline</f>
        <v>5.1714158616864253E-4</v>
      </c>
      <c r="M155" s="18">
        <f>MW_C8H18</f>
        <v>0.11423092</v>
      </c>
      <c r="N155" s="18">
        <f>L155/M155</f>
        <v>4.5271594255622081E-3</v>
      </c>
      <c r="O155" s="18">
        <f>h_C8H18</f>
        <v>-250.1</v>
      </c>
      <c r="P155" s="18">
        <f>b_ch_Gasoline</f>
        <v>46556.366885754731</v>
      </c>
      <c r="Q155" s="18">
        <f>N155/N156</f>
        <v>1</v>
      </c>
      <c r="R155" s="18">
        <f>LN(Q155)</f>
        <v>0</v>
      </c>
      <c r="S155" s="18">
        <f>RT0*R155</f>
        <v>0</v>
      </c>
      <c r="T155" s="18">
        <f>S155+P155</f>
        <v>46556.366885754731</v>
      </c>
      <c r="U155" s="18">
        <f>Q155*T155</f>
        <v>46556.366885754731</v>
      </c>
      <c r="V155" s="18">
        <f>U155*L155</f>
        <v>24.076233417548465</v>
      </c>
      <c r="W155" s="21"/>
      <c r="X155" s="21"/>
      <c r="Y155" s="21"/>
      <c r="Z155" s="21"/>
      <c r="AA155" s="21"/>
      <c r="AD155" t="s">
        <v>794</v>
      </c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  <c r="BK155" s="348"/>
      <c r="BL155" s="348"/>
      <c r="BM155" s="348"/>
      <c r="BN155" s="348"/>
      <c r="BP155" s="21"/>
      <c r="BQ155" s="14" t="s">
        <v>453</v>
      </c>
      <c r="BR155" s="1" t="s">
        <v>82</v>
      </c>
      <c r="BS155" s="1" t="s">
        <v>84</v>
      </c>
      <c r="BT155" s="139" t="s">
        <v>80</v>
      </c>
      <c r="BU155" s="1" t="s">
        <v>89</v>
      </c>
      <c r="BV155" s="139" t="s">
        <v>89</v>
      </c>
      <c r="BW155" s="139" t="s">
        <v>24</v>
      </c>
      <c r="BX155" s="1" t="s">
        <v>91</v>
      </c>
      <c r="BY155" s="139" t="s">
        <v>89</v>
      </c>
      <c r="BZ155" s="139" t="s">
        <v>89</v>
      </c>
      <c r="CA155" s="139" t="s">
        <v>88</v>
      </c>
      <c r="CB155" s="1" t="s">
        <v>86</v>
      </c>
      <c r="CJ155" s="309">
        <f>'MCC_hM_RUVY_matrices_mat_level '!L154</f>
        <v>879425.91463045357</v>
      </c>
      <c r="CK155" s="309">
        <f>CE125</f>
        <v>1173.1500000000001</v>
      </c>
      <c r="CL155" s="309">
        <f>1-(T_0/CK155)</f>
        <v>0.74598303712227765</v>
      </c>
      <c r="CM155" s="309">
        <f>CJ155*CL155</f>
        <v>656036.81472006266</v>
      </c>
      <c r="EA155" s="14" t="s">
        <v>40</v>
      </c>
      <c r="EB155" s="14" t="s">
        <v>10</v>
      </c>
      <c r="EC155" s="1" t="s">
        <v>452</v>
      </c>
      <c r="ED155" s="1" t="s">
        <v>78</v>
      </c>
      <c r="EE155" s="14" t="s">
        <v>41</v>
      </c>
      <c r="EF155" s="1" t="s">
        <v>89</v>
      </c>
      <c r="EG155" s="1" t="s">
        <v>89</v>
      </c>
      <c r="EH155" s="1" t="s">
        <v>24</v>
      </c>
      <c r="EI155" s="1" t="s">
        <v>91</v>
      </c>
      <c r="EJ155" s="1" t="s">
        <v>89</v>
      </c>
      <c r="EK155" s="1" t="s">
        <v>89</v>
      </c>
      <c r="EL155" s="1" t="s">
        <v>88</v>
      </c>
      <c r="EM155" s="1" t="s">
        <v>86</v>
      </c>
    </row>
    <row r="156" spans="2:169" ht="18" customHeight="1">
      <c r="B156" s="2" t="s">
        <v>91</v>
      </c>
      <c r="C156" s="2" t="s">
        <v>91</v>
      </c>
      <c r="D156" s="204" t="s">
        <v>255</v>
      </c>
      <c r="E156" s="204" t="s">
        <v>256</v>
      </c>
      <c r="F156" s="204" t="s">
        <v>47</v>
      </c>
      <c r="G156" s="205" t="s">
        <v>91</v>
      </c>
      <c r="H156" s="204" t="s">
        <v>47</v>
      </c>
      <c r="J156" s="18" t="s">
        <v>18</v>
      </c>
      <c r="K156" s="18">
        <f>SUM(K155)</f>
        <v>22.443944839719084</v>
      </c>
      <c r="L156" s="18">
        <f>SUM(L155)</f>
        <v>5.1714158616864253E-4</v>
      </c>
      <c r="M156" s="18">
        <f>SUM(M155)</f>
        <v>0.11423092</v>
      </c>
      <c r="N156" s="18">
        <f>SUM(N155)</f>
        <v>4.5271594255622081E-3</v>
      </c>
      <c r="O156" s="18">
        <f>SUM(O155)</f>
        <v>-250.1</v>
      </c>
      <c r="P156" s="18"/>
      <c r="Q156" s="18"/>
      <c r="R156" s="18"/>
      <c r="S156" s="18"/>
      <c r="T156" s="18"/>
      <c r="U156" s="18">
        <f>SUM(U155)</f>
        <v>46556.366885754731</v>
      </c>
      <c r="V156" s="18">
        <f>SUM(V155)</f>
        <v>24.076233417548465</v>
      </c>
      <c r="W156" s="21"/>
      <c r="X156" s="21"/>
      <c r="Y156" s="21"/>
      <c r="Z156" s="21"/>
      <c r="AA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  <c r="BL156" s="21"/>
      <c r="BM156" s="43"/>
      <c r="BN156" s="21"/>
      <c r="BO156" s="142" t="s">
        <v>377</v>
      </c>
      <c r="BP156" s="19" t="s">
        <v>64</v>
      </c>
      <c r="BQ156" s="19">
        <f>BR156*LHV_CH4</f>
        <v>1881501.0603161759</v>
      </c>
      <c r="BR156" s="172">
        <f>CH4_into_Kiln</f>
        <v>37.630021206323519</v>
      </c>
      <c r="BS156" s="161">
        <f t="array" ref="BS156">MW_CH4</f>
        <v>1.604276E-2</v>
      </c>
      <c r="BT156" s="161">
        <f>BR156/BS156</f>
        <v>2345.6076888467769</v>
      </c>
      <c r="BU156" s="161">
        <f>h_CH4</f>
        <v>-74.599999999999994</v>
      </c>
      <c r="BV156" s="172">
        <f>b_ch_CH4</f>
        <v>831.8</v>
      </c>
      <c r="BW156" s="161">
        <f>BT156/BT156</f>
        <v>1</v>
      </c>
      <c r="BX156" s="172">
        <f>LN(BW156)</f>
        <v>0</v>
      </c>
      <c r="BY156" s="172">
        <f>RT0*BX156</f>
        <v>0</v>
      </c>
      <c r="BZ156" s="172">
        <f>BV156+BY156</f>
        <v>831.8</v>
      </c>
      <c r="CA156" s="172">
        <f>BZ156*BW156</f>
        <v>831.8</v>
      </c>
      <c r="CB156" s="4">
        <f>BT156*CA156</f>
        <v>1951076.4755827489</v>
      </c>
      <c r="DZ156" s="352" t="s">
        <v>517</v>
      </c>
      <c r="EA156" s="18" t="s">
        <v>65</v>
      </c>
      <c r="EB156" s="18">
        <f>H2_to_BF</f>
        <v>19.567197401950619</v>
      </c>
      <c r="EC156" s="18">
        <f>EB156/$EB$160</f>
        <v>0.60636133535456904</v>
      </c>
      <c r="ED156" s="18">
        <f>MW_H*2</f>
        <v>2.0158800000000003E-3</v>
      </c>
      <c r="EE156" s="18">
        <f>EB156/ED156</f>
        <v>9706.528861812516</v>
      </c>
      <c r="EF156" s="18">
        <f>h_H2</f>
        <v>0</v>
      </c>
      <c r="EG156" s="18">
        <f>b_ch_H2</f>
        <v>236.1</v>
      </c>
      <c r="EH156" s="18">
        <f>EE156/$EE$160</f>
        <v>0.9319822987183759</v>
      </c>
      <c r="EI156" s="18">
        <f>LN(EH156)</f>
        <v>-7.044145726835338E-2</v>
      </c>
      <c r="EJ156" s="18">
        <f>RT0*EI156</f>
        <v>-0.17452378216726883</v>
      </c>
      <c r="EK156" s="18">
        <f>EG156+EJ156</f>
        <v>235.92547621783274</v>
      </c>
      <c r="EL156" s="18">
        <f>EK156*EH156</f>
        <v>219.87836765172327</v>
      </c>
      <c r="EM156" s="18">
        <f>EL156*$EE$160</f>
        <v>2290017.4441452557</v>
      </c>
      <c r="FB156" t="s">
        <v>781</v>
      </c>
    </row>
    <row r="157" spans="2:169" ht="18" customHeight="1">
      <c r="B157" s="2" t="s">
        <v>385</v>
      </c>
      <c r="C157" s="204" t="s">
        <v>207</v>
      </c>
      <c r="D157" s="204">
        <v>2040</v>
      </c>
      <c r="E157" s="204">
        <f>D157*Btu_to_kJ</f>
        <v>2152.3224</v>
      </c>
      <c r="F157" s="204">
        <f>E157*($AE$131/1000)</f>
        <v>22.443944839719084</v>
      </c>
      <c r="G157" s="204">
        <v>1.04</v>
      </c>
      <c r="H157" s="204">
        <f>F157*G157</f>
        <v>23.341702633307847</v>
      </c>
      <c r="K157" s="14" t="s">
        <v>47</v>
      </c>
      <c r="L157" s="1" t="s">
        <v>83</v>
      </c>
      <c r="M157" s="14" t="s">
        <v>85</v>
      </c>
      <c r="N157" s="14" t="s">
        <v>81</v>
      </c>
      <c r="O157" s="1" t="s">
        <v>640</v>
      </c>
      <c r="P157" s="21"/>
      <c r="Q157" s="21"/>
      <c r="U157" s="14" t="s">
        <v>90</v>
      </c>
      <c r="V157" s="1" t="s">
        <v>87</v>
      </c>
      <c r="W157" s="21"/>
      <c r="X157" s="21"/>
      <c r="Y157" s="21"/>
      <c r="Z157" s="21"/>
      <c r="AA157" s="21"/>
      <c r="AC157" s="307" t="s">
        <v>782</v>
      </c>
      <c r="AD157" s="307" t="s">
        <v>265</v>
      </c>
      <c r="AE157" s="308" t="s">
        <v>250</v>
      </c>
      <c r="AF157" s="308" t="s">
        <v>783</v>
      </c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  <c r="BK157" s="21"/>
      <c r="BL157" s="21"/>
      <c r="BN157" s="21"/>
      <c r="BP157" s="1" t="s">
        <v>18</v>
      </c>
      <c r="BR157" s="1">
        <f>BR156</f>
        <v>37.630021206323519</v>
      </c>
      <c r="BS157" s="27">
        <f>BS156</f>
        <v>1.604276E-2</v>
      </c>
      <c r="BT157" s="27">
        <f>BT156</f>
        <v>2345.6076888467769</v>
      </c>
      <c r="BU157" s="27">
        <f>BU156</f>
        <v>-74.599999999999994</v>
      </c>
      <c r="BV157" s="1"/>
      <c r="BW157" s="27"/>
      <c r="BX157" s="1"/>
      <c r="BY157" s="1"/>
      <c r="BZ157" s="1"/>
      <c r="CA157" s="1">
        <f>CA156</f>
        <v>831.8</v>
      </c>
      <c r="CB157" s="1">
        <f>BT157*CA157</f>
        <v>1951076.4755827489</v>
      </c>
      <c r="DZ157" s="352"/>
      <c r="EA157" s="14" t="s">
        <v>64</v>
      </c>
      <c r="EB157" s="14">
        <f>CH4_to_BF</f>
        <v>10.078919582719246</v>
      </c>
      <c r="EC157" s="14">
        <f t="shared" ref="EC157:EC159" si="66">EB157/$EB$160</f>
        <v>0.31233226770123534</v>
      </c>
      <c r="ED157" s="14">
        <f>MW_CH4</f>
        <v>1.604276E-2</v>
      </c>
      <c r="EE157" s="14">
        <f>EB157/ED157</f>
        <v>628.25346653064969</v>
      </c>
      <c r="EF157" s="14">
        <f>h_CH4</f>
        <v>-74.599999999999994</v>
      </c>
      <c r="EG157" s="14">
        <f>b_ch_CH4</f>
        <v>831.8</v>
      </c>
      <c r="EH157" s="14">
        <f>EE157/$EE$160</f>
        <v>6.0322399309869025E-2</v>
      </c>
      <c r="EI157" s="14">
        <f t="shared" ref="EI157:EI159" si="67">LN(EH157)</f>
        <v>-2.8080517797162496</v>
      </c>
      <c r="EJ157" s="14">
        <f>RT0*EI157</f>
        <v>-6.9571504639751476</v>
      </c>
      <c r="EK157" s="14">
        <f t="shared" ref="EK157:EK159" si="68">EG157+EJ157</f>
        <v>824.8428495360248</v>
      </c>
      <c r="EL157" s="14">
        <f t="shared" ref="EL157:EL159" si="69">EK157*EH157</f>
        <v>49.756499737602304</v>
      </c>
      <c r="EM157" s="14">
        <f>EL157*$EE$160</f>
        <v>518210.37956402666</v>
      </c>
    </row>
    <row r="158" spans="2:169" ht="18" customHeight="1">
      <c r="L158" s="1"/>
      <c r="P158" s="21"/>
      <c r="Q158" s="21"/>
      <c r="V158" s="1"/>
      <c r="W158" s="21"/>
      <c r="X158" s="21"/>
      <c r="Y158" s="21"/>
      <c r="Z158" s="21"/>
      <c r="AA158" s="21"/>
      <c r="AC158" s="307" t="s">
        <v>47</v>
      </c>
      <c r="AD158" s="307" t="s">
        <v>62</v>
      </c>
      <c r="AE158" s="307" t="s">
        <v>91</v>
      </c>
      <c r="AF158" s="307" t="s">
        <v>47</v>
      </c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  <c r="BP158" s="21"/>
      <c r="BQ158" s="1"/>
      <c r="BR158" s="1" t="s">
        <v>83</v>
      </c>
      <c r="BS158" s="14" t="s">
        <v>85</v>
      </c>
      <c r="BT158" s="14" t="s">
        <v>81</v>
      </c>
      <c r="BU158" s="1" t="s">
        <v>640</v>
      </c>
      <c r="BV158" s="21"/>
      <c r="BW158" s="21"/>
      <c r="CA158" s="14" t="s">
        <v>90</v>
      </c>
      <c r="CB158" s="1" t="s">
        <v>87</v>
      </c>
      <c r="DZ158" s="352"/>
      <c r="EA158" s="24" t="s">
        <v>23</v>
      </c>
      <c r="EB158" s="14">
        <f>O2_to_BF_from_coke</f>
        <v>1.6556504157753846</v>
      </c>
      <c r="EC158" s="14">
        <f t="shared" si="66"/>
        <v>5.1306396944195518E-2</v>
      </c>
      <c r="ED158" s="14">
        <f>MW_O2</f>
        <v>3.1998800000000001E-2</v>
      </c>
      <c r="EE158" s="14">
        <f>EB158/ED158</f>
        <v>51.741015781072555</v>
      </c>
      <c r="EF158" s="14">
        <f>h_O2</f>
        <v>0</v>
      </c>
      <c r="EG158" s="14">
        <f>b_ch_O2</f>
        <v>4</v>
      </c>
      <c r="EH158" s="14">
        <f>EE158/$EE$160</f>
        <v>4.967966562730978E-3</v>
      </c>
      <c r="EI158" s="14">
        <f t="shared" si="67"/>
        <v>-5.3047446649028007</v>
      </c>
      <c r="EJ158" s="14">
        <f>RT0*EI158</f>
        <v>-13.142886848912561</v>
      </c>
      <c r="EK158" s="14">
        <f t="shared" si="68"/>
        <v>-9.1428868489125605</v>
      </c>
      <c r="EL158" s="14">
        <f t="shared" si="69"/>
        <v>-4.5421556152230397E-2</v>
      </c>
      <c r="EM158" s="14">
        <f>EL158*$EE$160</f>
        <v>-473.06225273414549</v>
      </c>
    </row>
    <row r="159" spans="2:169" ht="16.95" customHeight="1">
      <c r="D159" s="3" t="s">
        <v>210</v>
      </c>
      <c r="E159" s="189" t="s">
        <v>211</v>
      </c>
      <c r="F159" s="21" t="s">
        <v>212</v>
      </c>
      <c r="I159" s="138"/>
      <c r="L159" s="1"/>
      <c r="P159" s="21"/>
      <c r="Q159" s="21"/>
      <c r="V159" s="1"/>
      <c r="W159" s="21"/>
      <c r="X159" s="21"/>
      <c r="Y159" s="21"/>
      <c r="Z159" s="21"/>
      <c r="AA159" s="21"/>
      <c r="AC159" s="309">
        <f>'MCC_hM_RUVY_matrices_mat_level '!L146</f>
        <v>346.48689939477481</v>
      </c>
      <c r="AD159" s="309">
        <f>T_0</f>
        <v>298</v>
      </c>
      <c r="AE159" s="309">
        <f>1-(T_0/AD159)</f>
        <v>0</v>
      </c>
      <c r="AF159" s="309">
        <f>AC159</f>
        <v>346.48689939477481</v>
      </c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1"/>
      <c r="BR159" s="1"/>
      <c r="BS159" s="27"/>
      <c r="BT159" s="27"/>
      <c r="BU159" s="27"/>
      <c r="BV159" s="1"/>
      <c r="BW159" s="27"/>
      <c r="BX159" s="1"/>
      <c r="BY159" s="1"/>
      <c r="BZ159" s="1"/>
      <c r="CA159" s="1"/>
      <c r="CB159" s="1"/>
      <c r="DZ159" s="352"/>
      <c r="EA159" s="14" t="s">
        <v>289</v>
      </c>
      <c r="EB159" s="14">
        <f>H2S_to_BF</f>
        <v>0.96809589898284276</v>
      </c>
      <c r="EC159" s="14">
        <f t="shared" si="66"/>
        <v>2.9999999999999995E-2</v>
      </c>
      <c r="ED159" s="14">
        <f>MW_H2S</f>
        <v>3.4081880000000002E-2</v>
      </c>
      <c r="EE159" s="14">
        <f>EB159/ED159</f>
        <v>28.405002863188379</v>
      </c>
      <c r="EF159" s="14">
        <f>h_H2S</f>
        <v>-20.6</v>
      </c>
      <c r="EG159" s="14">
        <f>b_ch_H2S</f>
        <v>810.3463999999999</v>
      </c>
      <c r="EH159" s="14">
        <f>EE159/$EE$160</f>
        <v>2.7273354090241704E-3</v>
      </c>
      <c r="EI159" s="14">
        <f t="shared" si="67"/>
        <v>-5.9044301870736016</v>
      </c>
      <c r="EJ159" s="14">
        <f>RT0*EI159</f>
        <v>-14.628650907448316</v>
      </c>
      <c r="EK159" s="14">
        <f t="shared" si="68"/>
        <v>795.71774909255157</v>
      </c>
      <c r="EL159" s="14">
        <f t="shared" si="69"/>
        <v>2.1701891926891266</v>
      </c>
      <c r="EM159" s="14">
        <f>EL159*$EE$160</f>
        <v>22602.364941263742</v>
      </c>
      <c r="FA159" s="307" t="s">
        <v>782</v>
      </c>
      <c r="FB159" s="307" t="s">
        <v>265</v>
      </c>
      <c r="FC159" s="308" t="s">
        <v>250</v>
      </c>
      <c r="FD159" s="308" t="s">
        <v>783</v>
      </c>
    </row>
    <row r="160" spans="2:169" ht="16.95" customHeight="1">
      <c r="L160" s="1"/>
      <c r="P160" s="21"/>
      <c r="Q160" s="21"/>
      <c r="V160" s="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1"/>
      <c r="BR160" s="1"/>
      <c r="BS160" s="27"/>
      <c r="BT160" s="27"/>
      <c r="BU160" s="27"/>
      <c r="BV160" s="1"/>
      <c r="BW160" s="27"/>
      <c r="BX160" s="1"/>
      <c r="BY160" s="1"/>
      <c r="BZ160" s="1"/>
      <c r="CA160" s="1"/>
      <c r="CB160" s="1"/>
      <c r="DZ160" s="149"/>
      <c r="EA160" s="18" t="s">
        <v>18</v>
      </c>
      <c r="EB160" s="18">
        <f>0.7*DF241</f>
        <v>32.269863299428096</v>
      </c>
      <c r="EC160" s="18"/>
      <c r="ED160" s="18">
        <f>0.7*DH241</f>
        <v>5.8897524E-2</v>
      </c>
      <c r="EE160" s="18">
        <f>SUM(EE156:EE159)</f>
        <v>10414.928346987426</v>
      </c>
      <c r="EF160" s="18">
        <f t="array" ref="EF160">SUM(EB156:EB159*EF156:EF159) / EB160</f>
        <v>-23.917987170512156</v>
      </c>
      <c r="EG160" s="18">
        <f>SUM(EG156:EG159)</f>
        <v>1882.2463999999998</v>
      </c>
      <c r="EH160" s="18">
        <f>SUM(EH156:EH159)</f>
        <v>1.0000000000000002</v>
      </c>
      <c r="EI160" s="18"/>
      <c r="EJ160" s="18"/>
      <c r="EK160" s="18"/>
      <c r="EL160" s="18">
        <f>SUM(EL156:EL159)</f>
        <v>271.75963502586245</v>
      </c>
      <c r="EM160" s="18">
        <f>SUM(EM156:EM159)</f>
        <v>2830357.1263978118</v>
      </c>
      <c r="FA160" s="307" t="s">
        <v>47</v>
      </c>
      <c r="FB160" s="307" t="s">
        <v>62</v>
      </c>
      <c r="FC160" s="307" t="s">
        <v>91</v>
      </c>
      <c r="FD160" s="307" t="s">
        <v>47</v>
      </c>
    </row>
    <row r="161" spans="1:160" ht="18" customHeight="1">
      <c r="U161" s="179" t="s">
        <v>1</v>
      </c>
      <c r="V161" s="178" t="s">
        <v>0</v>
      </c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  <c r="BQ161" s="1"/>
      <c r="BR161" s="1"/>
      <c r="BS161" s="27"/>
      <c r="BT161" s="27"/>
      <c r="BU161" s="27"/>
      <c r="BV161" s="1"/>
      <c r="BW161" s="27"/>
      <c r="BX161" s="1"/>
      <c r="BY161" s="1"/>
      <c r="BZ161" s="1"/>
      <c r="CA161" s="1"/>
      <c r="CB161" s="1"/>
      <c r="DZ161" s="149"/>
      <c r="EB161" s="1" t="s">
        <v>83</v>
      </c>
      <c r="EC161" s="1"/>
      <c r="ED161" s="14" t="s">
        <v>85</v>
      </c>
      <c r="EE161" s="14" t="s">
        <v>81</v>
      </c>
      <c r="EF161" s="1" t="s">
        <v>640</v>
      </c>
      <c r="EG161" s="21"/>
      <c r="EH161" s="21"/>
      <c r="EL161" s="14" t="s">
        <v>90</v>
      </c>
      <c r="EM161" s="1" t="s">
        <v>87</v>
      </c>
      <c r="FA161" s="309">
        <f>'MCC_hM_RUVY_matrices_mat_level '!L159</f>
        <v>9363636.6135623064</v>
      </c>
      <c r="FB161" s="309">
        <v>1144.261</v>
      </c>
      <c r="FC161" s="309">
        <f>1-(T_0/FB161)</f>
        <v>0.73956990581694204</v>
      </c>
      <c r="FD161" s="309">
        <f>FA161*FC161</f>
        <v>6925063.848396345</v>
      </c>
    </row>
    <row r="162" spans="1:160" ht="18" customHeight="1">
      <c r="U162" s="181" t="s">
        <v>83</v>
      </c>
      <c r="V162" s="180" t="s">
        <v>87</v>
      </c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  <c r="BO162" s="21"/>
      <c r="BP162" s="21"/>
      <c r="BQ162" s="1"/>
      <c r="BR162" s="1"/>
      <c r="BS162" s="27"/>
      <c r="BT162" s="27"/>
      <c r="BU162" s="27"/>
      <c r="BV162" s="1"/>
      <c r="BW162" s="27"/>
      <c r="BX162" s="1"/>
      <c r="BY162" s="1"/>
      <c r="BZ162" s="1"/>
      <c r="CA162" s="1"/>
      <c r="CB162" s="1"/>
      <c r="DZ162" s="149"/>
      <c r="FA162" t="s">
        <v>116</v>
      </c>
    </row>
    <row r="163" spans="1:160" ht="16.95" customHeight="1">
      <c r="Q163" s="14" t="s">
        <v>420</v>
      </c>
      <c r="U163" s="177">
        <f>K169</f>
        <v>9.0394269236644703E-2</v>
      </c>
      <c r="V163" s="175">
        <f>V169</f>
        <v>0.37484270351331089</v>
      </c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  <c r="BO163" s="21"/>
      <c r="BP163" s="21"/>
      <c r="BQ163" s="1"/>
      <c r="BR163" s="1"/>
      <c r="BS163" s="27"/>
      <c r="BT163" s="27"/>
      <c r="BU163" s="27"/>
      <c r="BV163" s="1"/>
      <c r="BW163" s="27"/>
      <c r="BX163" s="1"/>
      <c r="BY163" s="1"/>
      <c r="BZ163" s="1"/>
      <c r="CA163" s="1"/>
      <c r="CB163" s="1"/>
      <c r="DZ163" s="149"/>
    </row>
    <row r="164" spans="1:160" ht="16.05" customHeight="1"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M164" s="21"/>
      <c r="BN164" s="21"/>
      <c r="BO164" s="21"/>
      <c r="BP164" s="21"/>
      <c r="BQ164" s="1"/>
      <c r="BR164" s="1"/>
      <c r="BS164" s="27"/>
      <c r="BT164" s="27"/>
      <c r="BU164" s="27"/>
      <c r="BV164" s="1"/>
      <c r="BW164" s="27"/>
      <c r="BX164" s="1"/>
      <c r="BY164" s="1"/>
      <c r="BZ164" s="1"/>
      <c r="CA164" s="1"/>
      <c r="CB164" s="1"/>
      <c r="DZ164" s="149"/>
      <c r="EK164" s="107"/>
    </row>
    <row r="165" spans="1:160" ht="18" customHeight="1">
      <c r="E165" s="348" t="s">
        <v>414</v>
      </c>
      <c r="F165" s="348"/>
      <c r="G165" s="348"/>
      <c r="H165" s="348"/>
      <c r="J165" s="21"/>
      <c r="K165" s="1" t="s">
        <v>449</v>
      </c>
      <c r="L165" s="1" t="s">
        <v>450</v>
      </c>
      <c r="M165" s="1" t="s">
        <v>579</v>
      </c>
      <c r="N165" s="1" t="s">
        <v>79</v>
      </c>
      <c r="O165" s="1" t="s">
        <v>509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48</v>
      </c>
      <c r="U165" s="1" t="s">
        <v>451</v>
      </c>
      <c r="V165" s="1" t="s">
        <v>49</v>
      </c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  <c r="BO165" s="21"/>
      <c r="BP165" s="21"/>
      <c r="BQ165" s="1"/>
      <c r="BR165" s="1"/>
      <c r="BS165" s="27"/>
      <c r="BT165" s="27"/>
      <c r="BU165" s="27"/>
      <c r="BV165" s="1"/>
      <c r="BW165" s="27"/>
      <c r="BX165" s="1"/>
      <c r="BY165" s="1"/>
      <c r="BZ165" s="1"/>
      <c r="CA165" s="1"/>
      <c r="CB165" s="1"/>
      <c r="DZ165" s="149"/>
      <c r="EB165" s="114"/>
    </row>
    <row r="166" spans="1:160" ht="18" customHeight="1">
      <c r="E166" s="348"/>
      <c r="F166" s="348"/>
      <c r="G166" s="348"/>
      <c r="H166" s="348"/>
      <c r="J166" s="21" t="s">
        <v>40</v>
      </c>
      <c r="K166" s="1" t="s">
        <v>82</v>
      </c>
      <c r="L166" s="21" t="s">
        <v>213</v>
      </c>
      <c r="M166" s="139" t="s">
        <v>84</v>
      </c>
      <c r="N166" s="139" t="s">
        <v>80</v>
      </c>
      <c r="O166" s="1" t="s">
        <v>89</v>
      </c>
      <c r="P166" s="139" t="s">
        <v>89</v>
      </c>
      <c r="Q166" s="139" t="s">
        <v>24</v>
      </c>
      <c r="R166" s="139" t="s">
        <v>91</v>
      </c>
      <c r="S166" s="139" t="s">
        <v>89</v>
      </c>
      <c r="T166" s="139" t="s">
        <v>89</v>
      </c>
      <c r="U166" s="139" t="s">
        <v>88</v>
      </c>
      <c r="V166" s="139" t="s">
        <v>86</v>
      </c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21"/>
      <c r="BM166" s="21"/>
      <c r="BN166" s="21"/>
      <c r="BO166" s="21"/>
      <c r="BP166" s="21"/>
      <c r="BQ166" s="1"/>
      <c r="BR166" s="1"/>
      <c r="BS166" s="27"/>
      <c r="BT166" s="27"/>
      <c r="BU166" s="27"/>
      <c r="BV166" s="1"/>
      <c r="BW166" s="27"/>
      <c r="BX166" s="1"/>
      <c r="BY166" s="1"/>
      <c r="BZ166" s="1"/>
      <c r="CA166" s="1"/>
      <c r="CB166" s="1"/>
      <c r="DZ166" s="149"/>
    </row>
    <row r="167" spans="1:160" ht="18" customHeight="1">
      <c r="I167" s="343" t="s">
        <v>420</v>
      </c>
      <c r="J167" s="40" t="s">
        <v>233</v>
      </c>
      <c r="K167" s="18">
        <f>M167*N167</f>
        <v>2.1062542735538953E-2</v>
      </c>
      <c r="L167" s="18">
        <f>K167/K169</f>
        <v>0.23300750051310179</v>
      </c>
      <c r="M167" s="14">
        <f>MW_O2</f>
        <v>3.1998800000000001E-2</v>
      </c>
      <c r="N167" s="14">
        <f>(O2_molcoeff*N144) + (O2_Gasoline_molcoeff*N155)</f>
        <v>0.6582291440784952</v>
      </c>
      <c r="O167" s="18">
        <f>h_O2</f>
        <v>0</v>
      </c>
      <c r="P167" s="14">
        <f>b_ch_O2</f>
        <v>4</v>
      </c>
      <c r="Q167" s="14">
        <f>N167/N169</f>
        <v>0.21008403361344538</v>
      </c>
      <c r="R167" s="1">
        <f>LN(Q167)</f>
        <v>-1.5602476682433286</v>
      </c>
      <c r="S167" s="1">
        <f>RT0*R167</f>
        <v>-3.8656259359049598</v>
      </c>
      <c r="T167" s="1">
        <f>P167+S167</f>
        <v>0.13437406409504016</v>
      </c>
      <c r="U167" s="1">
        <f>T167*Q167</f>
        <v>2.8229845398117681E-2</v>
      </c>
      <c r="V167" s="1">
        <f>N169*U167</f>
        <v>8.8448925195627137E-2</v>
      </c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  <c r="BK167" s="21"/>
      <c r="BL167" s="21"/>
      <c r="BM167" s="21"/>
      <c r="BN167" s="21"/>
      <c r="BO167" s="21"/>
      <c r="BP167" s="21"/>
      <c r="BQ167" s="1"/>
      <c r="BR167" s="1"/>
      <c r="BS167" s="27"/>
      <c r="BT167" s="27"/>
      <c r="BU167" s="27"/>
      <c r="BV167" s="1"/>
      <c r="BW167" s="27"/>
      <c r="BX167" s="1"/>
      <c r="BY167" s="1"/>
      <c r="BZ167" s="1"/>
      <c r="CA167" s="1"/>
      <c r="CB167" s="1"/>
      <c r="DZ167" s="149"/>
    </row>
    <row r="168" spans="1:160" ht="18" customHeight="1">
      <c r="I168" s="343"/>
      <c r="J168" s="159" t="s">
        <v>66</v>
      </c>
      <c r="K168" s="14">
        <f>M168*N168</f>
        <v>6.933172650110575E-2</v>
      </c>
      <c r="L168" s="14">
        <f>K168/K169</f>
        <v>0.76699249948689818</v>
      </c>
      <c r="M168" s="58">
        <f>MW_N2</f>
        <v>2.801348E-2</v>
      </c>
      <c r="N168" s="58">
        <f>N2_molcoeff*N167</f>
        <v>2.4749415817351417</v>
      </c>
      <c r="O168" s="58">
        <f>h_N2</f>
        <v>0</v>
      </c>
      <c r="P168" s="58">
        <f>b_ch_N2</f>
        <v>0.7</v>
      </c>
      <c r="Q168" s="58">
        <f>N168/N169</f>
        <v>0.78991596638655459</v>
      </c>
      <c r="R168" s="139">
        <f>LN(Q168)</f>
        <v>-0.23582871084152554</v>
      </c>
      <c r="S168" s="139">
        <f>RT0*R168</f>
        <v>-0.58428261077706012</v>
      </c>
      <c r="T168" s="139">
        <f>P168+S168</f>
        <v>0.11571738922293984</v>
      </c>
      <c r="U168" s="139">
        <f>T168*Q168</f>
        <v>9.1407013335767603E-2</v>
      </c>
      <c r="V168" s="139">
        <f>N169*U168</f>
        <v>0.28639377831768376</v>
      </c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  <c r="BK168" s="21"/>
      <c r="BL168" s="21"/>
      <c r="BM168" s="21"/>
      <c r="BN168" s="21"/>
      <c r="BO168" s="21"/>
      <c r="BP168" s="21"/>
      <c r="BQ168" s="1"/>
      <c r="BR168" s="1"/>
      <c r="BS168" s="27"/>
      <c r="BT168" s="27"/>
      <c r="BU168" s="27"/>
      <c r="BV168" s="1"/>
      <c r="BW168" s="27"/>
      <c r="BX168" s="1"/>
      <c r="BY168" s="1"/>
      <c r="BZ168" s="1"/>
      <c r="CA168" s="1"/>
      <c r="CB168" s="1"/>
      <c r="DZ168" s="149"/>
    </row>
    <row r="169" spans="1:160" ht="16.05" customHeight="1">
      <c r="J169" s="14" t="s">
        <v>18</v>
      </c>
      <c r="K169" s="18">
        <f>SUM(K167:K168)</f>
        <v>9.0394269236644703E-2</v>
      </c>
      <c r="L169" s="18">
        <f>SUM(L167:L168)</f>
        <v>1</v>
      </c>
      <c r="M169" s="14">
        <f>SUM(M167:M168)</f>
        <v>6.0012280000000001E-2</v>
      </c>
      <c r="N169" s="14">
        <f>SUM(N167:N168)</f>
        <v>3.133170725813637</v>
      </c>
      <c r="O169" s="18">
        <f t="array" ref="O169">SUM(K167:K168*O167:O168) / K169</f>
        <v>0</v>
      </c>
      <c r="U169" s="14">
        <f>SUM(U167:U168)</f>
        <v>0.11963685873388528</v>
      </c>
      <c r="V169" s="14">
        <f>SUM(V167:V168)</f>
        <v>0.37484270351331089</v>
      </c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  <c r="BK169" s="21"/>
      <c r="BL169" s="21"/>
      <c r="BM169" s="21"/>
      <c r="BN169" s="21"/>
      <c r="BO169" s="21"/>
      <c r="BP169" s="21"/>
      <c r="BQ169" s="1"/>
      <c r="BR169" s="1"/>
      <c r="BS169" s="27"/>
      <c r="BT169" s="27"/>
      <c r="BU169" s="27"/>
      <c r="BV169" s="1"/>
      <c r="BW169" s="27"/>
      <c r="BX169" s="1"/>
      <c r="BY169" s="1"/>
      <c r="BZ169" s="1"/>
      <c r="CA169" s="1"/>
      <c r="CB169" s="1"/>
      <c r="DZ169" s="149"/>
    </row>
    <row r="170" spans="1:160" ht="18" customHeight="1">
      <c r="K170" s="1" t="s">
        <v>83</v>
      </c>
      <c r="L170" s="1"/>
      <c r="M170" s="14" t="s">
        <v>85</v>
      </c>
      <c r="N170" s="14" t="s">
        <v>81</v>
      </c>
      <c r="O170" s="1" t="s">
        <v>640</v>
      </c>
      <c r="P170" s="21"/>
      <c r="Q170" s="21"/>
      <c r="U170" s="14" t="s">
        <v>90</v>
      </c>
      <c r="V170" s="1" t="s">
        <v>87</v>
      </c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  <c r="BK170" s="21"/>
      <c r="BL170" s="21"/>
      <c r="BM170" s="21"/>
      <c r="BN170" s="21"/>
      <c r="BO170" s="21"/>
      <c r="BP170" s="21"/>
      <c r="BQ170" s="1"/>
      <c r="BR170" s="1"/>
      <c r="BS170" s="27"/>
      <c r="BT170" s="27"/>
      <c r="BU170" s="27"/>
      <c r="BV170" s="1"/>
      <c r="BW170" s="27"/>
      <c r="BX170" s="1"/>
      <c r="BY170" s="1"/>
      <c r="BZ170" s="1"/>
      <c r="CA170" s="1"/>
      <c r="CB170" s="1"/>
      <c r="DZ170" s="149"/>
    </row>
    <row r="171" spans="1:160" ht="16.05" customHeight="1">
      <c r="K171" s="1"/>
      <c r="L171" s="1"/>
      <c r="P171" s="21"/>
      <c r="Q171" s="21"/>
      <c r="V171" s="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  <c r="BK171" s="21"/>
      <c r="BL171" s="21"/>
      <c r="BM171" s="21"/>
      <c r="BN171" s="21"/>
      <c r="BO171" s="21"/>
      <c r="BP171" s="21"/>
      <c r="BQ171" s="1"/>
      <c r="BR171" s="1"/>
      <c r="BS171" s="27"/>
      <c r="BT171" s="27"/>
      <c r="BU171" s="27"/>
      <c r="BV171" s="1"/>
      <c r="BW171" s="27"/>
      <c r="BX171" s="1"/>
      <c r="BY171" s="1"/>
      <c r="BZ171" s="1"/>
      <c r="CA171" s="1"/>
      <c r="CB171" s="1"/>
      <c r="DZ171" s="149"/>
    </row>
    <row r="172" spans="1:160" ht="16.05" customHeight="1">
      <c r="K172" s="1"/>
      <c r="L172" s="1"/>
      <c r="P172" s="21"/>
      <c r="Q172" s="21"/>
      <c r="V172" s="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  <c r="BK172" s="21"/>
      <c r="BL172" s="21"/>
      <c r="BM172" s="21"/>
      <c r="BN172" s="21"/>
      <c r="BO172" s="21"/>
      <c r="BP172" s="21"/>
      <c r="BQ172" s="1"/>
      <c r="BR172" s="1"/>
      <c r="BS172" s="27"/>
      <c r="BT172" s="27"/>
      <c r="BU172" s="27"/>
      <c r="BV172" s="1"/>
      <c r="BW172" s="27"/>
      <c r="BX172" s="1"/>
      <c r="BY172" s="1"/>
      <c r="BZ172" s="1"/>
      <c r="CA172" s="1"/>
      <c r="CB172" s="1"/>
      <c r="DZ172" s="149"/>
    </row>
    <row r="173" spans="1:160" ht="16.05" customHeight="1">
      <c r="K173" s="1"/>
      <c r="L173" s="1"/>
      <c r="P173" s="21"/>
      <c r="Q173" s="21"/>
      <c r="V173" s="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  <c r="BK173" s="21"/>
      <c r="BL173" s="21"/>
      <c r="BM173" s="21"/>
      <c r="BN173" s="21"/>
      <c r="BO173" s="21"/>
      <c r="BP173" s="21"/>
      <c r="BQ173" s="1"/>
      <c r="BR173" s="1"/>
      <c r="BS173" s="27"/>
      <c r="BT173" s="27"/>
      <c r="BU173" s="27"/>
      <c r="BV173" s="1"/>
      <c r="BW173" s="27"/>
      <c r="BX173" s="1"/>
      <c r="BY173" s="1"/>
      <c r="BZ173" s="1"/>
      <c r="CA173" s="1"/>
      <c r="CB173" s="1"/>
      <c r="DZ173" s="149"/>
    </row>
    <row r="174" spans="1:160" ht="16.05" customHeight="1">
      <c r="K174" s="1"/>
      <c r="L174" s="1"/>
      <c r="P174" s="21"/>
      <c r="Q174" s="21"/>
      <c r="V174" s="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  <c r="BK174" s="21"/>
      <c r="BL174" s="21"/>
      <c r="BM174" s="21"/>
      <c r="BN174" s="21"/>
      <c r="BO174" s="21"/>
      <c r="BP174" s="21"/>
      <c r="BQ174" s="1"/>
      <c r="BR174" s="1"/>
      <c r="BS174" s="27"/>
      <c r="BT174" s="27"/>
      <c r="BU174" s="27"/>
      <c r="BV174" s="1"/>
      <c r="BW174" s="27"/>
      <c r="BX174" s="1"/>
      <c r="BY174" s="1"/>
      <c r="BZ174" s="1"/>
      <c r="CA174" s="1"/>
      <c r="CB174" s="1"/>
      <c r="DZ174" s="149"/>
    </row>
    <row r="175" spans="1:160" ht="16.05" customHeight="1">
      <c r="K175" s="1"/>
      <c r="L175" s="1"/>
      <c r="P175" s="21"/>
      <c r="Q175" s="21"/>
      <c r="V175" s="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  <c r="BK175" s="21"/>
      <c r="BL175" s="21"/>
      <c r="BM175" s="21"/>
      <c r="BN175" s="21"/>
      <c r="BO175" s="21"/>
      <c r="BP175" s="21"/>
      <c r="BQ175" s="1"/>
      <c r="BR175" s="1"/>
      <c r="BS175" s="27"/>
      <c r="BT175" s="27"/>
      <c r="BU175" s="27"/>
      <c r="BV175" s="1"/>
      <c r="BW175" s="27"/>
      <c r="BX175" s="1"/>
      <c r="BY175" s="1"/>
      <c r="BZ175" s="1"/>
      <c r="CA175" s="1"/>
      <c r="CB175" s="1"/>
      <c r="DZ175" s="149"/>
    </row>
    <row r="176" spans="1:160" ht="16.95" customHeight="1">
      <c r="A176" s="42"/>
      <c r="B176" s="42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186"/>
      <c r="X176" s="186"/>
      <c r="Y176" s="186"/>
      <c r="Z176" s="186"/>
      <c r="AA176" s="186"/>
      <c r="AB176" s="186"/>
      <c r="AC176" s="186"/>
      <c r="AD176" s="186"/>
      <c r="AE176" s="186"/>
      <c r="AF176" s="186"/>
      <c r="AG176" s="186"/>
      <c r="AH176" s="186"/>
      <c r="AI176" s="186"/>
      <c r="AJ176" s="186"/>
      <c r="AK176" s="186"/>
      <c r="AL176" s="186"/>
      <c r="AM176" s="186"/>
      <c r="AN176" s="186"/>
      <c r="AO176" s="186"/>
      <c r="AP176" s="186"/>
      <c r="AQ176" s="186"/>
      <c r="AR176" s="186"/>
      <c r="AS176" s="186"/>
      <c r="AT176" s="186"/>
      <c r="AU176" s="186"/>
      <c r="AV176" s="186"/>
      <c r="AW176" s="186"/>
      <c r="AX176" s="186"/>
      <c r="AY176" s="186"/>
      <c r="AZ176" s="186"/>
      <c r="BA176" s="186"/>
      <c r="BB176" s="186"/>
      <c r="BC176" s="186"/>
      <c r="BD176" s="186"/>
      <c r="BE176" s="186"/>
      <c r="BF176" s="186"/>
      <c r="BG176" s="186"/>
      <c r="BH176" s="186"/>
      <c r="BI176" s="186"/>
      <c r="BJ176" s="186"/>
      <c r="BK176" s="186"/>
      <c r="BL176" s="186"/>
      <c r="BM176" s="186"/>
      <c r="BN176" s="186"/>
      <c r="BO176" s="186"/>
      <c r="BP176" s="101"/>
      <c r="BQ176" s="102"/>
      <c r="BR176" s="102"/>
      <c r="BS176" s="42"/>
      <c r="BT176" s="42"/>
      <c r="BU176" s="42"/>
      <c r="BV176" s="186"/>
      <c r="BW176" s="186"/>
      <c r="BX176" s="42"/>
      <c r="BY176" s="42"/>
      <c r="BZ176" s="42"/>
      <c r="CA176" s="42"/>
      <c r="CB176" s="102"/>
      <c r="CC176" s="42"/>
      <c r="CD176" s="42"/>
      <c r="CE176" s="42"/>
      <c r="CF176" s="42"/>
      <c r="CG176" s="42"/>
      <c r="CH176" s="42"/>
      <c r="CI176" s="42"/>
      <c r="CJ176" s="42"/>
      <c r="CK176" s="42"/>
      <c r="CL176" s="42"/>
      <c r="CM176" s="42"/>
      <c r="CN176" s="42"/>
      <c r="CO176" s="42"/>
      <c r="CP176" s="42"/>
      <c r="CQ176" s="42"/>
      <c r="CR176" s="42"/>
      <c r="CS176" s="42"/>
      <c r="CT176" s="42"/>
      <c r="CU176" s="42"/>
      <c r="CV176" s="42"/>
      <c r="CW176" s="42"/>
      <c r="CX176" s="42"/>
      <c r="CY176" s="42"/>
      <c r="CZ176" s="42"/>
      <c r="DA176" s="42"/>
      <c r="DZ176" s="149"/>
    </row>
    <row r="177" spans="16:130" ht="16.05" customHeight="1"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  <c r="BK177" s="21"/>
      <c r="BL177" s="21"/>
      <c r="BM177" s="173"/>
      <c r="BN177" s="1"/>
      <c r="BO177" s="1"/>
      <c r="BR177" s="21"/>
      <c r="BS177" s="21"/>
      <c r="BY177" s="1"/>
      <c r="DZ177" s="149"/>
    </row>
    <row r="178" spans="16:130" ht="16.05" customHeight="1"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  <c r="BK178" s="21"/>
      <c r="BL178" s="21"/>
      <c r="BM178" s="173"/>
      <c r="BN178" s="1"/>
      <c r="BO178" s="1"/>
      <c r="BR178" s="21"/>
      <c r="BS178" s="21"/>
      <c r="BY178" s="1"/>
    </row>
    <row r="179" spans="16:130"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  <c r="BK179" s="21"/>
      <c r="BL179" s="21"/>
      <c r="BM179" s="21"/>
      <c r="BN179" s="21"/>
      <c r="BO179" s="21"/>
      <c r="BP179" s="21"/>
      <c r="BQ179" s="21"/>
      <c r="BR179" s="21"/>
      <c r="BS179" s="21"/>
      <c r="BW179" s="21"/>
      <c r="BX179" s="21"/>
    </row>
    <row r="180" spans="16:130"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  <c r="BK180" s="21"/>
      <c r="BL180" s="21"/>
      <c r="BM180" s="21"/>
      <c r="BN180" s="21"/>
      <c r="BO180" s="21"/>
      <c r="BP180" s="21"/>
      <c r="BQ180" s="21"/>
      <c r="BR180" s="21"/>
      <c r="BS180" s="21"/>
      <c r="BW180" s="21"/>
      <c r="BX180" s="21"/>
    </row>
    <row r="181" spans="16:130" ht="16.05" customHeight="1"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  <c r="BK181" s="21"/>
      <c r="BL181" s="21"/>
      <c r="BM181" s="21"/>
      <c r="BN181" s="21"/>
      <c r="BO181" s="21"/>
      <c r="BP181" s="21"/>
      <c r="BQ181" s="21"/>
      <c r="BR181" s="21"/>
      <c r="BS181" s="21"/>
      <c r="BW181" s="21"/>
      <c r="BX181" s="21"/>
      <c r="CN181" s="1"/>
      <c r="CO181" s="1"/>
      <c r="CP181" s="1"/>
      <c r="CQ181" s="1"/>
      <c r="CR181" s="1"/>
      <c r="CS181" s="1"/>
      <c r="CT181" s="1"/>
      <c r="CU181" s="1"/>
    </row>
    <row r="182" spans="16:130" ht="16.05" customHeight="1">
      <c r="T182" s="21"/>
      <c r="U182" s="21"/>
      <c r="V182" s="21"/>
      <c r="W182" s="355" t="s">
        <v>345</v>
      </c>
      <c r="X182" s="355"/>
      <c r="Y182" s="355"/>
      <c r="Z182" s="355"/>
      <c r="AA182" s="355"/>
      <c r="AB182" s="355"/>
      <c r="AC182" s="355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  <c r="BK182" s="21"/>
      <c r="BL182" s="21"/>
      <c r="BM182" s="21"/>
      <c r="BN182" s="21"/>
      <c r="BO182" s="21"/>
      <c r="BP182" s="21"/>
      <c r="BQ182" s="21"/>
      <c r="BR182" s="21"/>
      <c r="BS182" s="21"/>
      <c r="BW182" s="21"/>
      <c r="BX182" s="21"/>
      <c r="CJ182" s="1"/>
      <c r="CK182" s="21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>
      <c r="T183" s="21"/>
      <c r="U183" s="21"/>
      <c r="V183" s="21"/>
      <c r="W183" s="22" t="s">
        <v>195</v>
      </c>
      <c r="X183" s="20" t="s">
        <v>194</v>
      </c>
      <c r="Y183" s="20" t="s">
        <v>166</v>
      </c>
      <c r="Z183" s="20" t="s">
        <v>166</v>
      </c>
      <c r="AA183" s="20" t="s">
        <v>166</v>
      </c>
      <c r="AB183" s="9" t="s">
        <v>250</v>
      </c>
      <c r="AC183" s="20" t="s">
        <v>244</v>
      </c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  <c r="BK183" s="21"/>
      <c r="BL183" s="21"/>
      <c r="BM183" s="21"/>
      <c r="BN183" s="21"/>
      <c r="BO183" s="21"/>
      <c r="BP183" s="21"/>
      <c r="BQ183" s="21"/>
      <c r="BR183" s="21"/>
      <c r="BS183" s="21"/>
      <c r="BW183" s="21"/>
      <c r="BX183" s="21"/>
      <c r="CJ183" s="114"/>
      <c r="CS183" s="21"/>
      <c r="CT183" s="21"/>
    </row>
    <row r="184" spans="16:130" ht="16.95" customHeight="1">
      <c r="T184" s="21"/>
      <c r="U184" s="21"/>
      <c r="V184" s="21"/>
      <c r="W184" s="22" t="s">
        <v>91</v>
      </c>
      <c r="X184" s="22" t="s">
        <v>91</v>
      </c>
      <c r="Y184" s="20" t="s">
        <v>162</v>
      </c>
      <c r="Z184" s="20" t="s">
        <v>165</v>
      </c>
      <c r="AA184" s="20" t="s">
        <v>47</v>
      </c>
      <c r="AB184" s="9" t="s">
        <v>91</v>
      </c>
      <c r="AC184" s="20" t="s">
        <v>47</v>
      </c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  <c r="BK184" s="21"/>
      <c r="BL184" s="21"/>
      <c r="BM184" s="21"/>
      <c r="BN184" s="21"/>
      <c r="BO184" s="21"/>
      <c r="BP184" s="21"/>
      <c r="BQ184" s="21"/>
      <c r="BR184" s="21"/>
      <c r="BS184" s="21"/>
      <c r="BW184" s="21"/>
      <c r="BX184" s="21"/>
      <c r="CS184" s="21"/>
      <c r="CT184" s="21"/>
    </row>
    <row r="185" spans="16:130">
      <c r="T185" s="21"/>
      <c r="U185" s="21"/>
      <c r="V185" s="21"/>
      <c r="W185" s="22" t="s">
        <v>196</v>
      </c>
      <c r="X185" s="20" t="s">
        <v>182</v>
      </c>
      <c r="Y185" s="22">
        <v>132000</v>
      </c>
      <c r="Z185" s="20">
        <f t="shared" ref="Z185:Z194" si="70">Y185*Btu_to_kJ</f>
        <v>139267.92000000001</v>
      </c>
      <c r="AA185" s="20">
        <f t="shared" ref="AA185:AA194" si="71">Z185*($K$218/1000)</f>
        <v>41587.472483735088</v>
      </c>
      <c r="AB185" s="14">
        <v>1</v>
      </c>
      <c r="AC185" s="20">
        <f>AA185*AB185</f>
        <v>41587.472483735088</v>
      </c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  <c r="BK185" s="21"/>
      <c r="BL185" s="21"/>
      <c r="BM185" s="21"/>
      <c r="BN185" s="21"/>
      <c r="BO185" s="21"/>
      <c r="BP185" s="21"/>
      <c r="BQ185" s="21"/>
      <c r="BR185" s="21"/>
      <c r="BS185" s="21"/>
      <c r="BW185" s="21"/>
      <c r="BX185" s="21"/>
      <c r="CS185" s="21"/>
      <c r="CT185" s="21"/>
    </row>
    <row r="186" spans="16:130">
      <c r="T186" s="21"/>
      <c r="U186" s="21"/>
      <c r="V186" s="21"/>
      <c r="W186" s="22" t="s">
        <v>196</v>
      </c>
      <c r="X186" s="22" t="s">
        <v>181</v>
      </c>
      <c r="Y186" s="22">
        <v>58600</v>
      </c>
      <c r="Z186" s="20">
        <f t="shared" si="70"/>
        <v>61826.516000000003</v>
      </c>
      <c r="AA186" s="20">
        <f t="shared" si="71"/>
        <v>18462.317329900576</v>
      </c>
      <c r="AB186" s="20">
        <v>1</v>
      </c>
      <c r="AC186" s="20">
        <f t="shared" ref="AC186:AC194" si="72">AA186*AB186</f>
        <v>18462.317329900576</v>
      </c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  <c r="BK186" s="21"/>
      <c r="BL186" s="21"/>
      <c r="BM186" s="21"/>
      <c r="BN186" s="21"/>
      <c r="BO186" s="21"/>
      <c r="BP186" s="21"/>
      <c r="BQ186" s="21"/>
      <c r="BR186" s="21"/>
      <c r="BS186" s="21"/>
      <c r="BW186" s="21"/>
      <c r="BX186" s="21"/>
      <c r="CS186" s="21"/>
      <c r="CT186" s="21"/>
    </row>
    <row r="187" spans="16:130">
      <c r="T187" s="21"/>
      <c r="U187" s="21"/>
      <c r="V187" s="21"/>
      <c r="W187" s="22" t="s">
        <v>196</v>
      </c>
      <c r="X187" s="22" t="s">
        <v>184</v>
      </c>
      <c r="Y187" s="22">
        <v>4120</v>
      </c>
      <c r="Z187" s="20">
        <f t="shared" si="70"/>
        <v>4346.8472000000002</v>
      </c>
      <c r="AA187" s="20">
        <f t="shared" si="71"/>
        <v>1298.0332320680952</v>
      </c>
      <c r="AB187" s="20">
        <v>1</v>
      </c>
      <c r="AC187" s="20">
        <f t="shared" si="72"/>
        <v>1298.0332320680952</v>
      </c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355" t="s">
        <v>346</v>
      </c>
      <c r="AP187" s="355"/>
      <c r="AQ187" s="355"/>
      <c r="AR187" s="355"/>
      <c r="AS187" s="355"/>
      <c r="AT187" s="355"/>
      <c r="AU187" s="355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355" t="s">
        <v>347</v>
      </c>
      <c r="BH187" s="355"/>
      <c r="BI187" s="355"/>
      <c r="BJ187" s="355"/>
      <c r="BK187" s="355"/>
      <c r="BL187" s="355"/>
      <c r="BM187" s="355"/>
      <c r="BN187" s="21"/>
      <c r="BO187" s="21"/>
      <c r="BP187" s="21"/>
      <c r="BQ187" s="21"/>
      <c r="BR187" s="21"/>
      <c r="BS187" s="21"/>
      <c r="BW187" s="21"/>
      <c r="BX187" s="21"/>
      <c r="CS187" s="21"/>
      <c r="CT187" s="21"/>
    </row>
    <row r="188" spans="16:130">
      <c r="T188" s="21"/>
      <c r="U188" s="21"/>
      <c r="V188" s="21"/>
      <c r="W188" s="22" t="s">
        <v>196</v>
      </c>
      <c r="X188" s="22" t="s">
        <v>185</v>
      </c>
      <c r="Y188" s="22">
        <v>34700</v>
      </c>
      <c r="Z188" s="20">
        <f t="shared" si="70"/>
        <v>36610.582000000002</v>
      </c>
      <c r="AA188" s="20">
        <f t="shared" si="71"/>
        <v>10932.464357466724</v>
      </c>
      <c r="AB188" s="20">
        <v>1</v>
      </c>
      <c r="AC188" s="20">
        <f t="shared" si="72"/>
        <v>10932.464357466724</v>
      </c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0" t="s">
        <v>195</v>
      </c>
      <c r="AP188" s="20" t="s">
        <v>197</v>
      </c>
      <c r="AQ188" s="20" t="s">
        <v>166</v>
      </c>
      <c r="AR188" s="20" t="s">
        <v>35</v>
      </c>
      <c r="AS188" s="20" t="s">
        <v>166</v>
      </c>
      <c r="AT188" s="9" t="s">
        <v>250</v>
      </c>
      <c r="AU188" s="20" t="s">
        <v>244</v>
      </c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2" t="s">
        <v>195</v>
      </c>
      <c r="BH188" s="20" t="s">
        <v>194</v>
      </c>
      <c r="BI188" s="20" t="s">
        <v>166</v>
      </c>
      <c r="BJ188" s="20" t="s">
        <v>166</v>
      </c>
      <c r="BK188" s="20" t="s">
        <v>166</v>
      </c>
      <c r="BL188" s="9" t="s">
        <v>250</v>
      </c>
      <c r="BM188" s="20" t="s">
        <v>244</v>
      </c>
      <c r="BN188" s="21"/>
      <c r="BO188" s="21"/>
      <c r="BP188" s="21"/>
      <c r="BQ188" s="21"/>
      <c r="BR188" s="21"/>
      <c r="BS188" s="21"/>
      <c r="BT188" s="21"/>
      <c r="BU188" s="21"/>
      <c r="BV188" s="21"/>
      <c r="CS188" s="21"/>
      <c r="CT188" s="21"/>
    </row>
    <row r="189" spans="16:130" ht="33" customHeight="1">
      <c r="P189" s="363" t="s">
        <v>285</v>
      </c>
      <c r="Q189" s="363"/>
      <c r="T189" s="21"/>
      <c r="U189" s="21"/>
      <c r="V189" s="21"/>
      <c r="W189" s="22" t="s">
        <v>196</v>
      </c>
      <c r="X189" s="185" t="s">
        <v>186</v>
      </c>
      <c r="Y189" s="22">
        <v>17500</v>
      </c>
      <c r="Z189" s="20">
        <f t="shared" si="70"/>
        <v>18463.550000000003</v>
      </c>
      <c r="AA189" s="20">
        <f t="shared" si="71"/>
        <v>5513.4906701921527</v>
      </c>
      <c r="AB189" s="20">
        <v>1</v>
      </c>
      <c r="AC189" s="20">
        <f t="shared" si="72"/>
        <v>5513.4906701921527</v>
      </c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0" t="s">
        <v>91</v>
      </c>
      <c r="AP189" s="20" t="s">
        <v>91</v>
      </c>
      <c r="AQ189" s="20" t="s">
        <v>168</v>
      </c>
      <c r="AR189" s="20" t="s">
        <v>167</v>
      </c>
      <c r="AS189" s="20" t="s">
        <v>47</v>
      </c>
      <c r="AT189" s="9" t="s">
        <v>91</v>
      </c>
      <c r="AU189" s="20" t="s">
        <v>47</v>
      </c>
      <c r="AV189" s="21"/>
      <c r="AW189" s="21"/>
      <c r="AX189" s="183"/>
      <c r="AY189" s="21"/>
      <c r="AZ189" s="21"/>
      <c r="BA189" s="21"/>
      <c r="BB189" s="21"/>
      <c r="BC189" s="21"/>
      <c r="BD189" s="21"/>
      <c r="BE189" s="21"/>
      <c r="BF189" s="21"/>
      <c r="BG189" s="22" t="s">
        <v>91</v>
      </c>
      <c r="BH189" s="22" t="s">
        <v>91</v>
      </c>
      <c r="BI189" s="20" t="s">
        <v>161</v>
      </c>
      <c r="BJ189" s="20" t="s">
        <v>165</v>
      </c>
      <c r="BK189" s="20" t="s">
        <v>47</v>
      </c>
      <c r="BL189" s="9" t="s">
        <v>91</v>
      </c>
      <c r="BM189" s="20" t="s">
        <v>47</v>
      </c>
      <c r="BN189" s="21"/>
      <c r="BO189" s="21"/>
      <c r="BP189" s="21"/>
      <c r="BQ189" s="21"/>
      <c r="BR189" s="21"/>
      <c r="BS189" s="21"/>
      <c r="BT189" s="21"/>
      <c r="BU189" s="21"/>
      <c r="BV189" s="21"/>
      <c r="CS189" s="21"/>
      <c r="CT189" s="21"/>
    </row>
    <row r="190" spans="16:130" ht="16.05" customHeight="1">
      <c r="P190" s="364"/>
      <c r="Q190" s="364"/>
      <c r="T190" s="21"/>
      <c r="U190" s="21"/>
      <c r="V190" s="21"/>
      <c r="W190" s="22" t="s">
        <v>196</v>
      </c>
      <c r="X190" s="22" t="s">
        <v>187</v>
      </c>
      <c r="Y190" s="20">
        <v>4690</v>
      </c>
      <c r="Z190" s="20">
        <f t="shared" si="70"/>
        <v>4948.2314000000006</v>
      </c>
      <c r="AA190" s="20">
        <f t="shared" si="71"/>
        <v>1477.6154996114967</v>
      </c>
      <c r="AB190" s="20">
        <v>1</v>
      </c>
      <c r="AC190" s="20">
        <f t="shared" si="72"/>
        <v>1477.6154996114967</v>
      </c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2" t="s">
        <v>196</v>
      </c>
      <c r="AP190" s="20" t="s">
        <v>232</v>
      </c>
      <c r="AQ190" s="20">
        <v>700</v>
      </c>
      <c r="AR190" s="20">
        <v>798</v>
      </c>
      <c r="AS190" s="22">
        <f>AR190*AQ190*(AE217/1000)</f>
        <v>282.1287710315147</v>
      </c>
      <c r="AT190" s="20">
        <v>1</v>
      </c>
      <c r="AU190" s="20">
        <f>AS190*AT190</f>
        <v>282.1287710315147</v>
      </c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2" t="s">
        <v>196</v>
      </c>
      <c r="BH190" s="20" t="s">
        <v>131</v>
      </c>
      <c r="BI190" s="20">
        <v>93200</v>
      </c>
      <c r="BJ190" s="22">
        <f>BI190*Btu_to_kJ</f>
        <v>98331.592000000004</v>
      </c>
      <c r="BK190" s="22">
        <f>BJ190*($AX$217/1000)</f>
        <v>49.66375081369911</v>
      </c>
      <c r="BL190" s="20">
        <v>1</v>
      </c>
      <c r="BM190" s="20">
        <f>BK190*BL190</f>
        <v>49.66375081369911</v>
      </c>
      <c r="BN190" s="21"/>
      <c r="BO190" s="21"/>
      <c r="BP190" s="21"/>
      <c r="BQ190" s="21"/>
      <c r="BR190" s="21"/>
      <c r="BS190" s="21"/>
      <c r="BT190" s="21"/>
      <c r="BU190" s="21"/>
      <c r="BV190" s="21"/>
      <c r="CU190" s="45"/>
    </row>
    <row r="191" spans="16:130" ht="16.05" customHeight="1">
      <c r="P191" s="345" t="s">
        <v>269</v>
      </c>
      <c r="Q191" s="193" t="s">
        <v>245</v>
      </c>
      <c r="T191" s="21"/>
      <c r="U191" s="21"/>
      <c r="V191" s="21"/>
      <c r="W191" s="22" t="s">
        <v>196</v>
      </c>
      <c r="X191" s="20" t="s">
        <v>189</v>
      </c>
      <c r="Y191" s="20">
        <v>1760</v>
      </c>
      <c r="Z191" s="20">
        <f t="shared" si="70"/>
        <v>1856.9056000000003</v>
      </c>
      <c r="AA191" s="20">
        <f t="shared" si="71"/>
        <v>554.49963311646786</v>
      </c>
      <c r="AB191" s="20">
        <v>1</v>
      </c>
      <c r="AC191" s="20">
        <f t="shared" si="72"/>
        <v>554.49963311646786</v>
      </c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2" t="s">
        <v>196</v>
      </c>
      <c r="BH191" s="20" t="s">
        <v>178</v>
      </c>
      <c r="BI191" s="20">
        <v>585</v>
      </c>
      <c r="BJ191" s="22">
        <f>BI191*Btu_to_kJ</f>
        <v>617.21010000000001</v>
      </c>
      <c r="BK191" s="22">
        <f>BJ191*($AX$217/1000)</f>
        <v>0.31173062474263924</v>
      </c>
      <c r="BL191" s="20">
        <v>1</v>
      </c>
      <c r="BM191" s="20">
        <f t="shared" ref="BM191:BM194" si="73">BK191*BL191</f>
        <v>0.31173062474263924</v>
      </c>
      <c r="BN191" s="21"/>
      <c r="BO191" s="21"/>
      <c r="BP191" s="21"/>
      <c r="BQ191" s="21"/>
      <c r="BR191" s="21"/>
      <c r="BS191" s="21"/>
      <c r="BT191" s="21"/>
      <c r="BU191" s="21"/>
      <c r="BV191" s="21"/>
    </row>
    <row r="192" spans="16:130">
      <c r="P192" s="346"/>
      <c r="Q192" s="195" t="s">
        <v>47</v>
      </c>
      <c r="T192" s="21"/>
      <c r="U192" s="21"/>
      <c r="V192" s="21"/>
      <c r="W192" s="22" t="s">
        <v>196</v>
      </c>
      <c r="X192" s="20" t="s">
        <v>190</v>
      </c>
      <c r="Y192" s="20">
        <v>2360</v>
      </c>
      <c r="Z192" s="20">
        <f t="shared" si="70"/>
        <v>2489.9416000000001</v>
      </c>
      <c r="AA192" s="20">
        <f t="shared" si="71"/>
        <v>743.53359895162737</v>
      </c>
      <c r="AB192" s="20">
        <v>1</v>
      </c>
      <c r="AC192" s="20">
        <f t="shared" si="72"/>
        <v>743.53359895162737</v>
      </c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183"/>
      <c r="BA192" s="21"/>
      <c r="BB192" s="21"/>
      <c r="BC192" s="21"/>
      <c r="BD192" s="21"/>
      <c r="BE192" s="21"/>
      <c r="BF192" s="21"/>
      <c r="BG192" s="22" t="s">
        <v>196</v>
      </c>
      <c r="BH192" s="20" t="s">
        <v>179</v>
      </c>
      <c r="BI192" s="20">
        <v>359</v>
      </c>
      <c r="BJ192" s="22">
        <f>BI192*Btu_to_kJ</f>
        <v>378.76654000000002</v>
      </c>
      <c r="BK192" s="22">
        <f>BJ192*($AX$217/1000)</f>
        <v>0.19130135774804699</v>
      </c>
      <c r="BL192" s="20">
        <v>1</v>
      </c>
      <c r="BM192" s="20">
        <f t="shared" si="73"/>
        <v>0.19130135774804699</v>
      </c>
      <c r="BN192" s="21"/>
      <c r="BO192" s="21"/>
      <c r="BP192" s="21"/>
      <c r="BQ192" s="21"/>
      <c r="BR192" s="21"/>
      <c r="BS192" s="21"/>
      <c r="BT192" s="21"/>
      <c r="BU192" s="21"/>
      <c r="BV192" s="21"/>
    </row>
    <row r="193" spans="5:101">
      <c r="P193" s="99" t="s">
        <v>266</v>
      </c>
      <c r="Q193" s="195">
        <f>((N210*(U210-0)/AC195))</f>
        <v>109.11201209723454</v>
      </c>
      <c r="T193" s="21"/>
      <c r="U193" s="21"/>
      <c r="V193" s="21"/>
      <c r="W193" s="22" t="s">
        <v>196</v>
      </c>
      <c r="X193" s="22" t="s">
        <v>192</v>
      </c>
      <c r="Y193" s="22">
        <v>143</v>
      </c>
      <c r="Z193" s="20">
        <f t="shared" si="70"/>
        <v>150.87358</v>
      </c>
      <c r="AA193" s="20">
        <f t="shared" si="71"/>
        <v>45.053095190713009</v>
      </c>
      <c r="AB193" s="20">
        <v>1</v>
      </c>
      <c r="AC193" s="20">
        <f t="shared" si="72"/>
        <v>45.053095190713009</v>
      </c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2" t="s">
        <v>196</v>
      </c>
      <c r="BH193" s="20" t="s">
        <v>180</v>
      </c>
      <c r="BI193" s="20">
        <v>238</v>
      </c>
      <c r="BJ193" s="22">
        <f>BI193*Btu_to_kJ</f>
        <v>251.10428000000002</v>
      </c>
      <c r="BK193" s="22">
        <f>BJ193*($AX$217/1000)</f>
        <v>0.12682374134828742</v>
      </c>
      <c r="BL193" s="20">
        <v>1</v>
      </c>
      <c r="BM193" s="20">
        <f t="shared" si="73"/>
        <v>0.12682374134828742</v>
      </c>
      <c r="BN193" s="21"/>
      <c r="BO193" s="21"/>
      <c r="BP193" s="21"/>
      <c r="BQ193" s="21"/>
      <c r="BR193" s="21"/>
      <c r="BS193" s="21"/>
      <c r="BT193" s="21"/>
      <c r="BU193" s="21"/>
      <c r="BV193" s="21"/>
    </row>
    <row r="194" spans="5:101" ht="16.05" customHeight="1">
      <c r="N194" s="21"/>
      <c r="O194" s="21"/>
      <c r="P194" s="99" t="s">
        <v>489</v>
      </c>
      <c r="Q194" s="195">
        <f>V206/AC195</f>
        <v>109.79148941804274</v>
      </c>
      <c r="T194" s="21"/>
      <c r="U194" s="21"/>
      <c r="V194" s="21"/>
      <c r="W194" s="22" t="s">
        <v>196</v>
      </c>
      <c r="X194" s="22" t="s">
        <v>193</v>
      </c>
      <c r="Y194" s="22">
        <v>6</v>
      </c>
      <c r="Z194" s="20">
        <f t="shared" si="70"/>
        <v>6.3303600000000007</v>
      </c>
      <c r="AA194" s="20">
        <f t="shared" si="71"/>
        <v>1.890339658351595</v>
      </c>
      <c r="AB194" s="20">
        <v>1</v>
      </c>
      <c r="AC194" s="20">
        <f t="shared" si="72"/>
        <v>1.890339658351595</v>
      </c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BE194" s="21"/>
      <c r="BF194" s="21"/>
      <c r="BG194" s="22" t="s">
        <v>196</v>
      </c>
      <c r="BH194" s="22" t="s">
        <v>169</v>
      </c>
      <c r="BI194" s="22">
        <v>121</v>
      </c>
      <c r="BJ194" s="22">
        <f>BI194*Btu_to_kJ</f>
        <v>127.66226000000002</v>
      </c>
      <c r="BK194" s="22">
        <f>BJ194*($AX$217/1000)</f>
        <v>6.4477616399759574E-2</v>
      </c>
      <c r="BL194" s="20">
        <v>1</v>
      </c>
      <c r="BM194" s="20">
        <f t="shared" si="73"/>
        <v>6.4477616399759574E-2</v>
      </c>
      <c r="BN194" s="21"/>
      <c r="BO194" s="21"/>
      <c r="BP194" s="21"/>
      <c r="BQ194" s="21"/>
      <c r="BR194" s="21"/>
      <c r="BS194" s="21"/>
      <c r="BT194" s="21"/>
      <c r="BU194" s="21"/>
      <c r="BV194" s="21"/>
    </row>
    <row r="195" spans="5:101" ht="16.05" customHeight="1">
      <c r="N195" s="21"/>
      <c r="O195" s="21"/>
      <c r="P195" s="100" t="s">
        <v>268</v>
      </c>
      <c r="Q195" s="190">
        <f>V210/AC195</f>
        <v>109.7914834438229</v>
      </c>
      <c r="T195" s="21"/>
      <c r="U195" s="21"/>
      <c r="V195" s="21"/>
      <c r="W195" s="365" t="s">
        <v>398</v>
      </c>
      <c r="X195" s="366"/>
      <c r="Y195" s="147"/>
      <c r="Z195" s="147"/>
      <c r="AA195" s="147">
        <f>SUM(AA185:AA186,AA187:AA188,AA189:AA190,AA191:AA192,AA193:AA194)</f>
        <v>80616.370239891301</v>
      </c>
      <c r="AB195" s="146">
        <v>1</v>
      </c>
      <c r="AC195" s="148">
        <f>AA195*AB195</f>
        <v>80616.370239891301</v>
      </c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Y195" s="21"/>
      <c r="AZ195" s="21"/>
      <c r="BE195" s="21"/>
      <c r="BF195" s="21"/>
      <c r="BG195" s="22"/>
      <c r="BH195" s="20" t="s">
        <v>18</v>
      </c>
      <c r="BI195" s="20">
        <f>SUM(BI190:BI194)</f>
        <v>94503</v>
      </c>
      <c r="BJ195" s="20">
        <f>SUM(BJ190:BJ194)</f>
        <v>99706.335179999995</v>
      </c>
      <c r="BK195" s="20">
        <f>SUM(BK190:BK194)</f>
        <v>50.358084153937838</v>
      </c>
      <c r="BL195" s="20"/>
      <c r="BM195" s="20">
        <f>SUM(BM190:BM194)</f>
        <v>50.358084153937838</v>
      </c>
      <c r="BT195" s="21"/>
      <c r="BU195" s="21"/>
      <c r="BV195" s="21"/>
    </row>
    <row r="196" spans="5:101">
      <c r="T196" s="21"/>
      <c r="U196" s="21"/>
      <c r="V196" s="21"/>
      <c r="W196" s="52"/>
      <c r="X196" s="52"/>
      <c r="Y196" s="52"/>
      <c r="Z196" s="52"/>
      <c r="AA196" s="52"/>
      <c r="AB196" s="52"/>
      <c r="AC196" s="52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Y196" s="21"/>
      <c r="AZ196" s="21"/>
      <c r="BE196" s="21"/>
      <c r="BF196" s="21"/>
      <c r="BG196" s="21"/>
      <c r="BH196" s="21"/>
      <c r="BI196" s="21"/>
      <c r="BW196" s="21"/>
      <c r="BX196" s="21"/>
    </row>
    <row r="197" spans="5:101">
      <c r="T197" s="21"/>
      <c r="U197" s="21"/>
      <c r="V197" s="21"/>
      <c r="W197" s="52"/>
      <c r="X197" s="52"/>
      <c r="Y197" s="52"/>
      <c r="Z197" s="52"/>
      <c r="AA197" s="52"/>
      <c r="AB197" s="52"/>
      <c r="AC197" s="52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Y197" s="21"/>
      <c r="AZ197" s="21"/>
      <c r="BE197" s="21"/>
      <c r="BF197" s="21"/>
      <c r="BG197" s="21"/>
      <c r="BH197" s="21"/>
      <c r="BI197" s="21"/>
      <c r="BW197" s="21"/>
      <c r="BX197" s="21"/>
    </row>
    <row r="198" spans="5:101">
      <c r="T198" s="21"/>
      <c r="U198" s="21"/>
      <c r="V198" s="21"/>
      <c r="W198" s="52"/>
      <c r="X198" s="52"/>
      <c r="Y198" s="52"/>
      <c r="Z198" s="52"/>
      <c r="AA198" s="52"/>
      <c r="AB198" s="52"/>
      <c r="AC198" s="52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Y198" s="21"/>
      <c r="AZ198" s="21"/>
      <c r="BE198" s="21"/>
      <c r="BF198" s="21"/>
      <c r="BG198" s="21"/>
      <c r="BH198" s="21"/>
      <c r="BI198" s="21"/>
      <c r="BN198" s="3" t="s">
        <v>173</v>
      </c>
      <c r="BO198" s="14" t="s">
        <v>175</v>
      </c>
      <c r="BP198" s="14" t="s">
        <v>176</v>
      </c>
      <c r="BQ198" s="14" t="s">
        <v>177</v>
      </c>
      <c r="BW198" s="21"/>
      <c r="BX198" s="21"/>
    </row>
    <row r="199" spans="5:101">
      <c r="I199" s="21"/>
      <c r="T199" s="21"/>
      <c r="U199" s="21"/>
      <c r="V199" s="21"/>
      <c r="W199" s="52"/>
      <c r="X199" s="52"/>
      <c r="Y199" s="52"/>
      <c r="Z199" s="52"/>
      <c r="AA199" s="52"/>
      <c r="AB199" s="52"/>
      <c r="AC199" s="52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Y199" s="21"/>
      <c r="AZ199" s="21"/>
      <c r="BE199" s="21"/>
      <c r="BF199" s="21"/>
      <c r="BG199" s="21"/>
      <c r="BH199" s="21"/>
      <c r="BI199" s="21"/>
      <c r="BW199" s="21"/>
      <c r="BX199" s="21"/>
    </row>
    <row r="200" spans="5:101">
      <c r="T200" s="21"/>
      <c r="U200" s="21"/>
      <c r="V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Z200" s="21"/>
      <c r="BA200" s="21"/>
      <c r="BB200" s="21"/>
      <c r="BF200" s="21"/>
      <c r="BG200" s="21"/>
      <c r="BH200" s="21"/>
      <c r="BI200" s="21"/>
      <c r="BJ200" s="21"/>
      <c r="BX200" s="21"/>
      <c r="BY200" s="21"/>
    </row>
    <row r="201" spans="5:101">
      <c r="T201" s="21"/>
      <c r="U201" s="21"/>
      <c r="V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  <c r="BX201" s="21"/>
      <c r="BY201" s="21"/>
    </row>
    <row r="202" spans="5:101">
      <c r="T202" s="21"/>
      <c r="U202" s="21"/>
      <c r="V202" s="21"/>
      <c r="Z202" s="21" t="s">
        <v>145</v>
      </c>
      <c r="AA202" s="21"/>
      <c r="AB202" s="21"/>
      <c r="AC202" s="21"/>
      <c r="AE202" s="21"/>
      <c r="AF202" s="21"/>
      <c r="AG202" s="21"/>
      <c r="AH202" s="21"/>
      <c r="AI202" s="21"/>
      <c r="AQ202" s="21"/>
      <c r="AR202" s="21"/>
      <c r="AS202" s="21"/>
      <c r="AT202" s="21"/>
      <c r="AU202" s="21"/>
      <c r="AV202" s="21"/>
      <c r="AZ202" s="21"/>
      <c r="BA202" s="21"/>
      <c r="BB202" s="21"/>
      <c r="BF202" s="21"/>
      <c r="BG202" s="21"/>
      <c r="BH202" s="21"/>
      <c r="BI202" s="21"/>
      <c r="BJ202" s="21"/>
      <c r="BK202" s="21"/>
      <c r="BL202" s="21"/>
      <c r="BM202" s="21"/>
      <c r="BN202" s="21"/>
      <c r="BO202" s="21"/>
      <c r="BP202" s="21"/>
      <c r="BQ202" s="21"/>
      <c r="BR202" s="21"/>
      <c r="BS202" s="21"/>
      <c r="BT202" s="21"/>
      <c r="BU202" s="21"/>
      <c r="BV202" s="21"/>
      <c r="BW202" s="21"/>
      <c r="BX202" s="21"/>
      <c r="BY202" s="21"/>
      <c r="BZ202" s="21"/>
      <c r="CM202" s="21"/>
      <c r="CN202" s="21"/>
    </row>
    <row r="203" spans="5:101" ht="16.05" customHeight="1">
      <c r="T203" s="21"/>
      <c r="U203" s="21"/>
      <c r="V203" s="21"/>
      <c r="Z203" s="3" t="s">
        <v>146</v>
      </c>
      <c r="AA203" s="14" t="s">
        <v>147</v>
      </c>
      <c r="AB203" s="14" t="s">
        <v>148</v>
      </c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BG203" s="21"/>
      <c r="BH203" s="21"/>
      <c r="BI203" s="21"/>
      <c r="BJ203" s="21"/>
      <c r="BK203" s="21"/>
      <c r="BL203" s="21"/>
      <c r="BM203" s="21"/>
      <c r="BN203" s="21"/>
      <c r="BO203" s="21"/>
      <c r="BP203" s="21"/>
      <c r="BQ203" s="21"/>
      <c r="BR203" s="21"/>
      <c r="BZ203" s="21"/>
      <c r="CA203" s="21"/>
      <c r="CB203" s="21"/>
      <c r="CO203" s="21"/>
      <c r="CP203" s="21"/>
      <c r="CQ203" s="21"/>
      <c r="CR203" s="21"/>
    </row>
    <row r="204" spans="5:101"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179" t="s">
        <v>1</v>
      </c>
      <c r="V204" s="178" t="s">
        <v>0</v>
      </c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179" t="s">
        <v>1</v>
      </c>
      <c r="AP204" s="178" t="s">
        <v>0</v>
      </c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179" t="s">
        <v>1</v>
      </c>
      <c r="BI204" s="178" t="s">
        <v>0</v>
      </c>
      <c r="BJ204" s="52"/>
      <c r="BK204" s="52"/>
      <c r="BL204" s="52"/>
      <c r="BM204" s="52"/>
      <c r="BN204" s="52"/>
      <c r="BO204" s="21"/>
      <c r="BP204" s="21"/>
      <c r="BQ204" s="21"/>
      <c r="BR204" s="21"/>
      <c r="BS204" s="21"/>
      <c r="BT204" s="21"/>
      <c r="BU204" s="21"/>
      <c r="BV204" s="21"/>
      <c r="BW204" s="21"/>
      <c r="BX204" s="21"/>
      <c r="BY204" s="21"/>
      <c r="BZ204" s="21"/>
      <c r="CA204" s="179" t="s">
        <v>1</v>
      </c>
      <c r="CB204" s="178" t="s">
        <v>0</v>
      </c>
      <c r="CC204" s="21"/>
      <c r="CD204" s="21"/>
      <c r="CU204" s="21"/>
      <c r="CV204" s="179" t="s">
        <v>1</v>
      </c>
      <c r="CW204" s="178" t="s">
        <v>0</v>
      </c>
    </row>
    <row r="205" spans="5:101" ht="18" customHeight="1"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181" t="s">
        <v>83</v>
      </c>
      <c r="V205" s="180" t="s">
        <v>87</v>
      </c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 t="s">
        <v>417</v>
      </c>
      <c r="AL205" s="21"/>
      <c r="AM205" s="21"/>
      <c r="AN205" s="21"/>
      <c r="AO205" s="181" t="s">
        <v>83</v>
      </c>
      <c r="AP205" s="180" t="s">
        <v>87</v>
      </c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 t="s">
        <v>433</v>
      </c>
      <c r="BD205" s="21"/>
      <c r="BE205" s="21"/>
      <c r="BF205" s="21"/>
      <c r="BG205" s="21"/>
      <c r="BH205" s="181" t="s">
        <v>83</v>
      </c>
      <c r="BI205" s="180" t="s">
        <v>87</v>
      </c>
      <c r="BJ205" s="1"/>
      <c r="BK205" s="1"/>
      <c r="BL205" s="1"/>
      <c r="BM205" s="1"/>
      <c r="BN205" s="1"/>
      <c r="BO205" s="21"/>
      <c r="BP205" s="21"/>
      <c r="BQ205" s="21"/>
      <c r="BR205" s="21"/>
      <c r="BS205" s="21"/>
      <c r="BT205" s="21"/>
      <c r="BU205" s="21"/>
      <c r="BV205" s="21"/>
      <c r="BW205" s="21"/>
      <c r="BX205" s="21"/>
      <c r="BY205" s="21"/>
      <c r="BZ205" s="21"/>
      <c r="CA205" s="181" t="s">
        <v>83</v>
      </c>
      <c r="CB205" s="180" t="s">
        <v>87</v>
      </c>
      <c r="CC205" s="21"/>
      <c r="CD205" s="21"/>
      <c r="CU205" s="21"/>
      <c r="CV205" s="181" t="s">
        <v>83</v>
      </c>
      <c r="CW205" s="180" t="s">
        <v>87</v>
      </c>
    </row>
    <row r="206" spans="5:101" ht="15" customHeight="1">
      <c r="J206" s="21"/>
      <c r="K206" s="21"/>
      <c r="L206" s="21"/>
      <c r="M206" s="21"/>
      <c r="N206" s="21"/>
      <c r="O206" s="21"/>
      <c r="P206" s="326" t="s">
        <v>336</v>
      </c>
      <c r="Q206" s="326"/>
      <c r="R206" s="326"/>
      <c r="S206" s="21"/>
      <c r="T206" s="21"/>
      <c r="U206" s="177">
        <f>K218</f>
        <v>298.6148747230165</v>
      </c>
      <c r="V206" s="175">
        <f>V218</f>
        <v>8850991.3601140417</v>
      </c>
      <c r="W206" s="344" t="s">
        <v>327</v>
      </c>
      <c r="X206" s="344"/>
      <c r="Y206" s="344"/>
      <c r="Z206" s="344"/>
      <c r="AA206" s="344"/>
      <c r="AB206" s="344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177">
        <f>AE218</f>
        <v>298.6148747230165</v>
      </c>
      <c r="AP206" s="175">
        <f>AP218</f>
        <v>8855804.320336977</v>
      </c>
      <c r="AQ206" s="344" t="s">
        <v>434</v>
      </c>
      <c r="AR206" s="344"/>
      <c r="AS206" s="344"/>
      <c r="AT206" s="344"/>
      <c r="AU206" s="344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177">
        <f>AX218</f>
        <v>298.6148747230165</v>
      </c>
      <c r="BI206" s="175">
        <f>BI218</f>
        <v>8855804.320336977</v>
      </c>
      <c r="BJ206" s="344" t="s">
        <v>362</v>
      </c>
      <c r="BK206" s="344"/>
      <c r="BL206" s="344"/>
      <c r="BM206" s="344"/>
      <c r="BN206" s="344"/>
      <c r="BO206" s="21"/>
      <c r="BP206" s="21"/>
      <c r="BQ206" s="21"/>
      <c r="BR206" s="21"/>
      <c r="BS206" s="21"/>
      <c r="BT206" s="21"/>
      <c r="BU206" s="21"/>
      <c r="BV206" s="21"/>
      <c r="BW206" s="21" t="s">
        <v>418</v>
      </c>
      <c r="BX206" s="21"/>
      <c r="BY206" s="21"/>
      <c r="BZ206" s="21"/>
      <c r="CA206" s="177">
        <f>BQ218</f>
        <v>298.6148747230165</v>
      </c>
      <c r="CB206" s="175">
        <f>CB218</f>
        <v>8855804.320336977</v>
      </c>
      <c r="CD206" s="344" t="s">
        <v>344</v>
      </c>
      <c r="CE206" s="344"/>
      <c r="CF206" s="344"/>
      <c r="CG206" s="344"/>
      <c r="CH206" s="344"/>
      <c r="CI206" s="162"/>
      <c r="CR206" s="14" t="s">
        <v>484</v>
      </c>
      <c r="CU206" s="21"/>
      <c r="CV206" s="165">
        <f>CL211</f>
        <v>203.27980063725872</v>
      </c>
      <c r="CW206" s="175">
        <f>CW211</f>
        <v>6408288.6211381694</v>
      </c>
    </row>
    <row r="207" spans="5:101" ht="15" customHeight="1"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344"/>
      <c r="X207" s="344"/>
      <c r="Y207" s="344"/>
      <c r="Z207" s="344"/>
      <c r="AA207" s="344"/>
      <c r="AB207" s="344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344"/>
      <c r="AR207" s="344"/>
      <c r="AS207" s="344"/>
      <c r="AT207" s="344"/>
      <c r="AU207" s="344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344"/>
      <c r="BK207" s="344"/>
      <c r="BL207" s="344"/>
      <c r="BM207" s="344"/>
      <c r="BN207" s="344"/>
      <c r="BO207" s="21"/>
      <c r="BP207" s="21"/>
      <c r="BQ207" s="21"/>
      <c r="BR207" s="21"/>
      <c r="BS207" s="21"/>
      <c r="BT207" s="21"/>
      <c r="BU207" s="21"/>
      <c r="BV207" s="21"/>
      <c r="BW207" s="21"/>
      <c r="BX207" s="21"/>
      <c r="BY207" s="21"/>
      <c r="BZ207" s="21"/>
      <c r="CA207" s="21"/>
      <c r="CB207" s="21"/>
      <c r="CD207" s="360"/>
      <c r="CE207" s="360"/>
      <c r="CF207" s="360"/>
      <c r="CG207" s="360"/>
      <c r="CH207" s="360"/>
      <c r="CI207" s="162"/>
      <c r="CU207" s="21"/>
      <c r="CV207" s="21"/>
    </row>
    <row r="208" spans="5:101" ht="19.2" customHeight="1">
      <c r="E208" s="348" t="s">
        <v>356</v>
      </c>
      <c r="F208" s="348"/>
      <c r="G208" s="348"/>
      <c r="H208" s="348"/>
      <c r="J208" s="21"/>
      <c r="K208" s="1" t="s">
        <v>449</v>
      </c>
      <c r="L208" s="1" t="s">
        <v>450</v>
      </c>
      <c r="M208" s="1" t="s">
        <v>579</v>
      </c>
      <c r="N208" s="1" t="s">
        <v>79</v>
      </c>
      <c r="O208" s="1" t="s">
        <v>509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48</v>
      </c>
      <c r="U208" s="1" t="s">
        <v>451</v>
      </c>
      <c r="V208" s="1" t="s">
        <v>49</v>
      </c>
      <c r="W208" s="21"/>
      <c r="X208" s="133" t="s">
        <v>339</v>
      </c>
      <c r="Y208" s="133" t="s">
        <v>379</v>
      </c>
      <c r="Z208" s="143" t="s">
        <v>264</v>
      </c>
      <c r="AA208" s="345" t="s">
        <v>269</v>
      </c>
      <c r="AB208" s="193" t="s">
        <v>245</v>
      </c>
      <c r="AC208" s="1"/>
      <c r="AD208" s="21"/>
      <c r="AE208" s="1" t="s">
        <v>449</v>
      </c>
      <c r="AF208" s="1" t="s">
        <v>450</v>
      </c>
      <c r="AG208" s="1" t="s">
        <v>579</v>
      </c>
      <c r="AH208" s="1" t="s">
        <v>79</v>
      </c>
      <c r="AI208" s="1" t="s">
        <v>509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48</v>
      </c>
      <c r="AO208" s="1" t="s">
        <v>451</v>
      </c>
      <c r="AP208" s="1" t="s">
        <v>49</v>
      </c>
      <c r="AQ208" s="133" t="s">
        <v>339</v>
      </c>
      <c r="AR208" s="133" t="s">
        <v>379</v>
      </c>
      <c r="AS208" s="17" t="s">
        <v>264</v>
      </c>
      <c r="AT208" s="345" t="s">
        <v>269</v>
      </c>
      <c r="AU208" s="98" t="s">
        <v>245</v>
      </c>
      <c r="AV208" s="1"/>
      <c r="AW208" s="21"/>
      <c r="AX208" s="1" t="s">
        <v>449</v>
      </c>
      <c r="AY208" s="1" t="s">
        <v>450</v>
      </c>
      <c r="AZ208" s="1" t="s">
        <v>579</v>
      </c>
      <c r="BA208" s="1" t="s">
        <v>79</v>
      </c>
      <c r="BB208" s="1" t="s">
        <v>509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48</v>
      </c>
      <c r="BH208" s="1" t="s">
        <v>451</v>
      </c>
      <c r="BI208" s="1" t="s">
        <v>49</v>
      </c>
      <c r="BJ208" s="133" t="s">
        <v>339</v>
      </c>
      <c r="BK208" s="133" t="s">
        <v>379</v>
      </c>
      <c r="BL208" s="17" t="s">
        <v>264</v>
      </c>
      <c r="BM208" s="345" t="s">
        <v>269</v>
      </c>
      <c r="BN208" s="98" t="s">
        <v>245</v>
      </c>
      <c r="BO208" s="1"/>
      <c r="BP208" s="21"/>
      <c r="BQ208" s="1" t="s">
        <v>449</v>
      </c>
      <c r="BR208" s="1" t="s">
        <v>450</v>
      </c>
      <c r="BS208" s="1" t="s">
        <v>579</v>
      </c>
      <c r="BT208" s="1" t="s">
        <v>79</v>
      </c>
      <c r="BU208" s="1" t="s">
        <v>509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48</v>
      </c>
      <c r="CA208" s="1" t="s">
        <v>451</v>
      </c>
      <c r="CB208" s="1" t="s">
        <v>49</v>
      </c>
      <c r="CD208" s="133" t="s">
        <v>339</v>
      </c>
      <c r="CE208" s="133" t="s">
        <v>379</v>
      </c>
      <c r="CF208" s="127" t="s">
        <v>264</v>
      </c>
      <c r="CG208" s="345" t="s">
        <v>269</v>
      </c>
      <c r="CH208" s="98" t="s">
        <v>245</v>
      </c>
      <c r="CI208" s="1"/>
      <c r="CJ208" s="1"/>
      <c r="CK208" s="21"/>
      <c r="CL208" s="1" t="s">
        <v>449</v>
      </c>
      <c r="CM208" s="1" t="s">
        <v>450</v>
      </c>
      <c r="CN208" s="1" t="s">
        <v>579</v>
      </c>
      <c r="CO208" s="1" t="s">
        <v>79</v>
      </c>
      <c r="CP208" s="1" t="s">
        <v>509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48</v>
      </c>
      <c r="CV208" s="1" t="s">
        <v>451</v>
      </c>
      <c r="CW208" s="1" t="s">
        <v>49</v>
      </c>
    </row>
    <row r="209" spans="2:101" ht="18" customHeight="1">
      <c r="E209" s="348"/>
      <c r="F209" s="348"/>
      <c r="G209" s="348"/>
      <c r="H209" s="348"/>
      <c r="J209" s="21" t="s">
        <v>40</v>
      </c>
      <c r="K209" s="1" t="s">
        <v>82</v>
      </c>
      <c r="L209" s="21" t="s">
        <v>213</v>
      </c>
      <c r="M209" s="139" t="s">
        <v>84</v>
      </c>
      <c r="N209" s="139" t="s">
        <v>80</v>
      </c>
      <c r="O209" s="1" t="s">
        <v>89</v>
      </c>
      <c r="P209" s="139" t="s">
        <v>89</v>
      </c>
      <c r="Q209" s="139" t="s">
        <v>24</v>
      </c>
      <c r="R209" s="139" t="s">
        <v>91</v>
      </c>
      <c r="S209" s="139" t="s">
        <v>89</v>
      </c>
      <c r="T209" s="139" t="s">
        <v>89</v>
      </c>
      <c r="U209" s="139" t="s">
        <v>88</v>
      </c>
      <c r="V209" s="139" t="s">
        <v>86</v>
      </c>
      <c r="W209" s="21"/>
      <c r="X209" s="137" t="s">
        <v>47</v>
      </c>
      <c r="Y209" s="194" t="s">
        <v>47</v>
      </c>
      <c r="Z209" s="180" t="s">
        <v>83</v>
      </c>
      <c r="AA209" s="346"/>
      <c r="AB209" s="96" t="s">
        <v>77</v>
      </c>
      <c r="AC209" s="21"/>
      <c r="AD209" s="21" t="s">
        <v>40</v>
      </c>
      <c r="AE209" s="1" t="s">
        <v>82</v>
      </c>
      <c r="AF209" s="21" t="s">
        <v>213</v>
      </c>
      <c r="AG209" s="139" t="s">
        <v>84</v>
      </c>
      <c r="AH209" s="139" t="s">
        <v>80</v>
      </c>
      <c r="AI209" s="1" t="s">
        <v>89</v>
      </c>
      <c r="AJ209" s="139" t="s">
        <v>89</v>
      </c>
      <c r="AK209" s="139" t="s">
        <v>24</v>
      </c>
      <c r="AL209" s="139" t="s">
        <v>91</v>
      </c>
      <c r="AM209" s="139" t="s">
        <v>89</v>
      </c>
      <c r="AN209" s="139" t="s">
        <v>89</v>
      </c>
      <c r="AO209" s="139" t="s">
        <v>88</v>
      </c>
      <c r="AP209" s="139" t="s">
        <v>86</v>
      </c>
      <c r="AQ209" s="137" t="s">
        <v>47</v>
      </c>
      <c r="AR209" s="194" t="s">
        <v>47</v>
      </c>
      <c r="AS209" s="1" t="s">
        <v>83</v>
      </c>
      <c r="AT209" s="346"/>
      <c r="AU209" s="96" t="s">
        <v>77</v>
      </c>
      <c r="AV209" s="21"/>
      <c r="AW209" s="21" t="s">
        <v>40</v>
      </c>
      <c r="AX209" s="1" t="s">
        <v>82</v>
      </c>
      <c r="AY209" s="21" t="s">
        <v>213</v>
      </c>
      <c r="AZ209" s="139" t="s">
        <v>84</v>
      </c>
      <c r="BA209" s="139" t="s">
        <v>80</v>
      </c>
      <c r="BB209" s="1" t="s">
        <v>89</v>
      </c>
      <c r="BC209" s="139" t="s">
        <v>89</v>
      </c>
      <c r="BD209" s="139" t="s">
        <v>24</v>
      </c>
      <c r="BE209" s="139" t="s">
        <v>91</v>
      </c>
      <c r="BF209" s="139" t="s">
        <v>89</v>
      </c>
      <c r="BG209" s="139" t="s">
        <v>89</v>
      </c>
      <c r="BH209" s="139" t="s">
        <v>88</v>
      </c>
      <c r="BI209" s="139" t="s">
        <v>86</v>
      </c>
      <c r="BJ209" s="137" t="s">
        <v>47</v>
      </c>
      <c r="BK209" s="194" t="s">
        <v>47</v>
      </c>
      <c r="BL209" s="1" t="s">
        <v>83</v>
      </c>
      <c r="BM209" s="346"/>
      <c r="BN209" s="96" t="s">
        <v>77</v>
      </c>
      <c r="BO209" s="21"/>
      <c r="BP209" s="21" t="s">
        <v>40</v>
      </c>
      <c r="BQ209" s="1" t="s">
        <v>82</v>
      </c>
      <c r="BR209" s="21" t="s">
        <v>213</v>
      </c>
      <c r="BS209" s="139" t="s">
        <v>84</v>
      </c>
      <c r="BT209" s="139" t="s">
        <v>80</v>
      </c>
      <c r="BU209" s="1" t="s">
        <v>89</v>
      </c>
      <c r="BV209" s="139" t="s">
        <v>89</v>
      </c>
      <c r="BW209" s="139" t="s">
        <v>24</v>
      </c>
      <c r="BX209" s="139" t="s">
        <v>91</v>
      </c>
      <c r="BY209" s="139" t="s">
        <v>89</v>
      </c>
      <c r="BZ209" s="139" t="s">
        <v>89</v>
      </c>
      <c r="CA209" s="139" t="s">
        <v>88</v>
      </c>
      <c r="CB209" s="139" t="s">
        <v>86</v>
      </c>
      <c r="CD209" s="137" t="s">
        <v>47</v>
      </c>
      <c r="CE209" s="194" t="s">
        <v>47</v>
      </c>
      <c r="CF209" s="194" t="s">
        <v>83</v>
      </c>
      <c r="CG209" s="379"/>
      <c r="CH209" s="96" t="s">
        <v>77</v>
      </c>
      <c r="CI209" s="21"/>
      <c r="CJ209" s="21"/>
      <c r="CK209" s="21" t="s">
        <v>40</v>
      </c>
      <c r="CL209" s="1" t="s">
        <v>82</v>
      </c>
      <c r="CM209" s="21" t="s">
        <v>213</v>
      </c>
      <c r="CN209" s="139" t="s">
        <v>84</v>
      </c>
      <c r="CO209" s="139" t="s">
        <v>80</v>
      </c>
      <c r="CP209" s="1" t="s">
        <v>89</v>
      </c>
      <c r="CQ209" s="139" t="s">
        <v>89</v>
      </c>
      <c r="CR209" s="139" t="s">
        <v>24</v>
      </c>
      <c r="CS209" s="139" t="s">
        <v>91</v>
      </c>
      <c r="CT209" s="139" t="s">
        <v>89</v>
      </c>
      <c r="CU209" s="139" t="s">
        <v>89</v>
      </c>
      <c r="CV209" s="139" t="s">
        <v>88</v>
      </c>
      <c r="CW209" s="139" t="s">
        <v>86</v>
      </c>
    </row>
    <row r="210" spans="2:101" ht="16.05" customHeight="1">
      <c r="I210" s="135" t="s">
        <v>336</v>
      </c>
      <c r="J210" s="23" t="str">
        <f>_xlfn.CONCAT("C"," ",mol_C_Coal_in," ","H"," ",mol_H_Coal," ","O",mol_O_Coal," ","N"," ",mol_N_Coal)</f>
        <v>C 1 H 1.73788609476463 O0.0132955142084185 N 0.0011460925507865</v>
      </c>
      <c r="K210" s="23">
        <f>AE210</f>
        <v>273.3616728763003</v>
      </c>
      <c r="L210" s="23">
        <f>K210/$AX$218</f>
        <v>0.91543220387082169</v>
      </c>
      <c r="M210" s="23">
        <f>MW_Coal</f>
        <v>753.76276356260666</v>
      </c>
      <c r="N210" s="23">
        <f>mol_Coal</f>
        <v>53256.078525349229</v>
      </c>
      <c r="O210" s="23">
        <f>NCV_bituminous*MW_Coal</f>
        <v>25184721.456153814</v>
      </c>
      <c r="P210" s="23">
        <f>AJ210</f>
        <v>166.212200361182</v>
      </c>
      <c r="Q210" s="23">
        <f>N210/$BA$218</f>
        <v>0.99381125634452305</v>
      </c>
      <c r="R210" s="23">
        <f>LN(Q210)</f>
        <v>-6.2079733088095329E-3</v>
      </c>
      <c r="S210" s="23">
        <f t="shared" ref="S210:S217" si="74">RT0*R210</f>
        <v>-1.5380700846653852E-2</v>
      </c>
      <c r="T210" s="23">
        <f>S210+P210</f>
        <v>166.19681966033534</v>
      </c>
      <c r="U210" s="23">
        <f>T210*Q210</f>
        <v>165.16827014710199</v>
      </c>
      <c r="V210" s="23">
        <f>U210*$BA$218</f>
        <v>8850990.878494123</v>
      </c>
      <c r="W210" s="21"/>
      <c r="X210" s="196">
        <f>AP227</f>
        <v>555.77441893806406</v>
      </c>
      <c r="Y210" s="190">
        <f>SUM(AC195,V206,V222,V236) - SUM(AP206,AP227)</f>
        <v>98587.635320095345</v>
      </c>
      <c r="Z210" s="143">
        <f>AO206-U206</f>
        <v>0</v>
      </c>
      <c r="AA210" s="99" t="s">
        <v>489</v>
      </c>
      <c r="AB210" s="195">
        <f>(AP206+AP227)/($AC$195+V206+V222+V236)</f>
        <v>0.98899070789782728</v>
      </c>
      <c r="AC210" s="135" t="s">
        <v>433</v>
      </c>
      <c r="AD210" s="132" t="str">
        <f>_xlfn.CONCAT("C"," ",mol_C_Coal_in," ","H"," ",mol_H_Coal," ","O",mol_O_Coal," ","N"," ",mol_N_Coal)</f>
        <v>C 1 H 1.73788609476463 O0.0132955142084185 N 0.0011460925507865</v>
      </c>
      <c r="AE210" s="23">
        <f>AX210</f>
        <v>273.3616728763003</v>
      </c>
      <c r="AF210" s="23">
        <f>AE210/$AX$218</f>
        <v>0.91543220387082169</v>
      </c>
      <c r="AG210" s="23">
        <f>MW_Coal</f>
        <v>753.76276356260666</v>
      </c>
      <c r="AH210" s="23">
        <f>mol_Coal</f>
        <v>53256.078525349229</v>
      </c>
      <c r="AI210" s="23">
        <f>NCV_bituminous*MW_Coal</f>
        <v>25184721.456153814</v>
      </c>
      <c r="AJ210" s="23">
        <f>BC210</f>
        <v>166.212200361182</v>
      </c>
      <c r="AK210" s="23">
        <f>AH210/$BA$218</f>
        <v>0.99381125634452305</v>
      </c>
      <c r="AL210" s="23">
        <f>LN(AK210)</f>
        <v>-6.2079733088095329E-3</v>
      </c>
      <c r="AM210" s="23">
        <f t="shared" ref="AM210:AM217" si="75">RT0*AL210</f>
        <v>-1.5380700846653852E-2</v>
      </c>
      <c r="AN210" s="23">
        <f>AM210+AJ210</f>
        <v>166.19681966033534</v>
      </c>
      <c r="AO210" s="23">
        <f>AN210*AK210</f>
        <v>165.16827014710199</v>
      </c>
      <c r="AP210" s="23">
        <f>AO210*$BA$218</f>
        <v>8850990.878494123</v>
      </c>
      <c r="AQ210" s="196">
        <f>AP206+AU190-BI206</f>
        <v>282.12877103127539</v>
      </c>
      <c r="AR210" s="190">
        <f>AP206+AU190-BI206</f>
        <v>282.12877103127539</v>
      </c>
      <c r="AS210" s="17">
        <f>BH206-AO206</f>
        <v>0</v>
      </c>
      <c r="AT210" s="99" t="s">
        <v>489</v>
      </c>
      <c r="AU210" s="96">
        <f>BI206/(AP206+AU190)</f>
        <v>0.99996814295200787</v>
      </c>
      <c r="AV210" s="135" t="s">
        <v>433</v>
      </c>
      <c r="AW210" s="132" t="str">
        <f>_xlfn.CONCAT("C"," ",mol_C_Coal_in," ","H"," ",mol_H_Coal," ","O",mol_O_Coal," ","N"," ",mol_N_Coal)</f>
        <v>C 1 H 1.73788609476463 O0.0132955142084185 N 0.0011460925507865</v>
      </c>
      <c r="AX210" s="23">
        <f>BQ210</f>
        <v>273.3616728763003</v>
      </c>
      <c r="AY210" s="23">
        <f>AX210/$AX$218</f>
        <v>0.91543220387082169</v>
      </c>
      <c r="AZ210" s="23">
        <f>MW_Coal</f>
        <v>753.76276356260666</v>
      </c>
      <c r="BA210" s="23">
        <f>mol_Coal</f>
        <v>53256.078525349229</v>
      </c>
      <c r="BB210" s="23">
        <f>NCV_bituminous*MW_Coal</f>
        <v>25184721.456153814</v>
      </c>
      <c r="BC210" s="23">
        <f>BV210</f>
        <v>166.212200361182</v>
      </c>
      <c r="BD210" s="23">
        <f>BA210/$BA$218</f>
        <v>0.99381125634452305</v>
      </c>
      <c r="BE210" s="23">
        <f>LN(BD210)</f>
        <v>-6.2079733088095329E-3</v>
      </c>
      <c r="BF210" s="23">
        <f t="shared" ref="BF210:BF217" si="76">RT0*BE210</f>
        <v>-1.5380700846653852E-2</v>
      </c>
      <c r="BG210" s="23">
        <f>BF210+BC210</f>
        <v>166.19681966033534</v>
      </c>
      <c r="BH210" s="23">
        <f>BG210*BD210</f>
        <v>165.16827014710199</v>
      </c>
      <c r="BI210" s="23">
        <f>BH210*$BA$218</f>
        <v>8850990.878494123</v>
      </c>
      <c r="BJ210" s="196">
        <f>BM195+BI206-CB206</f>
        <v>50.35808415338397</v>
      </c>
      <c r="BK210" s="190">
        <f>(BM195+BI206)-CB206</f>
        <v>50.35808415338397</v>
      </c>
      <c r="BL210" s="17">
        <f>CA206-BH206</f>
        <v>0</v>
      </c>
      <c r="BM210" s="99" t="s">
        <v>489</v>
      </c>
      <c r="BN210" s="96">
        <f>CB206/(BM195+BI206)</f>
        <v>0.99999431358282376</v>
      </c>
      <c r="BO210" s="135" t="s">
        <v>383</v>
      </c>
      <c r="BP210" s="132" t="str">
        <f>_xlfn.CONCAT("C"," ",mol_C_Coal_in," ","H"," ",mol_H_Coal," ","O",mol_O_Coal," ","N"," ",mol_N_Coal," ","S",mol_S_coal)</f>
        <v>C 1 H 1.73788609476463 O0.0132955142084185 N 0.0011460925507865 S0.00505505675220687</v>
      </c>
      <c r="BQ210" s="23">
        <f>SUM(Calculators!C98:C102)</f>
        <v>273.3616728763003</v>
      </c>
      <c r="BR210" s="23">
        <f>BQ210/$BQ$218</f>
        <v>0.91543220387082169</v>
      </c>
      <c r="BS210" s="23">
        <f>MW_Coal</f>
        <v>753.76276356260666</v>
      </c>
      <c r="BT210" s="23">
        <f>mol_Coal</f>
        <v>53256.078525349229</v>
      </c>
      <c r="BU210" s="23">
        <f>NCV_bituminous*MW_Coal</f>
        <v>25184721.456153814</v>
      </c>
      <c r="BV210" s="169">
        <f>(b_ch_coal*BQ210)/BT210</f>
        <v>166.212200361182</v>
      </c>
      <c r="BW210" s="23">
        <f>BT210/$BT$218</f>
        <v>0.99381125634452305</v>
      </c>
      <c r="BX210" s="23">
        <f>LN(BW210)</f>
        <v>-6.2079733088095329E-3</v>
      </c>
      <c r="BY210" s="23">
        <f t="shared" ref="BY210:BY217" si="77">RT0*BX210</f>
        <v>-1.5380700846653852E-2</v>
      </c>
      <c r="BZ210" s="23">
        <f>BY210+BV210</f>
        <v>166.19681966033534</v>
      </c>
      <c r="CA210" s="23">
        <f>BZ210*BW210</f>
        <v>165.16827014710199</v>
      </c>
      <c r="CB210" s="23">
        <f>CA210*$BT$218</f>
        <v>8850990.878494123</v>
      </c>
      <c r="CD210" s="196">
        <f>SUM(CB206,CB225,CB232,CB244) - SUM(CW251,CW234,CW218,CW206)</f>
        <v>8706828.4095456321</v>
      </c>
      <c r="CE210" s="190">
        <f>SUM(CB244,CB206,CB225,CB232) - SUM(CW206,CW218,CW234,CW251)</f>
        <v>8706828.4095456358</v>
      </c>
      <c r="CF210" s="166">
        <f>ROUND(CV206+CV218+CV234+CV251+CV267-CA206-CA232-CA244, 10)</f>
        <v>0</v>
      </c>
      <c r="CG210" s="99" t="s">
        <v>489</v>
      </c>
      <c r="CH210" s="96">
        <f>(CW218+CW206+CW234+CW251+CW267)/(CB244+CB206+CB232)</f>
        <v>0.60155306227269634</v>
      </c>
      <c r="CI210" s="21"/>
      <c r="CJ210" s="142" t="s">
        <v>485</v>
      </c>
      <c r="CK210" s="132" t="str">
        <f>_xlfn.CONCAT("C"," ",mol_C_coke," ","H"," ",mol_H_coke," ","O",mol_O_coke," ","N"," ",mol_N_coke," ","S",mol_S_coke)</f>
        <v>C 1 H 0.060922208137734 O0.00537322041192087 N 0.000876805458948301 S0.00344697420465994</v>
      </c>
      <c r="CL210" s="108">
        <f>SUM(Calculators!C89:C93)</f>
        <v>203.27980063725872</v>
      </c>
      <c r="CM210" s="19">
        <f>CL210/CL211</f>
        <v>1</v>
      </c>
      <c r="CN210" s="19">
        <f>MW_Coke</f>
        <v>217.63525920401193</v>
      </c>
      <c r="CO210" s="19">
        <f>mol_Coke</f>
        <v>17721.029348224434</v>
      </c>
      <c r="CP210" s="19">
        <f>(NCV_dry_anthrocite*MW_Coke)</f>
        <v>6546468.5968566788</v>
      </c>
      <c r="CQ210" s="170">
        <f>(b_ch_coke*CL210 )/mol_Coke</f>
        <v>361.62056363730647</v>
      </c>
      <c r="CR210" s="19">
        <f>CO210/CO211</f>
        <v>1</v>
      </c>
      <c r="CS210" s="19">
        <f>LN(CR210)</f>
        <v>0</v>
      </c>
      <c r="CT210" s="19">
        <f>RT0*CS210</f>
        <v>0</v>
      </c>
      <c r="CU210" s="188">
        <f>CT210+CQ210</f>
        <v>361.62056363730647</v>
      </c>
      <c r="CV210" s="188">
        <f>CU210*CR210</f>
        <v>361.62056363730647</v>
      </c>
      <c r="CW210" s="19">
        <f>CV210*CO211</f>
        <v>6408288.6211381694</v>
      </c>
    </row>
    <row r="211" spans="2:101" ht="16.95" customHeight="1">
      <c r="I211" s="356" t="s">
        <v>431</v>
      </c>
      <c r="J211" s="23" t="s">
        <v>237</v>
      </c>
      <c r="K211" s="23">
        <f t="shared" ref="K211:K216" si="78">AE211</f>
        <v>7.5759605540148947</v>
      </c>
      <c r="L211" s="23">
        <f t="shared" ref="L211:L217" si="79">K211/$AX$218</f>
        <v>2.5370338838753628E-2</v>
      </c>
      <c r="M211" s="23">
        <f>MW_Al2O3</f>
        <v>0.10196127799999999</v>
      </c>
      <c r="N211" s="23">
        <f t="shared" ref="N211:N217" si="80">K211/M211</f>
        <v>74.302330282824585</v>
      </c>
      <c r="O211" s="23">
        <f>h_Al2O3</f>
        <v>-1675.7</v>
      </c>
      <c r="P211" s="23">
        <f>b_ch_Al2O3</f>
        <v>31.875999999999976</v>
      </c>
      <c r="Q211" s="23">
        <f t="shared" ref="Q211:Q217" si="81">N211/$BA$218</f>
        <v>1.386555192428438E-3</v>
      </c>
      <c r="R211" s="23">
        <f t="shared" ref="R211:R217" si="82">LN(Q211)</f>
        <v>-6.5809328866841756</v>
      </c>
      <c r="S211" s="23">
        <f t="shared" si="74"/>
        <v>-16.304735053927885</v>
      </c>
      <c r="T211" s="23">
        <f t="shared" ref="T211:T217" si="83">S211+P211</f>
        <v>15.571264946072091</v>
      </c>
      <c r="U211" s="23">
        <f t="shared" ref="U211:U217" si="84">T211*Q211</f>
        <v>2.1590418263655181E-2</v>
      </c>
      <c r="V211" s="23">
        <f t="shared" ref="V211:V217" si="85">U211*$BA$217</f>
        <v>0.11576440408660978</v>
      </c>
      <c r="W211" s="21"/>
      <c r="X211" s="21"/>
      <c r="Y211" s="21"/>
      <c r="Z211" s="21"/>
      <c r="AA211" s="100" t="s">
        <v>318</v>
      </c>
      <c r="AB211" s="190">
        <f>$AP$210/($AC$195+V206+V222+V236)</f>
        <v>0.98839112692609699</v>
      </c>
      <c r="AC211" s="356" t="s">
        <v>429</v>
      </c>
      <c r="AD211" s="23" t="s">
        <v>237</v>
      </c>
      <c r="AE211" s="23">
        <f>AX211</f>
        <v>7.5759605540148947</v>
      </c>
      <c r="AF211" s="23">
        <f t="shared" ref="AF211:AF217" si="86">AE211/$AX$218</f>
        <v>2.5370338838753628E-2</v>
      </c>
      <c r="AG211" s="23">
        <f>MW_Al2O3</f>
        <v>0.10196127799999999</v>
      </c>
      <c r="AH211" s="23">
        <f t="shared" ref="AH211:AH216" si="87">AE211/AG211</f>
        <v>74.302330282824585</v>
      </c>
      <c r="AI211" s="23">
        <f>h_Al2O3</f>
        <v>-1675.7</v>
      </c>
      <c r="AJ211" s="23">
        <f>b_ch_Al2O3</f>
        <v>31.875999999999976</v>
      </c>
      <c r="AK211" s="23">
        <f t="shared" ref="AK211:AK216" si="88">AH211/$BA$218</f>
        <v>1.386555192428438E-3</v>
      </c>
      <c r="AL211" s="23">
        <f t="shared" ref="AL211:AL216" si="89">LN(AK211)</f>
        <v>-6.5809328866841756</v>
      </c>
      <c r="AM211" s="23">
        <f t="shared" si="75"/>
        <v>-16.304735053927885</v>
      </c>
      <c r="AN211" s="23">
        <f t="shared" ref="AN211:AN217" si="90">AM211+AJ211</f>
        <v>15.571264946072091</v>
      </c>
      <c r="AO211" s="23">
        <f t="shared" ref="AO211:AO217" si="91">AN211*AK211</f>
        <v>2.1590418263655181E-2</v>
      </c>
      <c r="AP211" s="23">
        <f t="shared" ref="AP211:AP217" si="92">AO211*$BA$218</f>
        <v>1156.9812709444175</v>
      </c>
      <c r="AQ211" s="21"/>
      <c r="AR211" s="21"/>
      <c r="AT211" s="100" t="s">
        <v>318</v>
      </c>
      <c r="AU211" s="97">
        <f>BI210/(AP206+AU190)</f>
        <v>0.9994246250143145</v>
      </c>
      <c r="AV211" s="356" t="s">
        <v>429</v>
      </c>
      <c r="AW211" s="23" t="s">
        <v>237</v>
      </c>
      <c r="AX211" s="23">
        <f t="shared" ref="AX211:AX216" si="93">CL222</f>
        <v>7.5759605540148947</v>
      </c>
      <c r="AY211" s="23">
        <f t="shared" ref="AY211:AY217" si="94">AX211/$AX$218</f>
        <v>2.5370338838753628E-2</v>
      </c>
      <c r="AZ211" s="23">
        <f>MW_Al2O3</f>
        <v>0.10196127799999999</v>
      </c>
      <c r="BA211" s="23">
        <f t="shared" ref="BA211:BA216" si="95">AX211/AZ211</f>
        <v>74.302330282824585</v>
      </c>
      <c r="BB211" s="23">
        <f>h_Al2O3</f>
        <v>-1675.7</v>
      </c>
      <c r="BC211" s="23">
        <f>b_ch_Al2O3</f>
        <v>31.875999999999976</v>
      </c>
      <c r="BD211" s="23">
        <f t="shared" ref="BD211:BD216" si="96">BA211/$BA$218</f>
        <v>1.386555192428438E-3</v>
      </c>
      <c r="BE211" s="23">
        <f t="shared" ref="BE211:BE216" si="97">LN(BD211)</f>
        <v>-6.5809328866841756</v>
      </c>
      <c r="BF211" s="23">
        <f t="shared" si="76"/>
        <v>-16.304735053927885</v>
      </c>
      <c r="BG211" s="23">
        <f t="shared" ref="BG211:BG217" si="98">BF211+BC211</f>
        <v>15.571264946072091</v>
      </c>
      <c r="BH211" s="23">
        <f t="shared" ref="BH211:BH217" si="99">BG211*BD211</f>
        <v>2.1590418263655181E-2</v>
      </c>
      <c r="BI211" s="23">
        <f t="shared" ref="BI211:BI217" si="100">BH211*$BA$218</f>
        <v>1156.9812709444175</v>
      </c>
      <c r="BJ211" s="21"/>
      <c r="BK211" s="21"/>
      <c r="BM211" s="100" t="s">
        <v>318</v>
      </c>
      <c r="BN211" s="97">
        <f>CB210/(BM195+BI206)</f>
        <v>0.99945078142046995</v>
      </c>
      <c r="BO211" s="356" t="s">
        <v>428</v>
      </c>
      <c r="BP211" s="23" t="s">
        <v>237</v>
      </c>
      <c r="BQ211" s="23">
        <f t="shared" ref="BQ211:BQ217" si="101">CL222</f>
        <v>7.5759605540148947</v>
      </c>
      <c r="BR211" s="23">
        <f t="shared" ref="BR211:BR217" si="102">BQ211/$BQ$218</f>
        <v>2.5370338838753628E-2</v>
      </c>
      <c r="BS211" s="23">
        <f>MW_Al2O3</f>
        <v>0.10196127799999999</v>
      </c>
      <c r="BT211" s="23">
        <f t="shared" ref="BT211:BT217" si="103">BQ211/BS211</f>
        <v>74.302330282824585</v>
      </c>
      <c r="BU211" s="23">
        <f>h_Al2O3</f>
        <v>-1675.7</v>
      </c>
      <c r="BV211" s="23">
        <f>b_ch_Al2O3</f>
        <v>31.875999999999976</v>
      </c>
      <c r="BW211" s="23">
        <f t="shared" ref="BW211:BW217" si="104">BT211/$BT$218</f>
        <v>1.386555192428438E-3</v>
      </c>
      <c r="BX211" s="23">
        <f t="shared" ref="BX211:BX217" si="105">LN(BW211)</f>
        <v>-6.5809328866841756</v>
      </c>
      <c r="BY211" s="23">
        <f t="shared" si="77"/>
        <v>-16.304735053927885</v>
      </c>
      <c r="BZ211" s="23">
        <f t="shared" ref="BZ211:BZ217" si="106">BY211+BV211</f>
        <v>15.571264946072091</v>
      </c>
      <c r="CA211" s="23">
        <f t="shared" ref="CA211:CA217" si="107">BZ211*BW211</f>
        <v>2.1590418263655181E-2</v>
      </c>
      <c r="CB211" s="23">
        <f>CA211*$BT$218</f>
        <v>1156.9812709444175</v>
      </c>
      <c r="CD211" s="21"/>
      <c r="CE211" s="21"/>
      <c r="CG211" s="100" t="s">
        <v>318</v>
      </c>
      <c r="CH211" s="97">
        <f>CW210/(CB244+CB206+CB232)</f>
        <v>0.32940597812032246</v>
      </c>
      <c r="CI211" s="21"/>
      <c r="CJ211" s="21"/>
      <c r="CK211" s="18" t="s">
        <v>18</v>
      </c>
      <c r="CL211" s="111">
        <f>SUM(CL210)</f>
        <v>203.27980063725872</v>
      </c>
      <c r="CM211" s="18">
        <f>SUM(CM204:CM210)</f>
        <v>1</v>
      </c>
      <c r="CN211" s="18">
        <f>SUM(CN210)</f>
        <v>217.63525920401193</v>
      </c>
      <c r="CO211" s="18">
        <f>SUM(CO204:CO210)</f>
        <v>17721.029348224434</v>
      </c>
      <c r="CP211" s="18">
        <f>SUM(CL210*CP210) / CL211</f>
        <v>6546468.5968566798</v>
      </c>
      <c r="CQ211" s="18"/>
      <c r="CR211" s="18"/>
      <c r="CS211" s="18"/>
      <c r="CT211" s="18"/>
      <c r="CU211" s="18"/>
      <c r="CV211" s="18">
        <f>SUM(CV210)</f>
        <v>361.62056363730647</v>
      </c>
      <c r="CW211" s="18">
        <f>SUM(CW210)</f>
        <v>6408288.6211381694</v>
      </c>
    </row>
    <row r="212" spans="2:101" ht="18" customHeight="1">
      <c r="I212" s="356"/>
      <c r="J212" s="21" t="s">
        <v>113</v>
      </c>
      <c r="K212" s="21">
        <f t="shared" si="78"/>
        <v>1.2626600923358158</v>
      </c>
      <c r="L212" s="21">
        <f t="shared" si="79"/>
        <v>4.2283898064589378E-3</v>
      </c>
      <c r="M212" s="21">
        <f>MW_CaO</f>
        <v>5.6077400000000006E-2</v>
      </c>
      <c r="N212" s="21">
        <f t="shared" si="80"/>
        <v>22.516380793970754</v>
      </c>
      <c r="O212" s="21">
        <f>h_CaO</f>
        <v>-634.9</v>
      </c>
      <c r="P212" s="21">
        <f>b_ch_CaO</f>
        <v>122.25799999999992</v>
      </c>
      <c r="Q212" s="21">
        <f t="shared" si="81"/>
        <v>4.2017800230140072E-4</v>
      </c>
      <c r="R212" s="21">
        <f t="shared" si="82"/>
        <v>-7.7748321214677363</v>
      </c>
      <c r="S212" s="21">
        <f t="shared" si="74"/>
        <v>-19.262706368849063</v>
      </c>
      <c r="T212" s="21">
        <f t="shared" si="83"/>
        <v>102.99529363115086</v>
      </c>
      <c r="U212" s="21">
        <f t="shared" si="84"/>
        <v>4.3276356724383146E-2</v>
      </c>
      <c r="V212" s="21">
        <f t="shared" si="85"/>
        <v>0.23204097234518378</v>
      </c>
      <c r="W212" s="21"/>
      <c r="X212" s="21"/>
      <c r="Y212" s="21"/>
      <c r="Z212" s="21"/>
      <c r="AC212" s="356"/>
      <c r="AD212" s="21" t="s">
        <v>113</v>
      </c>
      <c r="AE212" s="21">
        <f t="shared" ref="AE212:AE217" si="108">AX212</f>
        <v>1.2626600923358158</v>
      </c>
      <c r="AF212" s="21">
        <f t="shared" si="86"/>
        <v>4.2283898064589378E-3</v>
      </c>
      <c r="AG212" s="21">
        <f>MW_CaO</f>
        <v>5.6077400000000006E-2</v>
      </c>
      <c r="AH212" s="21">
        <f t="shared" si="87"/>
        <v>22.516380793970754</v>
      </c>
      <c r="AI212" s="21">
        <f>h_CaO</f>
        <v>-634.9</v>
      </c>
      <c r="AJ212" s="21">
        <f>b_ch_CaO</f>
        <v>122.25799999999992</v>
      </c>
      <c r="AK212" s="21">
        <f t="shared" si="88"/>
        <v>4.2017800230140072E-4</v>
      </c>
      <c r="AL212" s="21">
        <f t="shared" si="89"/>
        <v>-7.7748321214677363</v>
      </c>
      <c r="AM212" s="21">
        <f t="shared" si="75"/>
        <v>-19.262706368849063</v>
      </c>
      <c r="AN212" s="21">
        <f t="shared" si="90"/>
        <v>102.99529363115086</v>
      </c>
      <c r="AO212" s="21">
        <f t="shared" si="91"/>
        <v>4.3276356724383146E-2</v>
      </c>
      <c r="AP212" s="21">
        <f t="shared" si="92"/>
        <v>2319.0812513858236</v>
      </c>
      <c r="AQ212" s="21"/>
      <c r="AR212" s="21"/>
      <c r="AV212" s="356"/>
      <c r="AW212" s="21" t="s">
        <v>113</v>
      </c>
      <c r="AX212" s="21">
        <f t="shared" si="93"/>
        <v>1.2626600923358158</v>
      </c>
      <c r="AY212" s="21">
        <f t="shared" si="94"/>
        <v>4.2283898064589378E-3</v>
      </c>
      <c r="AZ212" s="21">
        <f>MW_CaO</f>
        <v>5.6077400000000006E-2</v>
      </c>
      <c r="BA212" s="21">
        <f t="shared" si="95"/>
        <v>22.516380793970754</v>
      </c>
      <c r="BB212" s="21">
        <f>h_CaO</f>
        <v>-634.9</v>
      </c>
      <c r="BC212" s="21">
        <f>b_ch_CaO</f>
        <v>122.25799999999992</v>
      </c>
      <c r="BD212" s="21">
        <f t="shared" si="96"/>
        <v>4.2017800230140072E-4</v>
      </c>
      <c r="BE212" s="21">
        <f t="shared" si="97"/>
        <v>-7.7748321214677363</v>
      </c>
      <c r="BF212" s="21">
        <f t="shared" si="76"/>
        <v>-19.262706368849063</v>
      </c>
      <c r="BG212" s="21">
        <f t="shared" si="98"/>
        <v>102.99529363115086</v>
      </c>
      <c r="BH212" s="21">
        <f t="shared" si="99"/>
        <v>4.3276356724383146E-2</v>
      </c>
      <c r="BI212" s="21">
        <f t="shared" si="100"/>
        <v>2319.0812513858236</v>
      </c>
      <c r="BJ212" s="21"/>
      <c r="BK212" s="21"/>
      <c r="BO212" s="356"/>
      <c r="BP212" s="21" t="s">
        <v>113</v>
      </c>
      <c r="BQ212" s="21">
        <f t="shared" si="101"/>
        <v>1.2626600923358158</v>
      </c>
      <c r="BR212" s="21">
        <f t="shared" si="102"/>
        <v>4.2283898064589378E-3</v>
      </c>
      <c r="BS212" s="21">
        <f>MW_CaO</f>
        <v>5.6077400000000006E-2</v>
      </c>
      <c r="BT212" s="21">
        <f t="shared" si="103"/>
        <v>22.516380793970754</v>
      </c>
      <c r="BU212" s="21">
        <f>h_CaO</f>
        <v>-634.9</v>
      </c>
      <c r="BV212" s="21">
        <f>b_ch_CaO</f>
        <v>122.25799999999992</v>
      </c>
      <c r="BW212" s="21">
        <f t="shared" si="104"/>
        <v>4.2017800230140072E-4</v>
      </c>
      <c r="BX212" s="21">
        <f t="shared" si="105"/>
        <v>-7.7748321214677363</v>
      </c>
      <c r="BY212" s="21">
        <f t="shared" si="77"/>
        <v>-19.262706368849063</v>
      </c>
      <c r="BZ212" s="21">
        <f t="shared" si="106"/>
        <v>102.99529363115086</v>
      </c>
      <c r="CA212" s="21">
        <f t="shared" si="107"/>
        <v>4.3276356724383146E-2</v>
      </c>
      <c r="CB212" s="21">
        <f t="shared" ref="CB212:CB217" si="109">CA212*$BT$218</f>
        <v>2319.0812513858236</v>
      </c>
      <c r="CD212" s="21"/>
      <c r="CE212" s="21"/>
      <c r="CI212" s="21"/>
      <c r="CJ212" s="21"/>
      <c r="CL212" s="1" t="s">
        <v>83</v>
      </c>
      <c r="CM212" s="1"/>
      <c r="CN212" s="14" t="s">
        <v>85</v>
      </c>
      <c r="CO212" s="14" t="s">
        <v>81</v>
      </c>
      <c r="CP212" s="1" t="s">
        <v>640</v>
      </c>
      <c r="CQ212" s="21"/>
      <c r="CR212" s="21"/>
      <c r="CV212" s="14" t="s">
        <v>90</v>
      </c>
      <c r="CW212" s="1" t="s">
        <v>87</v>
      </c>
    </row>
    <row r="213" spans="2:101">
      <c r="I213" s="356"/>
      <c r="J213" s="21" t="s">
        <v>132</v>
      </c>
      <c r="K213" s="21">
        <f t="shared" si="78"/>
        <v>0.50506403693432633</v>
      </c>
      <c r="L213" s="21">
        <f t="shared" si="79"/>
        <v>1.6913559225835754E-3</v>
      </c>
      <c r="M213" s="21">
        <f>MW_MgO</f>
        <v>4.0304400000000004E-2</v>
      </c>
      <c r="N213" s="21">
        <f t="shared" si="80"/>
        <v>12.531238200651201</v>
      </c>
      <c r="O213" s="21">
        <f>h_MgO</f>
        <v>-601.6</v>
      </c>
      <c r="P213" s="21">
        <f>b_ch_MgO</f>
        <v>62.576000000000022</v>
      </c>
      <c r="Q213" s="21">
        <f t="shared" si="81"/>
        <v>2.3384533605518574E-4</v>
      </c>
      <c r="R213" s="21">
        <f t="shared" si="82"/>
        <v>-8.360850618164088</v>
      </c>
      <c r="S213" s="21">
        <f t="shared" si="74"/>
        <v>-20.714609387746034</v>
      </c>
      <c r="T213" s="21">
        <f t="shared" si="83"/>
        <v>41.861390612253985</v>
      </c>
      <c r="U213" s="21">
        <f t="shared" si="84"/>
        <v>9.7890909554599302E-3</v>
      </c>
      <c r="V213" s="21">
        <f t="shared" si="85"/>
        <v>5.2487555691132261E-2</v>
      </c>
      <c r="W213" s="21"/>
      <c r="X213" s="21"/>
      <c r="Y213" s="21"/>
      <c r="Z213" s="21"/>
      <c r="AA213" s="21"/>
      <c r="AB213" s="21"/>
      <c r="AC213" s="356"/>
      <c r="AD213" s="21" t="s">
        <v>132</v>
      </c>
      <c r="AE213" s="21">
        <f t="shared" si="108"/>
        <v>0.50506403693432633</v>
      </c>
      <c r="AF213" s="21">
        <f t="shared" si="86"/>
        <v>1.6913559225835754E-3</v>
      </c>
      <c r="AG213" s="21">
        <f>MW_MgO</f>
        <v>4.0304400000000004E-2</v>
      </c>
      <c r="AH213" s="21">
        <f t="shared" si="87"/>
        <v>12.531238200651201</v>
      </c>
      <c r="AI213" s="21">
        <f>h_MgO</f>
        <v>-601.6</v>
      </c>
      <c r="AJ213" s="21">
        <f>b_ch_MgO</f>
        <v>62.576000000000022</v>
      </c>
      <c r="AK213" s="21">
        <f t="shared" si="88"/>
        <v>2.3384533605518574E-4</v>
      </c>
      <c r="AL213" s="21">
        <f t="shared" si="89"/>
        <v>-8.360850618164088</v>
      </c>
      <c r="AM213" s="21">
        <f t="shared" si="75"/>
        <v>-20.714609387746034</v>
      </c>
      <c r="AN213" s="21">
        <f t="shared" si="90"/>
        <v>41.861390612253985</v>
      </c>
      <c r="AO213" s="21">
        <f t="shared" si="91"/>
        <v>9.7890909554599302E-3</v>
      </c>
      <c r="AP213" s="21">
        <f t="shared" si="92"/>
        <v>524.57505717265872</v>
      </c>
      <c r="AQ213" s="21"/>
      <c r="AR213" s="21"/>
      <c r="AT213" s="21"/>
      <c r="AU213" s="21"/>
      <c r="AV213" s="356"/>
      <c r="AW213" s="21" t="s">
        <v>132</v>
      </c>
      <c r="AX213" s="21">
        <f t="shared" si="93"/>
        <v>0.50506403693432633</v>
      </c>
      <c r="AY213" s="21">
        <f t="shared" si="94"/>
        <v>1.6913559225835754E-3</v>
      </c>
      <c r="AZ213" s="21">
        <f>MW_MgO</f>
        <v>4.0304400000000004E-2</v>
      </c>
      <c r="BA213" s="21">
        <f t="shared" si="95"/>
        <v>12.531238200651201</v>
      </c>
      <c r="BB213" s="21">
        <f>h_MgO</f>
        <v>-601.6</v>
      </c>
      <c r="BC213" s="21">
        <f>b_ch_MgO</f>
        <v>62.576000000000022</v>
      </c>
      <c r="BD213" s="21">
        <f t="shared" si="96"/>
        <v>2.3384533605518574E-4</v>
      </c>
      <c r="BE213" s="21">
        <f t="shared" si="97"/>
        <v>-8.360850618164088</v>
      </c>
      <c r="BF213" s="21">
        <f t="shared" si="76"/>
        <v>-20.714609387746034</v>
      </c>
      <c r="BG213" s="21">
        <f t="shared" si="98"/>
        <v>41.861390612253985</v>
      </c>
      <c r="BH213" s="21">
        <f t="shared" si="99"/>
        <v>9.7890909554599302E-3</v>
      </c>
      <c r="BI213" s="21">
        <f t="shared" si="100"/>
        <v>524.57505717265872</v>
      </c>
      <c r="BJ213" s="21"/>
      <c r="BK213" s="21"/>
      <c r="BL213" s="21"/>
      <c r="BM213" s="21"/>
      <c r="BN213" s="21"/>
      <c r="BO213" s="356"/>
      <c r="BP213" s="21" t="s">
        <v>132</v>
      </c>
      <c r="BQ213" s="21">
        <f t="shared" si="101"/>
        <v>0.50506403693432633</v>
      </c>
      <c r="BR213" s="21">
        <f t="shared" si="102"/>
        <v>1.6913559225835754E-3</v>
      </c>
      <c r="BS213" s="21">
        <f>MW_MgO</f>
        <v>4.0304400000000004E-2</v>
      </c>
      <c r="BT213" s="21">
        <f t="shared" si="103"/>
        <v>12.531238200651201</v>
      </c>
      <c r="BU213" s="21">
        <f>h_MgO</f>
        <v>-601.6</v>
      </c>
      <c r="BV213" s="21">
        <f>b_ch_MgO</f>
        <v>62.576000000000022</v>
      </c>
      <c r="BW213" s="21">
        <f t="shared" si="104"/>
        <v>2.3384533605518574E-4</v>
      </c>
      <c r="BX213" s="21">
        <f t="shared" si="105"/>
        <v>-8.360850618164088</v>
      </c>
      <c r="BY213" s="21">
        <f t="shared" si="77"/>
        <v>-20.714609387746034</v>
      </c>
      <c r="BZ213" s="21">
        <f t="shared" si="106"/>
        <v>41.861390612253985</v>
      </c>
      <c r="CA213" s="21">
        <f t="shared" si="107"/>
        <v>9.7890909554599302E-3</v>
      </c>
      <c r="CB213" s="21">
        <f t="shared" si="109"/>
        <v>524.57505717265872</v>
      </c>
      <c r="CC213" s="21"/>
      <c r="CD213" s="21"/>
    </row>
    <row r="214" spans="2:101" ht="16.95" customHeight="1">
      <c r="I214" s="356"/>
      <c r="J214" s="21" t="s">
        <v>238</v>
      </c>
      <c r="K214" s="21">
        <f t="shared" si="78"/>
        <v>0.25253201846716317</v>
      </c>
      <c r="L214" s="21">
        <f t="shared" si="79"/>
        <v>8.4567796129178768E-4</v>
      </c>
      <c r="M214" s="21">
        <f>MW_Na2O</f>
        <v>6.1978936000000005E-2</v>
      </c>
      <c r="N214" s="21">
        <f t="shared" si="80"/>
        <v>4.0744813442289995</v>
      </c>
      <c r="O214" s="21">
        <f>h_Na2O</f>
        <v>-414.2</v>
      </c>
      <c r="P214" s="21">
        <f>b_ch_Na2O</f>
        <v>298.64000000000004</v>
      </c>
      <c r="Q214" s="21">
        <f t="shared" si="81"/>
        <v>7.6033863847732301E-5</v>
      </c>
      <c r="R214" s="21">
        <f t="shared" si="82"/>
        <v>-9.4843317399740243</v>
      </c>
      <c r="S214" s="21">
        <f t="shared" si="74"/>
        <v>-23.498114757670923</v>
      </c>
      <c r="T214" s="21">
        <f t="shared" si="83"/>
        <v>275.14188524232912</v>
      </c>
      <c r="U214" s="21">
        <f t="shared" si="84"/>
        <v>2.0920100641323637E-2</v>
      </c>
      <c r="V214" s="21">
        <f t="shared" si="85"/>
        <v>0.11217026713426585</v>
      </c>
      <c r="W214" s="21"/>
      <c r="X214" s="21"/>
      <c r="Y214" s="1"/>
      <c r="Z214" s="1"/>
      <c r="AA214" s="1"/>
      <c r="AB214" s="21"/>
      <c r="AC214" s="356"/>
      <c r="AD214" s="21" t="s">
        <v>238</v>
      </c>
      <c r="AE214" s="21">
        <f t="shared" si="108"/>
        <v>0.25253201846716317</v>
      </c>
      <c r="AF214" s="21">
        <f t="shared" si="86"/>
        <v>8.4567796129178768E-4</v>
      </c>
      <c r="AG214" s="21">
        <f>MW_Na2O</f>
        <v>6.1978936000000005E-2</v>
      </c>
      <c r="AH214" s="21">
        <f t="shared" si="87"/>
        <v>4.0744813442289995</v>
      </c>
      <c r="AI214" s="21">
        <f>h_Na2O</f>
        <v>-414.2</v>
      </c>
      <c r="AJ214" s="21">
        <f>b_ch_Na2O</f>
        <v>298.64000000000004</v>
      </c>
      <c r="AK214" s="21">
        <f t="shared" si="88"/>
        <v>7.6033863847732301E-5</v>
      </c>
      <c r="AL214" s="21">
        <f t="shared" si="89"/>
        <v>-9.4843317399740243</v>
      </c>
      <c r="AM214" s="21">
        <f t="shared" si="75"/>
        <v>-23.498114757670923</v>
      </c>
      <c r="AN214" s="21">
        <f t="shared" si="90"/>
        <v>275.14188524232912</v>
      </c>
      <c r="AO214" s="21">
        <f t="shared" si="91"/>
        <v>2.0920100641323637E-2</v>
      </c>
      <c r="AP214" s="21">
        <f t="shared" si="92"/>
        <v>1121.0604784358663</v>
      </c>
      <c r="AQ214" s="21"/>
      <c r="AR214" s="21"/>
      <c r="AS214" s="21"/>
      <c r="AT214" s="21"/>
      <c r="AU214" s="21"/>
      <c r="AV214" s="356"/>
      <c r="AW214" s="21" t="s">
        <v>238</v>
      </c>
      <c r="AX214" s="21">
        <f t="shared" si="93"/>
        <v>0.25253201846716317</v>
      </c>
      <c r="AY214" s="21">
        <f t="shared" si="94"/>
        <v>8.4567796129178768E-4</v>
      </c>
      <c r="AZ214" s="21">
        <f>MW_Na2O</f>
        <v>6.1978936000000005E-2</v>
      </c>
      <c r="BA214" s="21">
        <f t="shared" si="95"/>
        <v>4.0744813442289995</v>
      </c>
      <c r="BB214" s="21">
        <f>h_Na2O</f>
        <v>-414.2</v>
      </c>
      <c r="BC214" s="21">
        <f>b_ch_Na2O</f>
        <v>298.64000000000004</v>
      </c>
      <c r="BD214" s="21">
        <f t="shared" si="96"/>
        <v>7.6033863847732301E-5</v>
      </c>
      <c r="BE214" s="21">
        <f t="shared" si="97"/>
        <v>-9.4843317399740243</v>
      </c>
      <c r="BF214" s="21">
        <f t="shared" si="76"/>
        <v>-23.498114757670923</v>
      </c>
      <c r="BG214" s="21">
        <f t="shared" si="98"/>
        <v>275.14188524232912</v>
      </c>
      <c r="BH214" s="21">
        <f t="shared" si="99"/>
        <v>2.0920100641323637E-2</v>
      </c>
      <c r="BI214" s="21">
        <f t="shared" si="100"/>
        <v>1121.0604784358663</v>
      </c>
      <c r="BJ214" s="21"/>
      <c r="BK214" s="21"/>
      <c r="BL214" s="21"/>
      <c r="BM214" s="21"/>
      <c r="BN214" s="21"/>
      <c r="BO214" s="356"/>
      <c r="BP214" s="21" t="s">
        <v>238</v>
      </c>
      <c r="BQ214" s="21">
        <f t="shared" si="101"/>
        <v>0.25253201846716317</v>
      </c>
      <c r="BR214" s="21">
        <f t="shared" si="102"/>
        <v>8.4567796129178768E-4</v>
      </c>
      <c r="BS214" s="21">
        <f>MW_Na2O</f>
        <v>6.1978936000000005E-2</v>
      </c>
      <c r="BT214" s="21">
        <f t="shared" si="103"/>
        <v>4.0744813442289995</v>
      </c>
      <c r="BU214" s="21">
        <f>h_Na2O</f>
        <v>-414.2</v>
      </c>
      <c r="BV214" s="21">
        <f>b_ch_Na2O</f>
        <v>298.64000000000004</v>
      </c>
      <c r="BW214" s="21">
        <f t="shared" si="104"/>
        <v>7.6033863847732301E-5</v>
      </c>
      <c r="BX214" s="21">
        <f t="shared" si="105"/>
        <v>-9.4843317399740243</v>
      </c>
      <c r="BY214" s="21">
        <f t="shared" si="77"/>
        <v>-23.498114757670923</v>
      </c>
      <c r="BZ214" s="21">
        <f t="shared" si="106"/>
        <v>275.14188524232912</v>
      </c>
      <c r="CA214" s="21">
        <f t="shared" si="107"/>
        <v>2.0920100641323637E-2</v>
      </c>
      <c r="CB214" s="21">
        <f t="shared" si="109"/>
        <v>1121.0604784358663</v>
      </c>
      <c r="CC214" s="21"/>
      <c r="CD214" s="21"/>
    </row>
    <row r="215" spans="2:101" ht="19.05" customHeight="1">
      <c r="I215" s="356"/>
      <c r="J215" s="1" t="s">
        <v>14</v>
      </c>
      <c r="K215" s="21">
        <f t="shared" si="78"/>
        <v>3.7879802770074473</v>
      </c>
      <c r="L215" s="21">
        <f t="shared" si="79"/>
        <v>1.2685169419376814E-2</v>
      </c>
      <c r="M215" s="21">
        <f>MW_Fe2O3</f>
        <v>0.1596882</v>
      </c>
      <c r="N215" s="21">
        <f t="shared" si="80"/>
        <v>23.721103231218382</v>
      </c>
      <c r="O215" s="21">
        <f>h_Fe2O3</f>
        <v>-824.2</v>
      </c>
      <c r="P215" s="21">
        <f>b_ch_Fe2O3</f>
        <v>17.358400000000074</v>
      </c>
      <c r="Q215" s="21">
        <f t="shared" si="81"/>
        <v>4.4265931808843556E-4</v>
      </c>
      <c r="R215" s="21">
        <f t="shared" si="82"/>
        <v>-7.7227101174376331</v>
      </c>
      <c r="S215" s="21">
        <f t="shared" si="74"/>
        <v>-19.133570351080191</v>
      </c>
      <c r="T215" s="21">
        <f t="shared" si="83"/>
        <v>-1.7751703510801171</v>
      </c>
      <c r="U215" s="21">
        <f t="shared" si="84"/>
        <v>-7.8579569709993338E-4</v>
      </c>
      <c r="V215" s="21">
        <f t="shared" si="85"/>
        <v>-4.2133121043665921E-3</v>
      </c>
      <c r="W215" s="21"/>
      <c r="X215" s="21"/>
      <c r="Y215" s="14" t="s">
        <v>2</v>
      </c>
      <c r="Z215" s="14" t="s">
        <v>3</v>
      </c>
      <c r="AA215" s="14" t="s">
        <v>475</v>
      </c>
      <c r="AB215" s="3"/>
      <c r="AC215" s="356"/>
      <c r="AD215" s="1" t="s">
        <v>14</v>
      </c>
      <c r="AE215" s="21">
        <f t="shared" si="108"/>
        <v>3.7879802770074473</v>
      </c>
      <c r="AF215" s="21">
        <f t="shared" si="86"/>
        <v>1.2685169419376814E-2</v>
      </c>
      <c r="AG215" s="21">
        <f>MW_Fe2O3</f>
        <v>0.1596882</v>
      </c>
      <c r="AH215" s="21">
        <f t="shared" si="87"/>
        <v>23.721103231218382</v>
      </c>
      <c r="AI215" s="21">
        <f>h_Fe2O3</f>
        <v>-824.2</v>
      </c>
      <c r="AJ215" s="21">
        <f>b_ch_Fe2O3</f>
        <v>17.358400000000074</v>
      </c>
      <c r="AK215" s="21">
        <f t="shared" si="88"/>
        <v>4.4265931808843556E-4</v>
      </c>
      <c r="AL215" s="21">
        <f t="shared" si="89"/>
        <v>-7.7227101174376331</v>
      </c>
      <c r="AM215" s="21">
        <f t="shared" si="75"/>
        <v>-19.133570351080191</v>
      </c>
      <c r="AN215" s="21">
        <f t="shared" si="90"/>
        <v>-1.7751703510801171</v>
      </c>
      <c r="AO215" s="21">
        <f t="shared" si="91"/>
        <v>-7.8579569709993338E-4</v>
      </c>
      <c r="AP215" s="21">
        <f t="shared" si="92"/>
        <v>-42.108999150969638</v>
      </c>
      <c r="AQ215" s="21"/>
      <c r="AR215" s="14" t="s">
        <v>2</v>
      </c>
      <c r="AS215" s="14" t="s">
        <v>3</v>
      </c>
      <c r="AT215" s="14" t="s">
        <v>475</v>
      </c>
      <c r="AU215" s="21"/>
      <c r="AV215" s="356"/>
      <c r="AW215" s="1" t="s">
        <v>14</v>
      </c>
      <c r="AX215" s="21">
        <f t="shared" si="93"/>
        <v>3.7879802770074473</v>
      </c>
      <c r="AY215" s="21">
        <f t="shared" si="94"/>
        <v>1.2685169419376814E-2</v>
      </c>
      <c r="AZ215" s="21">
        <f>MW_Fe2O3</f>
        <v>0.1596882</v>
      </c>
      <c r="BA215" s="21">
        <f t="shared" si="95"/>
        <v>23.721103231218382</v>
      </c>
      <c r="BB215" s="21">
        <f>h_Fe2O3</f>
        <v>-824.2</v>
      </c>
      <c r="BC215" s="21">
        <f>b_ch_Fe2O3</f>
        <v>17.358400000000074</v>
      </c>
      <c r="BD215" s="21">
        <f t="shared" si="96"/>
        <v>4.4265931808843556E-4</v>
      </c>
      <c r="BE215" s="21">
        <f t="shared" si="97"/>
        <v>-7.7227101174376331</v>
      </c>
      <c r="BF215" s="21">
        <f t="shared" si="76"/>
        <v>-19.133570351080191</v>
      </c>
      <c r="BG215" s="21">
        <f t="shared" si="98"/>
        <v>-1.7751703510801171</v>
      </c>
      <c r="BH215" s="21">
        <f t="shared" si="99"/>
        <v>-7.8579569709993338E-4</v>
      </c>
      <c r="BI215" s="21">
        <f t="shared" si="100"/>
        <v>-42.108999150969638</v>
      </c>
      <c r="BJ215" s="21"/>
      <c r="BK215" s="14" t="s">
        <v>2</v>
      </c>
      <c r="BL215" s="14" t="s">
        <v>3</v>
      </c>
      <c r="BM215" s="14" t="s">
        <v>475</v>
      </c>
      <c r="BN215" s="21"/>
      <c r="BO215" s="356"/>
      <c r="BP215" s="1" t="s">
        <v>14</v>
      </c>
      <c r="BQ215" s="21">
        <f t="shared" si="101"/>
        <v>3.7879802770074473</v>
      </c>
      <c r="BR215" s="21">
        <f t="shared" si="102"/>
        <v>1.2685169419376814E-2</v>
      </c>
      <c r="BS215" s="21">
        <f>MW_Fe2O3</f>
        <v>0.1596882</v>
      </c>
      <c r="BT215" s="21">
        <f t="shared" si="103"/>
        <v>23.721103231218382</v>
      </c>
      <c r="BU215" s="21">
        <f>h_Fe2O3</f>
        <v>-824.2</v>
      </c>
      <c r="BV215" s="21">
        <f>b_ch_Fe2O3</f>
        <v>17.358400000000074</v>
      </c>
      <c r="BW215" s="21">
        <f t="shared" si="104"/>
        <v>4.4265931808843556E-4</v>
      </c>
      <c r="BX215" s="21">
        <f t="shared" si="105"/>
        <v>-7.7227101174376331</v>
      </c>
      <c r="BY215" s="21">
        <f t="shared" si="77"/>
        <v>-19.133570351080191</v>
      </c>
      <c r="BZ215" s="21">
        <f t="shared" si="106"/>
        <v>-1.7751703510801171</v>
      </c>
      <c r="CA215" s="21">
        <f t="shared" si="107"/>
        <v>-7.8579569709993338E-4</v>
      </c>
      <c r="CB215" s="21">
        <f t="shared" si="109"/>
        <v>-42.108999150969638</v>
      </c>
      <c r="CC215" s="21"/>
      <c r="CD215" s="21"/>
      <c r="CE215" s="14" t="s">
        <v>2</v>
      </c>
      <c r="CF215" s="14" t="s">
        <v>3</v>
      </c>
      <c r="CG215" s="14" t="s">
        <v>475</v>
      </c>
      <c r="CH215" s="14"/>
      <c r="CI215" s="14"/>
    </row>
    <row r="216" spans="2:101" ht="18.45" customHeight="1">
      <c r="I216" s="356"/>
      <c r="J216" s="1" t="s">
        <v>16</v>
      </c>
      <c r="K216" s="21">
        <f t="shared" si="78"/>
        <v>11.363940831022342</v>
      </c>
      <c r="L216" s="21">
        <f t="shared" si="79"/>
        <v>3.8055508258130442E-2</v>
      </c>
      <c r="M216" s="14">
        <f>MW_SIO2</f>
        <v>6.00843E-2</v>
      </c>
      <c r="N216" s="21">
        <f t="shared" si="80"/>
        <v>189.13328158973877</v>
      </c>
      <c r="O216" s="21">
        <f>h_SiO2</f>
        <v>-910.7</v>
      </c>
      <c r="P216" s="14">
        <f>b_ch_SiO2</f>
        <v>1.5260000000000673</v>
      </c>
      <c r="Q216" s="21">
        <f t="shared" si="81"/>
        <v>3.5294146583435128E-3</v>
      </c>
      <c r="R216" s="21">
        <f t="shared" si="82"/>
        <v>-5.6466232409525929</v>
      </c>
      <c r="S216" s="21">
        <f t="shared" si="74"/>
        <v>-13.989915636333397</v>
      </c>
      <c r="T216" s="21">
        <f t="shared" si="83"/>
        <v>-12.463915636333329</v>
      </c>
      <c r="U216" s="21">
        <f t="shared" si="84"/>
        <v>-4.3990326547231763E-2</v>
      </c>
      <c r="V216" s="21">
        <f t="shared" si="85"/>
        <v>-0.2358691654847779</v>
      </c>
      <c r="W216" s="356" t="s">
        <v>297</v>
      </c>
      <c r="X216" s="21"/>
      <c r="Y216" s="1" t="s">
        <v>477</v>
      </c>
      <c r="Z216" s="1" t="s">
        <v>477</v>
      </c>
      <c r="AA216" s="1" t="s">
        <v>477</v>
      </c>
      <c r="AC216" s="356"/>
      <c r="AD216" s="1" t="s">
        <v>16</v>
      </c>
      <c r="AE216" s="21">
        <f t="shared" si="108"/>
        <v>11.363940831022342</v>
      </c>
      <c r="AF216" s="21">
        <f t="shared" si="86"/>
        <v>3.8055508258130442E-2</v>
      </c>
      <c r="AG216" s="14">
        <f>MW_SIO2</f>
        <v>6.00843E-2</v>
      </c>
      <c r="AH216" s="21">
        <f t="shared" si="87"/>
        <v>189.13328158973877</v>
      </c>
      <c r="AI216" s="21">
        <f>h_SiO2</f>
        <v>-910.7</v>
      </c>
      <c r="AJ216" s="14">
        <f>b_ch_SiO2</f>
        <v>1.5260000000000673</v>
      </c>
      <c r="AK216" s="21">
        <f t="shared" si="88"/>
        <v>3.5294146583435128E-3</v>
      </c>
      <c r="AL216" s="21">
        <f t="shared" si="89"/>
        <v>-5.6466232409525929</v>
      </c>
      <c r="AM216" s="21">
        <f t="shared" si="75"/>
        <v>-13.989915636333397</v>
      </c>
      <c r="AN216" s="21">
        <f t="shared" si="90"/>
        <v>-12.463915636333329</v>
      </c>
      <c r="AO216" s="21">
        <f t="shared" si="91"/>
        <v>-4.3990326547231763E-2</v>
      </c>
      <c r="AP216" s="21">
        <f t="shared" si="92"/>
        <v>-2357.3412657573795</v>
      </c>
      <c r="AQ216" s="21"/>
      <c r="AR216" s="1" t="s">
        <v>477</v>
      </c>
      <c r="AS216" s="1" t="s">
        <v>477</v>
      </c>
      <c r="AT216" s="1" t="s">
        <v>477</v>
      </c>
      <c r="AU216" s="21"/>
      <c r="AV216" s="356"/>
      <c r="AW216" s="1" t="s">
        <v>16</v>
      </c>
      <c r="AX216" s="21">
        <f t="shared" si="93"/>
        <v>11.363940831022342</v>
      </c>
      <c r="AY216" s="21">
        <f t="shared" si="94"/>
        <v>3.8055508258130442E-2</v>
      </c>
      <c r="AZ216" s="14">
        <f>MW_SIO2</f>
        <v>6.00843E-2</v>
      </c>
      <c r="BA216" s="21">
        <f t="shared" si="95"/>
        <v>189.13328158973877</v>
      </c>
      <c r="BB216" s="21">
        <f>h_SiO2</f>
        <v>-910.7</v>
      </c>
      <c r="BC216" s="14">
        <f>b_ch_SiO2</f>
        <v>1.5260000000000673</v>
      </c>
      <c r="BD216" s="21">
        <f t="shared" si="96"/>
        <v>3.5294146583435128E-3</v>
      </c>
      <c r="BE216" s="21">
        <f t="shared" si="97"/>
        <v>-5.6466232409525929</v>
      </c>
      <c r="BF216" s="21">
        <f t="shared" si="76"/>
        <v>-13.989915636333397</v>
      </c>
      <c r="BG216" s="21">
        <f t="shared" si="98"/>
        <v>-12.463915636333329</v>
      </c>
      <c r="BH216" s="21">
        <f t="shared" si="99"/>
        <v>-4.3990326547231763E-2</v>
      </c>
      <c r="BI216" s="21">
        <f t="shared" si="100"/>
        <v>-2357.3412657573795</v>
      </c>
      <c r="BJ216" s="21"/>
      <c r="BK216" s="1" t="s">
        <v>477</v>
      </c>
      <c r="BL216" s="1" t="s">
        <v>477</v>
      </c>
      <c r="BM216" s="1" t="s">
        <v>477</v>
      </c>
      <c r="BN216" s="21"/>
      <c r="BO216" s="356"/>
      <c r="BP216" s="1" t="s">
        <v>16</v>
      </c>
      <c r="BQ216" s="21">
        <f t="shared" si="101"/>
        <v>11.363940831022342</v>
      </c>
      <c r="BR216" s="21">
        <f t="shared" si="102"/>
        <v>3.8055508258130442E-2</v>
      </c>
      <c r="BS216" s="14">
        <f>MW_SIO2</f>
        <v>6.00843E-2</v>
      </c>
      <c r="BT216" s="21">
        <f t="shared" si="103"/>
        <v>189.13328158973877</v>
      </c>
      <c r="BU216" s="21">
        <f>h_SiO2</f>
        <v>-910.7</v>
      </c>
      <c r="BV216" s="14">
        <f>b_ch_SiO2</f>
        <v>1.5260000000000673</v>
      </c>
      <c r="BW216" s="21">
        <f t="shared" si="104"/>
        <v>3.5294146583435128E-3</v>
      </c>
      <c r="BX216" s="21">
        <f t="shared" si="105"/>
        <v>-5.6466232409525929</v>
      </c>
      <c r="BY216" s="21">
        <f t="shared" si="77"/>
        <v>-13.989915636333397</v>
      </c>
      <c r="BZ216" s="21">
        <f t="shared" si="106"/>
        <v>-12.463915636333329</v>
      </c>
      <c r="CA216" s="21">
        <f t="shared" si="107"/>
        <v>-4.3990326547231763E-2</v>
      </c>
      <c r="CB216" s="21">
        <f t="shared" si="109"/>
        <v>-2357.3412657573795</v>
      </c>
      <c r="CC216" s="21"/>
      <c r="CD216" s="21"/>
      <c r="CE216" s="1" t="s">
        <v>477</v>
      </c>
      <c r="CF216" s="1" t="s">
        <v>477</v>
      </c>
      <c r="CG216" s="1" t="s">
        <v>477</v>
      </c>
      <c r="CH216" s="1"/>
      <c r="CI216" s="1"/>
      <c r="CU216" s="21"/>
      <c r="CV216" s="179" t="s">
        <v>1</v>
      </c>
      <c r="CW216" s="178" t="s">
        <v>0</v>
      </c>
    </row>
    <row r="217" spans="2:101" ht="18" customHeight="1">
      <c r="J217" s="1" t="s">
        <v>528</v>
      </c>
      <c r="K217" s="21">
        <f>AE217</f>
        <v>0.50506403693432633</v>
      </c>
      <c r="L217" s="21">
        <f t="shared" si="79"/>
        <v>1.6913559225835754E-3</v>
      </c>
      <c r="M217" s="14">
        <f>MW_K2O</f>
        <v>9.4196000000000002E-2</v>
      </c>
      <c r="N217" s="21">
        <f t="shared" si="80"/>
        <v>5.3618416592458953</v>
      </c>
      <c r="O217" s="14">
        <f>h_K2O</f>
        <v>-284.89999999999998</v>
      </c>
      <c r="P217" s="14">
        <f>b_ch_K2O</f>
        <v>412.83199999999999</v>
      </c>
      <c r="Q217" s="21">
        <f t="shared" si="81"/>
        <v>1.0005728441231718E-4</v>
      </c>
      <c r="R217" s="21">
        <f t="shared" si="82"/>
        <v>-9.2097676918655722</v>
      </c>
      <c r="S217" s="21">
        <f t="shared" si="74"/>
        <v>-22.817862559870768</v>
      </c>
      <c r="T217" s="21">
        <f t="shared" si="83"/>
        <v>390.01413744012922</v>
      </c>
      <c r="U217" s="21">
        <f t="shared" si="84"/>
        <v>3.9023755474671573E-2</v>
      </c>
      <c r="V217" s="21">
        <f t="shared" si="85"/>
        <v>0.20923919780431913</v>
      </c>
      <c r="W217" s="356"/>
      <c r="X217" s="21" t="s">
        <v>59</v>
      </c>
      <c r="Y217" s="14" t="s">
        <v>476</v>
      </c>
      <c r="Z217" s="14" t="s">
        <v>476</v>
      </c>
      <c r="AA217" s="14" t="s">
        <v>476</v>
      </c>
      <c r="AC217" s="21"/>
      <c r="AD217" s="1" t="s">
        <v>528</v>
      </c>
      <c r="AE217" s="21">
        <f t="shared" si="108"/>
        <v>0.50506403693432633</v>
      </c>
      <c r="AF217" s="21">
        <f t="shared" si="86"/>
        <v>1.6913559225835754E-3</v>
      </c>
      <c r="AG217" s="21">
        <f>MW_K2O</f>
        <v>9.4196000000000002E-2</v>
      </c>
      <c r="AH217" s="21">
        <f>AE217/AG217</f>
        <v>5.3618416592458953</v>
      </c>
      <c r="AI217" s="14">
        <f>h_K2O</f>
        <v>-284.89999999999998</v>
      </c>
      <c r="AJ217" s="14">
        <f>b_ch_K2O</f>
        <v>412.83199999999999</v>
      </c>
      <c r="AK217" s="21">
        <f>AH217/$BA$218</f>
        <v>1.0005728441231718E-4</v>
      </c>
      <c r="AL217" s="21">
        <f>LN(AK217)</f>
        <v>-9.2097676918655722</v>
      </c>
      <c r="AM217" s="21">
        <f t="shared" si="75"/>
        <v>-22.817862559870768</v>
      </c>
      <c r="AN217" s="21">
        <f t="shared" si="90"/>
        <v>390.01413744012922</v>
      </c>
      <c r="AO217" s="21">
        <f t="shared" si="91"/>
        <v>3.9023755474671573E-2</v>
      </c>
      <c r="AP217" s="21">
        <f t="shared" si="92"/>
        <v>2091.1940498213389</v>
      </c>
      <c r="AQ217" s="21" t="s">
        <v>59</v>
      </c>
      <c r="AR217" s="14" t="s">
        <v>476</v>
      </c>
      <c r="AS217" s="14" t="s">
        <v>476</v>
      </c>
      <c r="AT217" s="14" t="s">
        <v>476</v>
      </c>
      <c r="AU217" s="21"/>
      <c r="AV217" s="21"/>
      <c r="AW217" s="1" t="s">
        <v>528</v>
      </c>
      <c r="AX217" s="21">
        <f>BQ217</f>
        <v>0.50506403693432633</v>
      </c>
      <c r="AY217" s="21">
        <f t="shared" si="94"/>
        <v>1.6913559225835754E-3</v>
      </c>
      <c r="AZ217" s="21">
        <f>MW_K2O</f>
        <v>9.4196000000000002E-2</v>
      </c>
      <c r="BA217" s="21">
        <f>AX217/AZ217</f>
        <v>5.3618416592458953</v>
      </c>
      <c r="BB217" s="14">
        <f>h_K2O</f>
        <v>-284.89999999999998</v>
      </c>
      <c r="BC217" s="14">
        <f>b_ch_K2O</f>
        <v>412.83199999999999</v>
      </c>
      <c r="BD217" s="21">
        <f>BA217/$BA$218</f>
        <v>1.0005728441231718E-4</v>
      </c>
      <c r="BE217" s="21">
        <f>LN(BD217)</f>
        <v>-9.2097676918655722</v>
      </c>
      <c r="BF217" s="21">
        <f t="shared" si="76"/>
        <v>-22.817862559870768</v>
      </c>
      <c r="BG217" s="21">
        <f t="shared" si="98"/>
        <v>390.01413744012922</v>
      </c>
      <c r="BH217" s="21">
        <f t="shared" si="99"/>
        <v>3.9023755474671573E-2</v>
      </c>
      <c r="BI217" s="21">
        <f t="shared" si="100"/>
        <v>2091.1940498213389</v>
      </c>
      <c r="BJ217" s="21" t="s">
        <v>59</v>
      </c>
      <c r="BK217" s="14" t="s">
        <v>476</v>
      </c>
      <c r="BL217" s="14" t="s">
        <v>476</v>
      </c>
      <c r="BM217" s="14" t="s">
        <v>476</v>
      </c>
      <c r="BN217" s="21"/>
      <c r="BO217" s="21"/>
      <c r="BP217" s="1" t="s">
        <v>528</v>
      </c>
      <c r="BQ217" s="21">
        <f t="shared" si="101"/>
        <v>0.50506403693432633</v>
      </c>
      <c r="BR217" s="21">
        <f t="shared" si="102"/>
        <v>1.6913559225835754E-3</v>
      </c>
      <c r="BS217" s="21">
        <f>MW_K2O</f>
        <v>9.4196000000000002E-2</v>
      </c>
      <c r="BT217" s="21">
        <f t="shared" si="103"/>
        <v>5.3618416592458953</v>
      </c>
      <c r="BU217" s="14">
        <f>h_K2O</f>
        <v>-284.89999999999998</v>
      </c>
      <c r="BV217" s="14">
        <f>b_ch_K2O</f>
        <v>412.83199999999999</v>
      </c>
      <c r="BW217" s="21">
        <f t="shared" si="104"/>
        <v>1.0005728441231718E-4</v>
      </c>
      <c r="BX217" s="21">
        <f t="shared" si="105"/>
        <v>-9.2097676918655722</v>
      </c>
      <c r="BY217" s="21">
        <f t="shared" si="77"/>
        <v>-22.817862559870768</v>
      </c>
      <c r="BZ217" s="21">
        <f t="shared" si="106"/>
        <v>390.01413744012922</v>
      </c>
      <c r="CA217" s="21">
        <f t="shared" si="107"/>
        <v>3.9023755474671573E-2</v>
      </c>
      <c r="CB217" s="21">
        <f t="shared" si="109"/>
        <v>2091.1940498213389</v>
      </c>
      <c r="CC217" s="21"/>
      <c r="CD217" s="21" t="s">
        <v>59</v>
      </c>
      <c r="CE217" s="14" t="s">
        <v>476</v>
      </c>
      <c r="CF217" s="14" t="s">
        <v>476</v>
      </c>
      <c r="CG217" s="14" t="s">
        <v>476</v>
      </c>
      <c r="CJ217" s="164"/>
      <c r="CU217" s="21"/>
      <c r="CV217" s="181" t="s">
        <v>83</v>
      </c>
      <c r="CW217" s="180" t="s">
        <v>87</v>
      </c>
    </row>
    <row r="218" spans="2:101" ht="18" customHeight="1">
      <c r="J218" s="23" t="s">
        <v>18</v>
      </c>
      <c r="K218" s="23">
        <f>SUM(K210:K217)</f>
        <v>298.6148747230165</v>
      </c>
      <c r="L218" s="23">
        <f>SUM(L210:L217)</f>
        <v>1.0000000000000004</v>
      </c>
      <c r="M218" s="23">
        <f>SUM(M210:M217)</f>
        <v>754.33705407660659</v>
      </c>
      <c r="N218" s="23">
        <f>SUM(N210:N217)</f>
        <v>53587.719182451103</v>
      </c>
      <c r="O218" s="18">
        <f t="array" ref="O218">SUM(K210:K217*O210:O217) / K218</f>
        <v>23054812.906863328</v>
      </c>
      <c r="P218" s="18"/>
      <c r="Q218" s="23">
        <f>SUM(Q210:Q217)</f>
        <v>1.0000000000000002</v>
      </c>
      <c r="R218" s="18"/>
      <c r="S218" s="18"/>
      <c r="T218" s="18"/>
      <c r="U218" s="23">
        <f>SUM(U210:U217)</f>
        <v>165.25809374691713</v>
      </c>
      <c r="V218" s="23">
        <f>SUM(V210:V217)</f>
        <v>8850991.3601140417</v>
      </c>
      <c r="W218" s="356"/>
      <c r="X218" s="21" t="s">
        <v>17</v>
      </c>
      <c r="Y218" s="33">
        <f>(N210)+(12*N226)</f>
        <v>53292.826569533201</v>
      </c>
      <c r="Z218" s="33">
        <f>AH210+AH231</f>
        <v>53292.826569533201</v>
      </c>
      <c r="AA218" s="14">
        <f>Y218-Z218</f>
        <v>0</v>
      </c>
      <c r="AC218" s="21"/>
      <c r="AD218" s="18" t="s">
        <v>18</v>
      </c>
      <c r="AE218" s="18">
        <f>SUM(AE210:AE217)</f>
        <v>298.6148747230165</v>
      </c>
      <c r="AF218" s="18">
        <f>SUM(AF210:AF217)</f>
        <v>1.0000000000000004</v>
      </c>
      <c r="AG218" s="18">
        <f>SUM(AG210:AG217)</f>
        <v>754.33705407660659</v>
      </c>
      <c r="AH218" s="18">
        <f>SUM(AH210:AH217)</f>
        <v>53587.719182451103</v>
      </c>
      <c r="AI218" s="18">
        <f t="array" ref="AI218">SUM(AE210:AE217*AI210:AI217) / AE218</f>
        <v>23054812.906863328</v>
      </c>
      <c r="AJ218" s="18"/>
      <c r="AK218" s="18"/>
      <c r="AL218" s="18"/>
      <c r="AM218" s="18"/>
      <c r="AN218" s="18"/>
      <c r="AO218" s="18">
        <f>SUM(AO210:AO217)</f>
        <v>165.25809374691713</v>
      </c>
      <c r="AP218" s="18">
        <f>SUM(AP210:AP217)</f>
        <v>8855804.320336977</v>
      </c>
      <c r="AQ218" s="21" t="s">
        <v>17</v>
      </c>
      <c r="AR218" s="33">
        <f>AH210</f>
        <v>53256.078525349229</v>
      </c>
      <c r="AS218" s="33">
        <f>BA210</f>
        <v>53256.078525349229</v>
      </c>
      <c r="AT218" s="14">
        <f>AR218-AS218</f>
        <v>0</v>
      </c>
      <c r="AU218" s="21"/>
      <c r="AV218" s="21"/>
      <c r="AW218" s="18" t="s">
        <v>18</v>
      </c>
      <c r="AX218" s="18">
        <f>SUM(AX210:AX217)</f>
        <v>298.6148747230165</v>
      </c>
      <c r="AY218" s="18">
        <f>SUM(AY210:AY217)</f>
        <v>1.0000000000000004</v>
      </c>
      <c r="AZ218" s="18">
        <f>SUM(AZ210:AZ217)</f>
        <v>754.33705407660659</v>
      </c>
      <c r="BA218" s="18">
        <f>SUM(BA210:BA217)</f>
        <v>53587.719182451103</v>
      </c>
      <c r="BB218" s="18">
        <f t="array" ref="BB218">SUM(AX210:AX217*BB210:BB217) / AX218</f>
        <v>23054812.906863328</v>
      </c>
      <c r="BC218" s="18"/>
      <c r="BD218" s="18"/>
      <c r="BE218" s="18"/>
      <c r="BF218" s="18"/>
      <c r="BG218" s="18"/>
      <c r="BH218" s="18">
        <f>SUM(BH210:BH217)</f>
        <v>165.25809374691713</v>
      </c>
      <c r="BI218" s="18">
        <f>SUM(BI210:BI217)</f>
        <v>8855804.320336977</v>
      </c>
      <c r="BJ218" s="21" t="s">
        <v>17</v>
      </c>
      <c r="BK218" s="33">
        <f>BA210</f>
        <v>53256.078525349229</v>
      </c>
      <c r="BL218" s="33">
        <f>BT210</f>
        <v>53256.078525349229</v>
      </c>
      <c r="BM218" s="14">
        <f>BK218-BL218</f>
        <v>0</v>
      </c>
      <c r="BN218" s="1"/>
      <c r="BO218" s="21"/>
      <c r="BP218" s="18" t="s">
        <v>18</v>
      </c>
      <c r="BQ218" s="18">
        <f>SUM(BQ210:BQ217)</f>
        <v>298.6148747230165</v>
      </c>
      <c r="BR218" s="18">
        <f>SUM(BR210:BR217)</f>
        <v>1.0000000000000004</v>
      </c>
      <c r="BS218" s="18">
        <f>SUM(BS210:BS217)</f>
        <v>754.33705407660659</v>
      </c>
      <c r="BT218" s="18">
        <f>SUM(BT210:BT217)</f>
        <v>53587.719182451103</v>
      </c>
      <c r="BU218" s="18">
        <f t="array" ref="BU218">SUM(BQ210:BQ217*BU210:BU217) / BQ218</f>
        <v>23054812.906863328</v>
      </c>
      <c r="BV218" s="18"/>
      <c r="BW218" s="18"/>
      <c r="BX218" s="18"/>
      <c r="BY218" s="18"/>
      <c r="BZ218" s="18"/>
      <c r="CA218" s="18">
        <f>SUM(CA210:CA217)</f>
        <v>165.25809374691713</v>
      </c>
      <c r="CB218" s="18">
        <f>SUM(CB210:CB217)</f>
        <v>8855804.320336977</v>
      </c>
      <c r="CC218" s="21"/>
      <c r="CD218" s="21" t="s">
        <v>17</v>
      </c>
      <c r="CE218" s="33">
        <f>(BT210/coal_C_coeff)+BT248</f>
        <v>32037.942345649131</v>
      </c>
      <c r="CF218" s="33">
        <f>(mol_C_to_BF/coke_C_coeff)+CO240+CO241+CO256+CO242+(10*CO271)+(14*CO272)+(16*CO273)+(24*CO274)+(12*CO275)+(13*CO276)+(18*CO277)+CO278</f>
        <v>32037.942345649131</v>
      </c>
      <c r="CG218" s="14">
        <f>CE218-CF218</f>
        <v>0</v>
      </c>
      <c r="CJ218" s="164"/>
      <c r="CR218" s="14" t="s">
        <v>421</v>
      </c>
      <c r="CU218" s="21"/>
      <c r="CV218" s="177">
        <f>CL229</f>
        <v>25.253201846716312</v>
      </c>
      <c r="CW218" s="175">
        <f>CW229</f>
        <v>8991.620323109395</v>
      </c>
    </row>
    <row r="219" spans="2:101" ht="21" customHeight="1">
      <c r="K219" s="1" t="s">
        <v>83</v>
      </c>
      <c r="L219" s="1"/>
      <c r="M219" s="14" t="s">
        <v>85</v>
      </c>
      <c r="N219" s="14" t="s">
        <v>81</v>
      </c>
      <c r="O219" s="1" t="s">
        <v>640</v>
      </c>
      <c r="P219" s="21"/>
      <c r="Q219" s="21"/>
      <c r="U219" s="14" t="s">
        <v>90</v>
      </c>
      <c r="V219" s="1" t="s">
        <v>87</v>
      </c>
      <c r="W219" s="356"/>
      <c r="X219" s="14" t="s">
        <v>135</v>
      </c>
      <c r="Y219" s="61">
        <f>(mol_H_Coal*N210)+(23*N226)</f>
        <v>92623.432082250409</v>
      </c>
      <c r="Z219" s="61">
        <f>(mol_H_Coal*AH210)+(2*AH232)</f>
        <v>92623.432082250409</v>
      </c>
      <c r="AA219" s="14">
        <f t="shared" ref="AA219:AA227" si="110">Y219-Z219</f>
        <v>0</v>
      </c>
      <c r="AE219" s="1" t="s">
        <v>83</v>
      </c>
      <c r="AF219" s="1"/>
      <c r="AG219" s="14" t="s">
        <v>85</v>
      </c>
      <c r="AH219" s="14" t="s">
        <v>81</v>
      </c>
      <c r="AI219" s="1" t="s">
        <v>640</v>
      </c>
      <c r="AJ219" s="21"/>
      <c r="AK219" s="21"/>
      <c r="AO219" s="14" t="s">
        <v>90</v>
      </c>
      <c r="AP219" s="1" t="s">
        <v>87</v>
      </c>
      <c r="AQ219" s="14" t="s">
        <v>135</v>
      </c>
      <c r="AR219" s="61">
        <f>(mol_H_Coal*AH210)</f>
        <v>92552.998330897797</v>
      </c>
      <c r="AS219" s="61">
        <f>mol_H_Coal*BA210</f>
        <v>92552.998330897797</v>
      </c>
      <c r="AT219" s="14">
        <f t="shared" ref="AT219:AT227" si="111">AR219-AS219</f>
        <v>0</v>
      </c>
      <c r="AX219" s="1" t="s">
        <v>83</v>
      </c>
      <c r="AY219" s="1"/>
      <c r="AZ219" s="14" t="s">
        <v>85</v>
      </c>
      <c r="BA219" s="14" t="s">
        <v>81</v>
      </c>
      <c r="BB219" s="1" t="s">
        <v>640</v>
      </c>
      <c r="BC219" s="21"/>
      <c r="BD219" s="21"/>
      <c r="BH219" s="14" t="s">
        <v>90</v>
      </c>
      <c r="BI219" s="1" t="s">
        <v>87</v>
      </c>
      <c r="BJ219" s="14" t="s">
        <v>135</v>
      </c>
      <c r="BK219" s="61">
        <f>(mol_H_Coal*BA210)</f>
        <v>92552.998330897797</v>
      </c>
      <c r="BL219" s="61">
        <f>mol_H_Coal*BT210</f>
        <v>92552.998330897797</v>
      </c>
      <c r="BM219" s="14">
        <f t="shared" ref="BM219:BM227" si="112">BK219-BL219</f>
        <v>0</v>
      </c>
      <c r="BN219" s="21"/>
      <c r="BO219" s="21"/>
      <c r="BQ219" s="1" t="s">
        <v>83</v>
      </c>
      <c r="BR219" s="1"/>
      <c r="BS219" s="14" t="s">
        <v>85</v>
      </c>
      <c r="BT219" s="14" t="s">
        <v>81</v>
      </c>
      <c r="BU219" s="1" t="s">
        <v>640</v>
      </c>
      <c r="BV219" s="21"/>
      <c r="BW219" s="21"/>
      <c r="CA219" s="14" t="s">
        <v>90</v>
      </c>
      <c r="CB219" s="1" t="s">
        <v>87</v>
      </c>
      <c r="CD219" s="14" t="s">
        <v>135</v>
      </c>
      <c r="CE219" s="33">
        <f>(BT210/coal_H_coeff)+(4*Ore_to_PI!BT248)</f>
        <v>84461.311317275366</v>
      </c>
      <c r="CF219" s="33">
        <f>(2*CO238)+(2*CO239)+(2*CO255)+(mol_C_to_BF/coke_H_coeff)+(4*CO242)+(8*CO271)+(10*CO272)+(10*CO273)+(26*CO274)+(10*CO275)+(10*CO276)+(12*CO277)+(2*CO279)</f>
        <v>84461.311317275351</v>
      </c>
      <c r="CG219" s="14">
        <f>CE219-CF219</f>
        <v>0</v>
      </c>
      <c r="CJ219" s="164"/>
      <c r="CU219" s="21"/>
      <c r="CV219" s="21"/>
    </row>
    <row r="220" spans="2:101" ht="18" customHeight="1"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179" t="s">
        <v>1</v>
      </c>
      <c r="V220" s="178" t="s">
        <v>0</v>
      </c>
      <c r="W220" s="356"/>
      <c r="X220" s="14" t="s">
        <v>28</v>
      </c>
      <c r="Y220" s="61">
        <f>(mol_O_Coal*N210)+(3*N211)+N212+N213+N214+(3*N215)+(2*N216)+(2*N240)</f>
        <v>1528.2388768231481</v>
      </c>
      <c r="Z220" s="61">
        <f>(mol_O_Coal*AH210)+(3*AH211)+AH212+AH213+AH214+(3*AH215)+(2*AH216)+(2*AH231)+AH232</f>
        <v>1528.2388768231483</v>
      </c>
      <c r="AA220" s="14">
        <f t="shared" si="110"/>
        <v>0</v>
      </c>
      <c r="AQ220" s="14" t="s">
        <v>28</v>
      </c>
      <c r="AR220" s="61">
        <f>(mol_O_Coal*AH210)+(3*AH211)+AH212+AH213+AH214+(3*AH215)+(2*AH216)</f>
        <v>1419.5259127788902</v>
      </c>
      <c r="AS220" s="61">
        <f>(mol_O_Coal*BA210)+(3*BA211)+BA212+BA213+BA214+(3*BA215)+(2*BA216)</f>
        <v>1419.5259127788902</v>
      </c>
      <c r="AT220" s="14">
        <f t="shared" si="111"/>
        <v>0</v>
      </c>
      <c r="BH220" s="21"/>
      <c r="BI220" s="21"/>
      <c r="BJ220" s="14" t="s">
        <v>28</v>
      </c>
      <c r="BK220" s="61">
        <f>(mol_O_Coal*BA210)+(3*BA211)+BA212+BA213+BA214+(3*BA215)+(2*BA216)</f>
        <v>1419.5259127788902</v>
      </c>
      <c r="BL220" s="61">
        <f>(mol_O_Coal*BT210)+(3*BT211)+BT212+BT213+BT214+(3*BT215)+(2*BT216)</f>
        <v>1419.5259127788902</v>
      </c>
      <c r="BM220" s="14">
        <f t="shared" si="112"/>
        <v>0</v>
      </c>
      <c r="BN220" s="21"/>
      <c r="BO220" s="21"/>
      <c r="BP220" s="21"/>
      <c r="BQ220" s="21"/>
      <c r="BR220" s="21"/>
      <c r="BS220" s="21"/>
      <c r="BT220" s="21"/>
      <c r="BU220" s="21"/>
      <c r="BV220" s="21"/>
      <c r="BW220" s="21"/>
      <c r="BX220" s="21"/>
      <c r="BY220" s="21"/>
      <c r="BZ220" s="21"/>
      <c r="CA220" s="21"/>
      <c r="CB220" s="21"/>
      <c r="CD220" s="14" t="s">
        <v>28</v>
      </c>
      <c r="CE220" s="33">
        <f>(3*BT211)+(BT212)+BT213+BT214+(3*BT215)+(2*BT216)+(BT210/coal_O_coeff)+(2*BT236)+BT217</f>
        <v>51869.39719799607</v>
      </c>
      <c r="CF220" s="33">
        <f>(3*CO222)+CO223+CO224+CO225+(3*CO226)+(2*CO227)+CO240+(2*CO241)+(2*CO256) +CO255+CO228+(mol_C_to_BF/coke_O_coeff)+(2*CO281)</f>
        <v>51869.39719799607</v>
      </c>
      <c r="CG220" s="14">
        <f t="shared" ref="CG220:CG228" si="113">CE220-CF220</f>
        <v>0</v>
      </c>
      <c r="CJ220" s="164"/>
      <c r="CK220" s="21"/>
      <c r="CL220" s="1" t="s">
        <v>449</v>
      </c>
      <c r="CM220" s="1" t="s">
        <v>450</v>
      </c>
      <c r="CN220" s="1" t="s">
        <v>579</v>
      </c>
      <c r="CO220" s="1" t="s">
        <v>79</v>
      </c>
      <c r="CP220" s="1" t="s">
        <v>509</v>
      </c>
      <c r="CQ220" s="1" t="s">
        <v>6</v>
      </c>
      <c r="CR220" s="1" t="s">
        <v>7</v>
      </c>
      <c r="CS220" s="1" t="s">
        <v>8</v>
      </c>
      <c r="CT220" s="1" t="s">
        <v>9</v>
      </c>
      <c r="CU220" s="1" t="s">
        <v>48</v>
      </c>
      <c r="CV220" s="1" t="s">
        <v>451</v>
      </c>
      <c r="CW220" s="1" t="s">
        <v>49</v>
      </c>
    </row>
    <row r="221" spans="2:101" ht="16.95" customHeight="1"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181" t="s">
        <v>83</v>
      </c>
      <c r="V221" s="180" t="s">
        <v>87</v>
      </c>
      <c r="W221" s="356"/>
      <c r="X221" s="14" t="s">
        <v>284</v>
      </c>
      <c r="Y221" s="33">
        <f>(mol_N_Coal*N210)+(2*N241)</f>
        <v>469.79713968841332</v>
      </c>
      <c r="Z221" s="33">
        <f>(mol_N_Coal*AH210)+(2*AH233)</f>
        <v>469.79713968841332</v>
      </c>
      <c r="AA221" s="14">
        <f t="shared" si="110"/>
        <v>0</v>
      </c>
      <c r="AQ221" s="14" t="s">
        <v>284</v>
      </c>
      <c r="AR221" s="33">
        <f>mol_N_Coal*AH210</f>
        <v>61.036394882003421</v>
      </c>
      <c r="AS221" s="33">
        <f>mol_N_Coal*BA210</f>
        <v>61.036394882003421</v>
      </c>
      <c r="AT221" s="14">
        <f t="shared" si="111"/>
        <v>0</v>
      </c>
      <c r="BJ221" s="14" t="s">
        <v>284</v>
      </c>
      <c r="BK221" s="33">
        <f>mol_N_Coal*BA210</f>
        <v>61.036394882003421</v>
      </c>
      <c r="BL221" s="33">
        <f>mol_N_Coal*BT210</f>
        <v>61.036394882003421</v>
      </c>
      <c r="BM221" s="14">
        <f t="shared" si="112"/>
        <v>0</v>
      </c>
      <c r="CD221" s="14" t="s">
        <v>284</v>
      </c>
      <c r="CE221" s="33">
        <f>(BT210/coal_N_coeff)+(2*BT237)</f>
        <v>191390.29432931638</v>
      </c>
      <c r="CF221" s="33">
        <f>(mol_C_to_BF/coke_N_coeff)+(2*CO257)+(2*CO280)</f>
        <v>191390.29432931638</v>
      </c>
      <c r="CG221" s="14">
        <f t="shared" si="113"/>
        <v>0</v>
      </c>
      <c r="CJ221" s="164"/>
      <c r="CK221" s="21" t="s">
        <v>40</v>
      </c>
      <c r="CL221" s="1" t="s">
        <v>82</v>
      </c>
      <c r="CM221" s="21" t="s">
        <v>213</v>
      </c>
      <c r="CN221" s="1" t="s">
        <v>84</v>
      </c>
      <c r="CO221" s="1" t="s">
        <v>80</v>
      </c>
      <c r="CP221" s="1" t="s">
        <v>89</v>
      </c>
      <c r="CQ221" s="1" t="s">
        <v>89</v>
      </c>
      <c r="CR221" s="1" t="s">
        <v>24</v>
      </c>
      <c r="CS221" s="1" t="s">
        <v>91</v>
      </c>
      <c r="CT221" s="1" t="s">
        <v>89</v>
      </c>
      <c r="CU221" s="1" t="s">
        <v>89</v>
      </c>
      <c r="CV221" s="1" t="s">
        <v>88</v>
      </c>
      <c r="CW221" s="1" t="s">
        <v>86</v>
      </c>
    </row>
    <row r="222" spans="2:101" ht="16.95" customHeight="1">
      <c r="B222" s="348" t="s">
        <v>386</v>
      </c>
      <c r="C222" s="348"/>
      <c r="D222" s="348"/>
      <c r="E222" s="348"/>
      <c r="F222" s="348"/>
      <c r="G222" s="348"/>
      <c r="H222" s="348"/>
      <c r="J222" s="21"/>
      <c r="K222" s="21"/>
      <c r="L222" s="21"/>
      <c r="M222" s="21"/>
      <c r="N222" s="21"/>
      <c r="O222" s="21"/>
      <c r="P222" s="21"/>
      <c r="Q222" s="134" t="s">
        <v>466</v>
      </c>
      <c r="R222" s="21"/>
      <c r="S222" s="21"/>
      <c r="T222" s="21"/>
      <c r="U222" s="177">
        <f>L227</f>
        <v>0.51237375403207552</v>
      </c>
      <c r="V222" s="175">
        <f>V227</f>
        <v>23309.045257575242</v>
      </c>
      <c r="X222" s="14" t="s">
        <v>239</v>
      </c>
      <c r="Y222" s="33">
        <f>2*N211</f>
        <v>148.60466056564917</v>
      </c>
      <c r="Z222" s="33">
        <f>2*AH211</f>
        <v>148.60466056564917</v>
      </c>
      <c r="AA222" s="14">
        <f t="shared" si="110"/>
        <v>0</v>
      </c>
      <c r="AQ222" s="14" t="s">
        <v>239</v>
      </c>
      <c r="AR222" s="33">
        <f>2*AH211</f>
        <v>148.60466056564917</v>
      </c>
      <c r="AS222" s="33">
        <f>2*BA211</f>
        <v>148.60466056564917</v>
      </c>
      <c r="AT222" s="14">
        <f t="shared" si="111"/>
        <v>0</v>
      </c>
      <c r="BJ222" s="14" t="s">
        <v>239</v>
      </c>
      <c r="BK222" s="33">
        <f>2*BA211</f>
        <v>148.60466056564917</v>
      </c>
      <c r="BL222" s="33">
        <f>2*BT211</f>
        <v>148.60466056564917</v>
      </c>
      <c r="BM222" s="14">
        <f t="shared" si="112"/>
        <v>0</v>
      </c>
      <c r="CD222" s="14" t="s">
        <v>239</v>
      </c>
      <c r="CE222" s="33">
        <f>2*BT211</f>
        <v>148.60466056564917</v>
      </c>
      <c r="CF222" s="33">
        <f>2*CO222</f>
        <v>148.60466056564917</v>
      </c>
      <c r="CG222" s="14">
        <f>CE222-CF222</f>
        <v>0</v>
      </c>
      <c r="CJ222" s="356" t="s">
        <v>421</v>
      </c>
      <c r="CK222" s="23" t="s">
        <v>237</v>
      </c>
      <c r="CL222" s="23">
        <f>Calculators!K107</f>
        <v>7.5759605540148947</v>
      </c>
      <c r="CM222" s="23">
        <f t="shared" ref="CM222:CM228" si="114">CL222/$CL$229</f>
        <v>0.30000000000000004</v>
      </c>
      <c r="CN222" s="23">
        <f>MW_Al2O3</f>
        <v>0.10196127799999999</v>
      </c>
      <c r="CO222" s="23">
        <f>CL222/CN222</f>
        <v>74.302330282824585</v>
      </c>
      <c r="CP222" s="23">
        <f>h_Al2O3</f>
        <v>-1675.7</v>
      </c>
      <c r="CQ222" s="23">
        <f>b_ch_Al2O3</f>
        <v>31.875999999999976</v>
      </c>
      <c r="CR222" s="23">
        <f t="shared" ref="CR222:CR228" si="115">CO222/$CO$229</f>
        <v>0.22404469624482512</v>
      </c>
      <c r="CS222" s="23">
        <f t="shared" ref="CS222:CS228" si="116">LN(CR222)</f>
        <v>-1.4959097102246632</v>
      </c>
      <c r="CT222" s="23">
        <f t="shared" ref="CT222:CT228" si="117">RT0*CS222</f>
        <v>-3.7062240125807393</v>
      </c>
      <c r="CU222" s="23">
        <f t="shared" ref="CU222:CU228" si="118">CT222+CQ222</f>
        <v>28.169775987419236</v>
      </c>
      <c r="CV222" s="23">
        <f t="shared" ref="CV222:CV227" si="119">CU222*CR222</f>
        <v>6.3112889043861111</v>
      </c>
      <c r="CW222" s="23">
        <f t="shared" ref="CW222:CW228" si="120">CV222*$CO$229</f>
        <v>2093.079999410405</v>
      </c>
    </row>
    <row r="223" spans="2:101">
      <c r="B223" s="361"/>
      <c r="C223" s="361"/>
      <c r="D223" s="361"/>
      <c r="E223" s="361"/>
      <c r="F223" s="361"/>
      <c r="G223" s="361"/>
      <c r="H223" s="36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X223" s="14" t="s">
        <v>30</v>
      </c>
      <c r="Y223" s="33">
        <f>N212</f>
        <v>22.516380793970754</v>
      </c>
      <c r="Z223" s="33">
        <f>AH212</f>
        <v>22.516380793970754</v>
      </c>
      <c r="AA223" s="14">
        <f t="shared" si="110"/>
        <v>0</v>
      </c>
      <c r="AQ223" s="14" t="s">
        <v>30</v>
      </c>
      <c r="AR223" s="33">
        <f>AH212</f>
        <v>22.516380793970754</v>
      </c>
      <c r="AS223" s="33">
        <f>BA212</f>
        <v>22.516380793970754</v>
      </c>
      <c r="AT223" s="14">
        <f t="shared" si="111"/>
        <v>0</v>
      </c>
      <c r="AW223" t="s">
        <v>792</v>
      </c>
      <c r="BJ223" s="14" t="s">
        <v>30</v>
      </c>
      <c r="BK223" s="33">
        <f>BA212</f>
        <v>22.516380793970754</v>
      </c>
      <c r="BL223" s="33">
        <f>BT212</f>
        <v>22.516380793970754</v>
      </c>
      <c r="BM223" s="14">
        <f t="shared" si="112"/>
        <v>0</v>
      </c>
      <c r="BN223" s="52"/>
      <c r="BQ223" t="s">
        <v>793</v>
      </c>
      <c r="CB223" s="52"/>
      <c r="CD223" s="14" t="s">
        <v>30</v>
      </c>
      <c r="CE223" s="33">
        <f>BT212</f>
        <v>22.516380793970754</v>
      </c>
      <c r="CF223" s="33">
        <f>CO223</f>
        <v>22.516380793970754</v>
      </c>
      <c r="CG223" s="14">
        <f t="shared" si="113"/>
        <v>0</v>
      </c>
      <c r="CJ223" s="356"/>
      <c r="CK223" s="21" t="s">
        <v>113</v>
      </c>
      <c r="CL223" s="21">
        <f>Calculators!K108</f>
        <v>1.2626600923358158</v>
      </c>
      <c r="CM223" s="21">
        <f t="shared" si="114"/>
        <v>5.000000000000001E-2</v>
      </c>
      <c r="CN223" s="21">
        <f>MW_CaO</f>
        <v>5.6077400000000006E-2</v>
      </c>
      <c r="CO223" s="21">
        <f t="shared" ref="CO223:CO228" si="121">CL223/CN223</f>
        <v>22.516380793970754</v>
      </c>
      <c r="CP223" s="21">
        <f>h_CaO</f>
        <v>-634.9</v>
      </c>
      <c r="CQ223" s="21">
        <f>b_ch_CaO</f>
        <v>122.25799999999992</v>
      </c>
      <c r="CR223" s="21">
        <f t="shared" si="115"/>
        <v>6.7893909603049127E-2</v>
      </c>
      <c r="CS223" s="21">
        <f t="shared" si="116"/>
        <v>-2.6898089450082239</v>
      </c>
      <c r="CT223" s="21">
        <f t="shared" si="117"/>
        <v>-6.6641953275019148</v>
      </c>
      <c r="CU223" s="21">
        <f t="shared" si="118"/>
        <v>115.59380467249801</v>
      </c>
      <c r="CV223" s="21">
        <f t="shared" si="119"/>
        <v>7.8481153251070976</v>
      </c>
      <c r="CW223" s="21">
        <f t="shared" si="120"/>
        <v>2602.754123429841</v>
      </c>
    </row>
    <row r="224" spans="2:101" ht="19.05" customHeight="1">
      <c r="B224" s="22" t="s">
        <v>195</v>
      </c>
      <c r="C224" s="20" t="s">
        <v>194</v>
      </c>
      <c r="D224" s="20" t="s">
        <v>166</v>
      </c>
      <c r="E224" s="20" t="s">
        <v>166</v>
      </c>
      <c r="F224" s="20" t="s">
        <v>166</v>
      </c>
      <c r="G224" s="9" t="s">
        <v>250</v>
      </c>
      <c r="H224" s="20" t="s">
        <v>244</v>
      </c>
      <c r="J224" s="21"/>
      <c r="K224" s="14" t="s">
        <v>454</v>
      </c>
      <c r="L224" s="1" t="s">
        <v>449</v>
      </c>
      <c r="M224" s="1" t="s">
        <v>579</v>
      </c>
      <c r="N224" s="1" t="s">
        <v>79</v>
      </c>
      <c r="O224" s="1" t="s">
        <v>509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48</v>
      </c>
      <c r="U224" s="1" t="s">
        <v>451</v>
      </c>
      <c r="V224" s="1" t="s">
        <v>49</v>
      </c>
      <c r="X224" s="14" t="s">
        <v>240</v>
      </c>
      <c r="Y224" s="63">
        <f>N213</f>
        <v>12.531238200651201</v>
      </c>
      <c r="Z224" s="63">
        <f>AH213</f>
        <v>12.531238200651201</v>
      </c>
      <c r="AA224" s="14">
        <f t="shared" si="110"/>
        <v>0</v>
      </c>
      <c r="AQ224" s="14" t="s">
        <v>240</v>
      </c>
      <c r="AR224" s="63">
        <f>AH213</f>
        <v>12.531238200651201</v>
      </c>
      <c r="AS224" s="63">
        <f>BA213</f>
        <v>12.531238200651201</v>
      </c>
      <c r="AT224" s="14">
        <f t="shared" si="111"/>
        <v>0</v>
      </c>
      <c r="BJ224" s="14" t="s">
        <v>240</v>
      </c>
      <c r="BK224" s="63">
        <f>BA213</f>
        <v>12.531238200651201</v>
      </c>
      <c r="BL224" s="63">
        <f>BT213</f>
        <v>12.531238200651201</v>
      </c>
      <c r="BM224" s="14">
        <f t="shared" si="112"/>
        <v>0</v>
      </c>
      <c r="BN224" s="1"/>
      <c r="CA224" s="1"/>
      <c r="CB224" s="1"/>
      <c r="CD224" s="14" t="s">
        <v>240</v>
      </c>
      <c r="CE224" s="33">
        <f>BT213</f>
        <v>12.531238200651201</v>
      </c>
      <c r="CF224" s="33">
        <f>CO224</f>
        <v>12.531238200651201</v>
      </c>
      <c r="CG224" s="14">
        <f t="shared" si="113"/>
        <v>0</v>
      </c>
      <c r="CJ224" s="356"/>
      <c r="CK224" s="21" t="s">
        <v>132</v>
      </c>
      <c r="CL224" s="21">
        <f>Calculators!K109</f>
        <v>0.50506403693432633</v>
      </c>
      <c r="CM224" s="21">
        <f t="shared" si="114"/>
        <v>2.0000000000000004E-2</v>
      </c>
      <c r="CN224" s="21">
        <f>MW_MgO</f>
        <v>4.0304400000000004E-2</v>
      </c>
      <c r="CO224" s="21">
        <f t="shared" si="121"/>
        <v>12.531238200651201</v>
      </c>
      <c r="CP224" s="21">
        <f>h_MgO</f>
        <v>-601.6</v>
      </c>
      <c r="CQ224" s="21">
        <f>b_ch_MgO</f>
        <v>62.576000000000022</v>
      </c>
      <c r="CR224" s="21">
        <f t="shared" si="115"/>
        <v>3.7785590916862941E-2</v>
      </c>
      <c r="CS224" s="21">
        <f t="shared" si="116"/>
        <v>-3.2758274417045752</v>
      </c>
      <c r="CT224" s="21">
        <f t="shared" si="117"/>
        <v>-8.1160983463988874</v>
      </c>
      <c r="CU224" s="21">
        <f t="shared" si="118"/>
        <v>54.459901653601136</v>
      </c>
      <c r="CV224" s="21">
        <f t="shared" si="119"/>
        <v>2.0577995652555603</v>
      </c>
      <c r="CW224" s="21">
        <f t="shared" si="120"/>
        <v>682.450000005314</v>
      </c>
    </row>
    <row r="225" spans="2:169" ht="18" customHeight="1">
      <c r="B225" s="22" t="s">
        <v>91</v>
      </c>
      <c r="C225" s="22" t="s">
        <v>91</v>
      </c>
      <c r="D225" s="20" t="s">
        <v>162</v>
      </c>
      <c r="E225" s="20" t="s">
        <v>165</v>
      </c>
      <c r="F225" s="20" t="s">
        <v>47</v>
      </c>
      <c r="G225" s="9" t="s">
        <v>91</v>
      </c>
      <c r="H225" s="20" t="s">
        <v>47</v>
      </c>
      <c r="J225" s="21" t="s">
        <v>40</v>
      </c>
      <c r="K225" s="14" t="s">
        <v>453</v>
      </c>
      <c r="L225" s="1" t="s">
        <v>82</v>
      </c>
      <c r="M225" s="1" t="s">
        <v>84</v>
      </c>
      <c r="N225" s="1" t="s">
        <v>80</v>
      </c>
      <c r="O225" s="1" t="s">
        <v>89</v>
      </c>
      <c r="P225" s="1" t="s">
        <v>499</v>
      </c>
      <c r="Q225" s="1" t="s">
        <v>24</v>
      </c>
      <c r="R225" s="1" t="s">
        <v>91</v>
      </c>
      <c r="S225" s="1" t="s">
        <v>89</v>
      </c>
      <c r="T225" s="1" t="s">
        <v>89</v>
      </c>
      <c r="U225" s="1" t="s">
        <v>88</v>
      </c>
      <c r="V225" s="1" t="s">
        <v>86</v>
      </c>
      <c r="X225" s="14" t="s">
        <v>241</v>
      </c>
      <c r="Y225" s="33">
        <f>2*N214</f>
        <v>8.1489626884579991</v>
      </c>
      <c r="Z225" s="33">
        <f>2*AH214</f>
        <v>8.1489626884579991</v>
      </c>
      <c r="AA225" s="14">
        <f t="shared" si="110"/>
        <v>0</v>
      </c>
      <c r="AE225" s="21"/>
      <c r="AF225" s="21"/>
      <c r="AO225" s="179" t="s">
        <v>1</v>
      </c>
      <c r="AP225" s="178" t="s">
        <v>0</v>
      </c>
      <c r="AQ225" s="14" t="s">
        <v>241</v>
      </c>
      <c r="AR225" s="33">
        <f>2*AH214</f>
        <v>8.1489626884579991</v>
      </c>
      <c r="AS225" s="33">
        <f>2*BA214</f>
        <v>8.1489626884579991</v>
      </c>
      <c r="AT225" s="14">
        <f t="shared" si="111"/>
        <v>0</v>
      </c>
      <c r="AW225" s="307" t="s">
        <v>782</v>
      </c>
      <c r="AX225" s="307" t="s">
        <v>265</v>
      </c>
      <c r="AY225" s="308" t="s">
        <v>250</v>
      </c>
      <c r="AZ225" s="308" t="s">
        <v>783</v>
      </c>
      <c r="BJ225" s="14" t="s">
        <v>241</v>
      </c>
      <c r="BK225" s="33">
        <f>2*BA214</f>
        <v>8.1489626884579991</v>
      </c>
      <c r="BL225" s="33">
        <f>2*BT214</f>
        <v>8.1489626884579991</v>
      </c>
      <c r="BM225" s="14">
        <f t="shared" si="112"/>
        <v>0</v>
      </c>
      <c r="BP225" s="307" t="s">
        <v>782</v>
      </c>
      <c r="BQ225" s="307" t="s">
        <v>265</v>
      </c>
      <c r="BR225" s="308" t="s">
        <v>250</v>
      </c>
      <c r="BS225" s="308" t="s">
        <v>783</v>
      </c>
      <c r="CD225" s="14" t="s">
        <v>241</v>
      </c>
      <c r="CE225" s="33">
        <f>2*BT214</f>
        <v>8.1489626884579991</v>
      </c>
      <c r="CF225" s="33">
        <f>2*CO225</f>
        <v>8.1489626884579991</v>
      </c>
      <c r="CG225" s="14">
        <f t="shared" si="113"/>
        <v>0</v>
      </c>
      <c r="CJ225" s="356"/>
      <c r="CK225" s="21" t="s">
        <v>238</v>
      </c>
      <c r="CL225" s="21">
        <f>Calculators!K110</f>
        <v>0.25253201846716317</v>
      </c>
      <c r="CM225" s="21">
        <f t="shared" si="114"/>
        <v>1.0000000000000002E-2</v>
      </c>
      <c r="CN225" s="21">
        <f>MW_Na2O</f>
        <v>6.1978936000000005E-2</v>
      </c>
      <c r="CO225" s="21">
        <f t="shared" si="121"/>
        <v>4.0744813442289995</v>
      </c>
      <c r="CP225" s="21">
        <f>h_Na2O</f>
        <v>-414.2</v>
      </c>
      <c r="CQ225" s="21">
        <f>b_ch_Na2O</f>
        <v>298.64000000000004</v>
      </c>
      <c r="CR225" s="21">
        <f t="shared" si="115"/>
        <v>1.2285831839301105E-2</v>
      </c>
      <c r="CS225" s="21">
        <f t="shared" si="116"/>
        <v>-4.3993085635145128</v>
      </c>
      <c r="CT225" s="21">
        <f t="shared" si="117"/>
        <v>-10.899603716323778</v>
      </c>
      <c r="CU225" s="21">
        <f t="shared" si="118"/>
        <v>287.74039628367626</v>
      </c>
      <c r="CV225" s="21">
        <f t="shared" si="119"/>
        <v>3.535130122115107</v>
      </c>
      <c r="CW225" s="21">
        <f t="shared" si="120"/>
        <v>1172.3928766388983</v>
      </c>
      <c r="DB225" s="3" t="s">
        <v>486</v>
      </c>
    </row>
    <row r="226" spans="2:169" ht="18" customHeight="1">
      <c r="B226" s="22" t="s">
        <v>209</v>
      </c>
      <c r="C226" s="22" t="s">
        <v>183</v>
      </c>
      <c r="D226" s="22">
        <v>57000</v>
      </c>
      <c r="E226" s="20">
        <f>D226*Btu_to_kJ</f>
        <v>60138.420000000006</v>
      </c>
      <c r="F226" s="20">
        <f>E226*($U$206/1000)</f>
        <v>17958.226754340154</v>
      </c>
      <c r="G226" s="20">
        <v>1.06</v>
      </c>
      <c r="H226" s="20">
        <f>F226*G226</f>
        <v>19035.720359600564</v>
      </c>
      <c r="I226" s="158" t="s">
        <v>466</v>
      </c>
      <c r="J226" s="188" t="s">
        <v>389</v>
      </c>
      <c r="K226" s="19">
        <f>F229</f>
        <v>21827.121921766418</v>
      </c>
      <c r="L226" s="19">
        <f>K226/LHV_Diesel</f>
        <v>0.51237375403207552</v>
      </c>
      <c r="M226" s="19">
        <f>MW_C12H23</f>
        <v>0.16731462</v>
      </c>
      <c r="N226" s="19">
        <f>L226/M226</f>
        <v>3.0623370153312099</v>
      </c>
      <c r="O226" s="19">
        <f>LHV_Diesel*M226</f>
        <v>7127.6028120000001</v>
      </c>
      <c r="P226" s="19">
        <f>b_ch_Diesel</f>
        <v>45492.270191724252</v>
      </c>
      <c r="Q226" s="19">
        <f>N226/N227</f>
        <v>1</v>
      </c>
      <c r="R226" s="19">
        <f>LN(Q226)</f>
        <v>0</v>
      </c>
      <c r="S226" s="19">
        <f>RT0*R226</f>
        <v>0</v>
      </c>
      <c r="T226" s="19">
        <f>S226+P226</f>
        <v>45492.270191724252</v>
      </c>
      <c r="U226" s="19">
        <f>Q226*T226</f>
        <v>45492.270191724252</v>
      </c>
      <c r="V226" s="19">
        <f>U226*L226</f>
        <v>23309.045257575242</v>
      </c>
      <c r="X226" s="14" t="s">
        <v>15</v>
      </c>
      <c r="Y226" s="33">
        <f>2*N215</f>
        <v>47.442206462436765</v>
      </c>
      <c r="Z226" s="33">
        <f>2*AH215</f>
        <v>47.442206462436765</v>
      </c>
      <c r="AA226" s="14">
        <f t="shared" si="110"/>
        <v>0</v>
      </c>
      <c r="AE226" s="21"/>
      <c r="AF226" s="21"/>
      <c r="AO226" s="181" t="s">
        <v>83</v>
      </c>
      <c r="AP226" s="180" t="s">
        <v>87</v>
      </c>
      <c r="AQ226" s="14" t="s">
        <v>15</v>
      </c>
      <c r="AR226" s="33">
        <f>2*AH215</f>
        <v>47.442206462436765</v>
      </c>
      <c r="AS226" s="33">
        <f>2*BA215</f>
        <v>47.442206462436765</v>
      </c>
      <c r="AT226" s="14">
        <f t="shared" si="111"/>
        <v>0</v>
      </c>
      <c r="AW226" s="307" t="s">
        <v>47</v>
      </c>
      <c r="AX226" s="307" t="s">
        <v>62</v>
      </c>
      <c r="AY226" s="307" t="s">
        <v>91</v>
      </c>
      <c r="AZ226" s="307" t="s">
        <v>47</v>
      </c>
      <c r="BJ226" s="14" t="s">
        <v>15</v>
      </c>
      <c r="BK226" s="33">
        <f>2*BA215</f>
        <v>47.442206462436765</v>
      </c>
      <c r="BL226" s="33">
        <f>2*BT215</f>
        <v>47.442206462436765</v>
      </c>
      <c r="BM226" s="14">
        <f t="shared" si="112"/>
        <v>0</v>
      </c>
      <c r="BP226" s="307" t="s">
        <v>47</v>
      </c>
      <c r="BQ226" s="307" t="s">
        <v>62</v>
      </c>
      <c r="BR226" s="307" t="s">
        <v>91</v>
      </c>
      <c r="BS226" s="307" t="s">
        <v>47</v>
      </c>
      <c r="CD226" s="14" t="s">
        <v>15</v>
      </c>
      <c r="CE226" s="33">
        <f>2*BT215</f>
        <v>47.442206462436765</v>
      </c>
      <c r="CF226" s="33">
        <f>2*CO226</f>
        <v>47.442206462436765</v>
      </c>
      <c r="CG226" s="14">
        <f t="shared" si="113"/>
        <v>0</v>
      </c>
      <c r="CJ226" s="356"/>
      <c r="CK226" s="1" t="s">
        <v>14</v>
      </c>
      <c r="CL226" s="21">
        <f>Calculators!K111</f>
        <v>3.7879802770074473</v>
      </c>
      <c r="CM226" s="21">
        <f t="shared" si="114"/>
        <v>0.15000000000000002</v>
      </c>
      <c r="CN226" s="21">
        <f>MW_Fe2O3</f>
        <v>0.1596882</v>
      </c>
      <c r="CO226" s="21">
        <f t="shared" si="121"/>
        <v>23.721103231218382</v>
      </c>
      <c r="CP226" s="21">
        <f>h_Fe2O3</f>
        <v>-824.2</v>
      </c>
      <c r="CQ226" s="21">
        <f>b_ch_Fe2O3</f>
        <v>17.358400000000074</v>
      </c>
      <c r="CR226" s="21">
        <f t="shared" si="115"/>
        <v>7.1526523432051223E-2</v>
      </c>
      <c r="CS226" s="21">
        <f t="shared" si="116"/>
        <v>-2.6376869409781207</v>
      </c>
      <c r="CT226" s="21">
        <f t="shared" si="117"/>
        <v>-6.5350593097330441</v>
      </c>
      <c r="CU226" s="21">
        <f t="shared" si="118"/>
        <v>10.823340690267031</v>
      </c>
      <c r="CV226" s="21">
        <f t="shared" si="119"/>
        <v>0.77415593149545825</v>
      </c>
      <c r="CW226" s="21">
        <f t="shared" si="120"/>
        <v>256.74158182047069</v>
      </c>
      <c r="CY226" s="355" t="s">
        <v>347</v>
      </c>
      <c r="CZ226" s="355"/>
      <c r="DA226" s="355"/>
      <c r="DB226" s="355"/>
      <c r="DC226" s="355"/>
      <c r="DD226" s="355"/>
    </row>
    <row r="227" spans="2:169" ht="19.05" customHeight="1">
      <c r="B227" s="22" t="s">
        <v>209</v>
      </c>
      <c r="C227" s="20" t="s">
        <v>188</v>
      </c>
      <c r="D227" s="20">
        <v>11000</v>
      </c>
      <c r="E227" s="20">
        <f>D227*Btu_to_kJ</f>
        <v>11605.660000000002</v>
      </c>
      <c r="F227" s="20">
        <f>E227*($U$206/1000)</f>
        <v>3465.6227069779243</v>
      </c>
      <c r="G227" s="20">
        <v>1.06</v>
      </c>
      <c r="H227" s="20">
        <f>F227*G227</f>
        <v>3673.5600693965998</v>
      </c>
      <c r="J227" s="18" t="s">
        <v>18</v>
      </c>
      <c r="K227" s="18">
        <f>SUM(K226)</f>
        <v>21827.121921766418</v>
      </c>
      <c r="L227" s="18">
        <f>SUM(L226)</f>
        <v>0.51237375403207552</v>
      </c>
      <c r="M227" s="18">
        <f>SUM(M226)</f>
        <v>0.16731462</v>
      </c>
      <c r="N227" s="18">
        <f>SUM(N226)</f>
        <v>3.0623370153312099</v>
      </c>
      <c r="O227" s="18">
        <f>SUM(O226)</f>
        <v>7127.6028120000001</v>
      </c>
      <c r="P227" s="18"/>
      <c r="Q227" s="18"/>
      <c r="R227" s="18"/>
      <c r="S227" s="18"/>
      <c r="T227" s="18"/>
      <c r="U227" s="18">
        <f>SUM(U226)</f>
        <v>45492.270191724252</v>
      </c>
      <c r="V227" s="18">
        <f>SUM(V226)</f>
        <v>23309.045257575242</v>
      </c>
      <c r="X227" s="14" t="s">
        <v>29</v>
      </c>
      <c r="Y227" s="63">
        <f>N216</f>
        <v>189.13328158973877</v>
      </c>
      <c r="Z227" s="63">
        <f>AH216</f>
        <v>189.13328158973877</v>
      </c>
      <c r="AA227" s="14">
        <f t="shared" si="110"/>
        <v>0</v>
      </c>
      <c r="AC227" s="1"/>
      <c r="AD227" s="1"/>
      <c r="AE227" s="1"/>
      <c r="AH227" s="21"/>
      <c r="AI227" s="21"/>
      <c r="AJ227" s="21"/>
      <c r="AK227" s="14" t="s">
        <v>416</v>
      </c>
      <c r="AO227" s="177">
        <f>AE234</f>
        <v>7.9771214256715108</v>
      </c>
      <c r="AP227" s="175">
        <f>AP234</f>
        <v>555.77441893806406</v>
      </c>
      <c r="AQ227" s="14" t="s">
        <v>29</v>
      </c>
      <c r="AR227" s="63">
        <f>AH216</f>
        <v>189.13328158973877</v>
      </c>
      <c r="AS227" s="63">
        <f>BA216</f>
        <v>189.13328158973877</v>
      </c>
      <c r="AT227" s="14">
        <f t="shared" si="111"/>
        <v>0</v>
      </c>
      <c r="AW227" s="309">
        <f>AS190</f>
        <v>282.1287710315147</v>
      </c>
      <c r="AX227" s="309">
        <f>T_0</f>
        <v>298</v>
      </c>
      <c r="AY227" s="309">
        <f>1-(T_0/AX227)</f>
        <v>0</v>
      </c>
      <c r="AZ227" s="309">
        <f>AW227</f>
        <v>282.1287710315147</v>
      </c>
      <c r="BJ227" s="14" t="s">
        <v>29</v>
      </c>
      <c r="BK227" s="63">
        <f>BA216</f>
        <v>189.13328158973877</v>
      </c>
      <c r="BL227" s="63">
        <f>BT216</f>
        <v>189.13328158973877</v>
      </c>
      <c r="BM227" s="14">
        <f t="shared" si="112"/>
        <v>0</v>
      </c>
      <c r="BN227" s="1"/>
      <c r="BP227" s="309">
        <f>BK195</f>
        <v>50.358084153937838</v>
      </c>
      <c r="BQ227" s="309">
        <f>T_0</f>
        <v>298</v>
      </c>
      <c r="BR227" s="309">
        <f>1-(T_0/BQ227)</f>
        <v>0</v>
      </c>
      <c r="BS227" s="309">
        <f>BP227</f>
        <v>50.358084153937838</v>
      </c>
      <c r="BT227" s="1"/>
      <c r="BU227" s="1"/>
      <c r="BV227" s="1"/>
      <c r="BW227" s="1"/>
      <c r="BX227" s="1"/>
      <c r="BY227" s="1"/>
      <c r="BZ227" s="1"/>
      <c r="CA227" s="1"/>
      <c r="CB227" s="1"/>
      <c r="CD227" s="14" t="s">
        <v>29</v>
      </c>
      <c r="CE227" s="33">
        <f>BT216</f>
        <v>189.13328158973877</v>
      </c>
      <c r="CF227" s="33">
        <f>CO227</f>
        <v>189.13328158973877</v>
      </c>
      <c r="CG227" s="14">
        <f t="shared" si="113"/>
        <v>0</v>
      </c>
      <c r="CJ227" s="356"/>
      <c r="CK227" s="1" t="s">
        <v>16</v>
      </c>
      <c r="CL227" s="21">
        <f>Calculators!K112</f>
        <v>11.363940831022342</v>
      </c>
      <c r="CM227" s="21">
        <f t="shared" si="114"/>
        <v>0.45000000000000007</v>
      </c>
      <c r="CN227" s="14">
        <f>MW_SIO2</f>
        <v>6.00843E-2</v>
      </c>
      <c r="CO227" s="21">
        <f t="shared" si="121"/>
        <v>189.13328158973877</v>
      </c>
      <c r="CP227" s="21">
        <f>h_SiO2</f>
        <v>-910.7</v>
      </c>
      <c r="CQ227" s="14">
        <f>b_ch_SiO2</f>
        <v>1.5260000000000673</v>
      </c>
      <c r="CR227" s="21">
        <f t="shared" si="115"/>
        <v>0.57029582332433337</v>
      </c>
      <c r="CS227" s="21">
        <f t="shared" si="116"/>
        <v>-0.56160006449308053</v>
      </c>
      <c r="CT227" s="21">
        <f t="shared" si="117"/>
        <v>-1.3914045949862504</v>
      </c>
      <c r="CU227" s="21">
        <f t="shared" si="118"/>
        <v>0.13459540501381695</v>
      </c>
      <c r="CV227" s="21">
        <f t="shared" si="119"/>
        <v>7.6759197318026842E-2</v>
      </c>
      <c r="CW227" s="21">
        <f t="shared" si="120"/>
        <v>25.456470637163175</v>
      </c>
      <c r="CY227" s="22" t="s">
        <v>195</v>
      </c>
      <c r="CZ227" s="20" t="s">
        <v>166</v>
      </c>
      <c r="DA227" s="20" t="s">
        <v>166</v>
      </c>
      <c r="DB227" s="20" t="s">
        <v>166</v>
      </c>
      <c r="DC227" s="9" t="s">
        <v>250</v>
      </c>
      <c r="DD227" s="20" t="s">
        <v>244</v>
      </c>
    </row>
    <row r="228" spans="2:169" ht="22.95" customHeight="1">
      <c r="B228" s="22" t="s">
        <v>209</v>
      </c>
      <c r="C228" s="20" t="s">
        <v>191</v>
      </c>
      <c r="D228" s="20">
        <v>1280</v>
      </c>
      <c r="E228" s="20">
        <f>D228*Btu_to_kJ</f>
        <v>1350.4768000000001</v>
      </c>
      <c r="F228" s="20">
        <f>E228*($U$206/1000)</f>
        <v>403.27246044834027</v>
      </c>
      <c r="G228" s="20">
        <v>1.06</v>
      </c>
      <c r="H228" s="20">
        <f>F228*G228</f>
        <v>427.4688080752407</v>
      </c>
      <c r="K228" s="14" t="s">
        <v>47</v>
      </c>
      <c r="L228" s="1" t="s">
        <v>83</v>
      </c>
      <c r="M228" s="14" t="s">
        <v>85</v>
      </c>
      <c r="N228" s="14" t="s">
        <v>81</v>
      </c>
      <c r="O228" s="1" t="s">
        <v>640</v>
      </c>
      <c r="P228" s="21"/>
      <c r="Q228" s="21"/>
      <c r="U228" s="14" t="s">
        <v>90</v>
      </c>
      <c r="V228" s="1" t="s">
        <v>87</v>
      </c>
      <c r="AD228" s="1"/>
      <c r="AE228" s="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BJ228" s="1"/>
      <c r="BK228" s="1"/>
      <c r="BL228" s="1"/>
      <c r="BM228" s="1"/>
      <c r="BN228" s="1"/>
      <c r="BP228" s="21"/>
      <c r="BQ228" s="1"/>
      <c r="BR228" s="2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D228" s="14" t="s">
        <v>133</v>
      </c>
      <c r="CE228" s="33">
        <f>BT210/coal_S_coeff</f>
        <v>97.6333439881017</v>
      </c>
      <c r="CF228" s="33">
        <f>(mol_C_to_BF/coke_S_coeff)+CO239</f>
        <v>97.6333439881017</v>
      </c>
      <c r="CG228" s="14">
        <f t="shared" si="113"/>
        <v>0</v>
      </c>
      <c r="CJ228" s="356"/>
      <c r="CK228" s="1" t="s">
        <v>528</v>
      </c>
      <c r="CL228" s="21">
        <f>Calculators!K113</f>
        <v>0.50506403693432633</v>
      </c>
      <c r="CM228" s="21">
        <f t="shared" si="114"/>
        <v>2.0000000000000004E-2</v>
      </c>
      <c r="CN228" s="21">
        <f>MW_K2O</f>
        <v>9.4196000000000002E-2</v>
      </c>
      <c r="CO228" s="21">
        <f t="shared" si="121"/>
        <v>5.3618416592458953</v>
      </c>
      <c r="CP228" s="14">
        <f>h_K2O</f>
        <v>-284.89999999999998</v>
      </c>
      <c r="CQ228" s="14">
        <f>b_ch_K2O</f>
        <v>412.83199999999999</v>
      </c>
      <c r="CR228" s="21">
        <f t="shared" si="115"/>
        <v>1.6167624639577171E-2</v>
      </c>
      <c r="CS228" s="21">
        <f t="shared" si="116"/>
        <v>-4.1247445154060598</v>
      </c>
      <c r="CT228" s="21">
        <f t="shared" si="117"/>
        <v>-10.219351518523622</v>
      </c>
      <c r="CU228" s="21">
        <f t="shared" si="118"/>
        <v>402.61264848147636</v>
      </c>
      <c r="CV228" s="21">
        <f>CU228*CR228</f>
        <v>6.5092901757945398</v>
      </c>
      <c r="CW228" s="21">
        <f t="shared" si="120"/>
        <v>2158.7452711673036</v>
      </c>
      <c r="CY228" s="22" t="s">
        <v>91</v>
      </c>
      <c r="CZ228" s="20" t="s">
        <v>460</v>
      </c>
      <c r="DA228" s="20" t="s">
        <v>361</v>
      </c>
      <c r="DB228" s="20" t="s">
        <v>47</v>
      </c>
      <c r="DC228" s="9" t="s">
        <v>91</v>
      </c>
      <c r="DD228" s="20" t="s">
        <v>47</v>
      </c>
    </row>
    <row r="229" spans="2:169" ht="19.05" customHeight="1">
      <c r="B229" s="14" t="s">
        <v>18</v>
      </c>
      <c r="E229" s="14">
        <f>SUM(E226:E228)</f>
        <v>73094.556800000006</v>
      </c>
      <c r="F229" s="14">
        <f>SUM(F226:F228)</f>
        <v>21827.121921766418</v>
      </c>
      <c r="G229" s="14">
        <v>1.06</v>
      </c>
      <c r="H229" s="14">
        <f>F229*G229</f>
        <v>23136.749237072403</v>
      </c>
      <c r="AD229" s="21"/>
      <c r="AE229" s="1" t="s">
        <v>449</v>
      </c>
      <c r="AF229" s="1" t="s">
        <v>450</v>
      </c>
      <c r="AG229" s="1" t="s">
        <v>579</v>
      </c>
      <c r="AH229" s="1" t="s">
        <v>79</v>
      </c>
      <c r="AI229" s="1" t="s">
        <v>509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48</v>
      </c>
      <c r="AO229" s="1" t="s">
        <v>451</v>
      </c>
      <c r="AP229" s="1" t="s">
        <v>49</v>
      </c>
      <c r="CK229" s="18" t="s">
        <v>18</v>
      </c>
      <c r="CL229" s="18">
        <f>SUM(CL222:CL228)</f>
        <v>25.253201846716312</v>
      </c>
      <c r="CM229" s="18">
        <f>SUM(CM222:CM228)</f>
        <v>1</v>
      </c>
      <c r="CN229" s="18">
        <f>SUM(CN222:CN228)</f>
        <v>0.57429051399999997</v>
      </c>
      <c r="CO229" s="18">
        <f>SUM(CO222:CO228)</f>
        <v>331.64065710187856</v>
      </c>
      <c r="CP229" s="18">
        <f t="array" ref="CP229">SUM(CL222:CL228*CP222:CP228) / CL229</f>
        <v>-1089.7720000000002</v>
      </c>
      <c r="CQ229" s="18"/>
      <c r="CR229" s="18"/>
      <c r="CS229" s="18"/>
      <c r="CT229" s="18"/>
      <c r="CU229" s="18"/>
      <c r="CV229" s="18">
        <f>SUM(CV222:CV228)</f>
        <v>27.112539221471899</v>
      </c>
      <c r="CW229" s="18">
        <f>SUM(CW222:CW228)</f>
        <v>8991.620323109395</v>
      </c>
      <c r="CY229" s="22" t="s">
        <v>196</v>
      </c>
      <c r="CZ229" s="20">
        <f>0.2</f>
        <v>0.2</v>
      </c>
      <c r="DA229" s="22">
        <f>CZ229*CV234</f>
        <v>9.2199609426937403</v>
      </c>
      <c r="DB229" s="22">
        <f>3600*DA229</f>
        <v>33191.859393697465</v>
      </c>
      <c r="DC229" s="20">
        <v>1</v>
      </c>
      <c r="DD229" s="20">
        <f>DB229*DC229</f>
        <v>33191.859393697465</v>
      </c>
    </row>
    <row r="230" spans="2:169" ht="19.05" customHeight="1">
      <c r="AD230" s="21" t="s">
        <v>40</v>
      </c>
      <c r="AE230" s="1" t="s">
        <v>82</v>
      </c>
      <c r="AF230" s="21" t="s">
        <v>213</v>
      </c>
      <c r="AG230" s="139" t="s">
        <v>84</v>
      </c>
      <c r="AH230" s="139" t="s">
        <v>80</v>
      </c>
      <c r="AI230" s="1" t="s">
        <v>89</v>
      </c>
      <c r="AJ230" s="139" t="s">
        <v>89</v>
      </c>
      <c r="AK230" s="139" t="s">
        <v>24</v>
      </c>
      <c r="AL230" s="139" t="s">
        <v>91</v>
      </c>
      <c r="AM230" s="139" t="s">
        <v>89</v>
      </c>
      <c r="AN230" s="139" t="s">
        <v>89</v>
      </c>
      <c r="AO230" s="139" t="s">
        <v>88</v>
      </c>
      <c r="AP230" s="139" t="s">
        <v>86</v>
      </c>
      <c r="CA230" s="179" t="s">
        <v>1</v>
      </c>
      <c r="CB230" s="178" t="s">
        <v>0</v>
      </c>
      <c r="CL230" s="1" t="s">
        <v>83</v>
      </c>
      <c r="CM230" s="1"/>
      <c r="CN230" s="14" t="s">
        <v>85</v>
      </c>
      <c r="CO230" s="14" t="s">
        <v>81</v>
      </c>
      <c r="CP230" s="1" t="s">
        <v>640</v>
      </c>
      <c r="CQ230" s="21"/>
      <c r="CR230" s="21"/>
      <c r="CV230" s="14" t="s">
        <v>90</v>
      </c>
      <c r="CW230" s="1" t="s">
        <v>87</v>
      </c>
    </row>
    <row r="231" spans="2:169" ht="18" customHeight="1">
      <c r="AC231" s="343" t="s">
        <v>416</v>
      </c>
      <c r="AD231" s="18" t="s">
        <v>22</v>
      </c>
      <c r="AE231" s="40">
        <f>CO2_out_Coal_Ext</f>
        <v>1.617274074927882</v>
      </c>
      <c r="AF231" s="40">
        <f>AE231/AE234</f>
        <v>0.20273905693891836</v>
      </c>
      <c r="AG231" s="1">
        <f>MW_CO2</f>
        <v>4.4009800000000002E-2</v>
      </c>
      <c r="AH231" s="1">
        <f>N226*CO2_Diesel_molcoeff</f>
        <v>36.748044183974521</v>
      </c>
      <c r="AI231" s="40">
        <f>h_CO2</f>
        <v>-393.5</v>
      </c>
      <c r="AJ231" s="1">
        <f>b_ch_CO2</f>
        <v>19.900000000000034</v>
      </c>
      <c r="AK231" s="1">
        <f>AH231/$AH$234</f>
        <v>0.13297872340425532</v>
      </c>
      <c r="AL231" s="1">
        <f>LN(AK231)</f>
        <v>-2.0175661379617487</v>
      </c>
      <c r="AM231" s="1">
        <f>RT0*AL231</f>
        <v>-4.9986653715621649</v>
      </c>
      <c r="AN231" s="1">
        <f>AJ231+AM231</f>
        <v>14.901334628437869</v>
      </c>
      <c r="AO231" s="1">
        <f>AN231*AK231</f>
        <v>1.981560455909291</v>
      </c>
      <c r="AP231" s="40">
        <f>$AH$234*AO231</f>
        <v>547.59490332602434</v>
      </c>
      <c r="CA231" s="181" t="s">
        <v>83</v>
      </c>
      <c r="CB231" s="180" t="s">
        <v>87</v>
      </c>
      <c r="DP231" s="179" t="s">
        <v>1</v>
      </c>
      <c r="DQ231" s="178" t="s">
        <v>0</v>
      </c>
      <c r="EK231" s="179" t="s">
        <v>1</v>
      </c>
      <c r="EL231" s="178" t="s">
        <v>0</v>
      </c>
      <c r="FF231" s="179" t="s">
        <v>1</v>
      </c>
      <c r="FG231" s="178" t="s">
        <v>0</v>
      </c>
    </row>
    <row r="232" spans="2:169" ht="18" customHeight="1">
      <c r="AC232" s="343"/>
      <c r="AD232" s="14" t="s">
        <v>67</v>
      </c>
      <c r="AE232" s="1">
        <f>H2O_out_Coal_Ext</f>
        <v>0.63444187603389457</v>
      </c>
      <c r="AF232" s="1">
        <f>AE232/AE234</f>
        <v>7.9532683806488189E-2</v>
      </c>
      <c r="AG232" s="27">
        <f>MW_H2O</f>
        <v>1.8015280000000002E-2</v>
      </c>
      <c r="AH232" s="1">
        <f>N226*H2O__Diesel_molcoeff</f>
        <v>35.216875676308916</v>
      </c>
      <c r="AI232" s="1">
        <f>h_H2O</f>
        <v>-241.8</v>
      </c>
      <c r="AJ232" s="27">
        <f>b_ch_H2O</f>
        <v>9.5113440000000082</v>
      </c>
      <c r="AK232" s="1">
        <f>AH232/$AH$234</f>
        <v>0.12743794326241137</v>
      </c>
      <c r="AL232" s="1">
        <f t="shared" ref="AL232:AL233" si="122">LN(AK232)</f>
        <v>-2.0601257523805443</v>
      </c>
      <c r="AM232" s="1">
        <f>RT0*AL232</f>
        <v>-5.1041098805769698</v>
      </c>
      <c r="AN232" s="1">
        <f t="shared" ref="AN232:AN233" si="123">AJ232+AM232</f>
        <v>4.4072341194230384</v>
      </c>
      <c r="AO232" s="1">
        <f>AN232*AK232</f>
        <v>0.56164885165519673</v>
      </c>
      <c r="AP232" s="1">
        <f t="shared" ref="AP232:AP233" si="124">$AH$234*AO232</f>
        <v>155.20901606010796</v>
      </c>
      <c r="BW232" s="14" t="s">
        <v>420</v>
      </c>
      <c r="CA232" s="177">
        <f>BQ238</f>
        <v>3494.7460959815226</v>
      </c>
      <c r="CB232" s="175">
        <f>CB238</f>
        <v>14491.84871754296</v>
      </c>
      <c r="CV232" s="179" t="s">
        <v>1</v>
      </c>
      <c r="CW232" s="178" t="s">
        <v>0</v>
      </c>
      <c r="DP232" s="181" t="s">
        <v>83</v>
      </c>
      <c r="DQ232" s="180" t="s">
        <v>87</v>
      </c>
      <c r="EK232" s="181" t="s">
        <v>83</v>
      </c>
      <c r="EL232" s="180" t="s">
        <v>87</v>
      </c>
      <c r="FF232" s="181" t="s">
        <v>83</v>
      </c>
      <c r="FG232" s="180" t="s">
        <v>87</v>
      </c>
    </row>
    <row r="233" spans="2:169" ht="16.05" customHeight="1">
      <c r="AC233" s="343"/>
      <c r="AD233" s="24" t="s">
        <v>66</v>
      </c>
      <c r="AE233" s="58">
        <f>N2_in_Coal_Ext</f>
        <v>5.725405474709734</v>
      </c>
      <c r="AF233" s="1">
        <f>AE233/AE234</f>
        <v>0.71772825925459338</v>
      </c>
      <c r="AG233" s="27">
        <f>MW_N2</f>
        <v>2.801348E-2</v>
      </c>
      <c r="AH233" s="1">
        <f>Diesel_N2_molcoeff*N226</f>
        <v>204.38037240320494</v>
      </c>
      <c r="AI233" s="1">
        <f>h_N2</f>
        <v>0</v>
      </c>
      <c r="AJ233" s="27">
        <f>MW_N2</f>
        <v>2.801348E-2</v>
      </c>
      <c r="AK233" s="1">
        <f>AH233/$AH$234</f>
        <v>0.73958333333333337</v>
      </c>
      <c r="AL233" s="1">
        <f t="shared" si="122"/>
        <v>-0.30166831442652076</v>
      </c>
      <c r="AM233" s="1">
        <f>RT0*AL233</f>
        <v>-0.74740496911034382</v>
      </c>
      <c r="AN233" s="1">
        <f t="shared" si="123"/>
        <v>-0.71939148911034378</v>
      </c>
      <c r="AO233" s="1">
        <f t="shared" ref="AO233" si="125">AN233*AK233</f>
        <v>-0.53204995548785849</v>
      </c>
      <c r="AP233" s="1">
        <f t="shared" si="124"/>
        <v>-147.02950044806823</v>
      </c>
      <c r="CJ233" s="163"/>
      <c r="CV233" s="181" t="s">
        <v>83</v>
      </c>
      <c r="CW233" s="180" t="s">
        <v>87</v>
      </c>
      <c r="CY233" s="344" t="s">
        <v>514</v>
      </c>
      <c r="CZ233" s="344"/>
      <c r="DA233" s="344"/>
      <c r="DB233" s="344"/>
      <c r="DC233" s="344"/>
      <c r="DL233" s="14" t="s">
        <v>515</v>
      </c>
      <c r="DP233" s="177">
        <f>DF241</f>
        <v>46.099804713468714</v>
      </c>
      <c r="DQ233" s="175">
        <f>DQ241</f>
        <v>4043367.3234254471</v>
      </c>
      <c r="DS233" s="344" t="s">
        <v>516</v>
      </c>
      <c r="DT233" s="344"/>
      <c r="DU233" s="344"/>
      <c r="DV233" s="344"/>
      <c r="DW233" s="344"/>
      <c r="EG233" s="14" t="s">
        <v>517</v>
      </c>
      <c r="EK233" s="177">
        <f>EA241</f>
        <v>46.099804713468714</v>
      </c>
      <c r="EL233" s="175">
        <f>EL241</f>
        <v>4043367.3234254471</v>
      </c>
      <c r="FA233" s="14" t="s">
        <v>517</v>
      </c>
      <c r="FF233" s="177">
        <f>EV241</f>
        <v>13.829941414040613</v>
      </c>
      <c r="FG233" s="175">
        <f>FG241</f>
        <v>1213010.1970276341</v>
      </c>
      <c r="FI233" s="353" t="s">
        <v>331</v>
      </c>
      <c r="FJ233" s="354"/>
      <c r="FK233" s="354"/>
      <c r="FL233" s="354"/>
      <c r="FM233" s="354"/>
    </row>
    <row r="234" spans="2:169" ht="18" customHeight="1">
      <c r="U234" s="179" t="s">
        <v>1</v>
      </c>
      <c r="V234" s="178" t="s">
        <v>0</v>
      </c>
      <c r="AC234" s="343"/>
      <c r="AD234" s="18" t="s">
        <v>18</v>
      </c>
      <c r="AE234" s="1">
        <f>SUM(AE231:AE233)</f>
        <v>7.9771214256715108</v>
      </c>
      <c r="AF234" s="40">
        <f>SUM(AF231:AF233)</f>
        <v>1</v>
      </c>
      <c r="AG234" s="40">
        <f>SUM(AG231:AG233)</f>
        <v>9.0038560000000004E-2</v>
      </c>
      <c r="AH234" s="40">
        <f>SUM(AH231:AH233)</f>
        <v>276.34529226348837</v>
      </c>
      <c r="AI234" s="18">
        <f t="array" ref="AI234">SUM(AE231:AE233*AI231:AI233) / AE234</f>
        <v>-99.008821849873215</v>
      </c>
      <c r="AJ234" s="23"/>
      <c r="AK234" s="40">
        <f>SUM(AK231:AK233)</f>
        <v>1</v>
      </c>
      <c r="AL234" s="18"/>
      <c r="AM234" s="18"/>
      <c r="AN234" s="18"/>
      <c r="AO234" s="40">
        <f>SUM(AO231:AO233)</f>
        <v>2.0111593520766293</v>
      </c>
      <c r="AP234" s="40">
        <f>SUM(AP231:AP233)</f>
        <v>555.77441893806406</v>
      </c>
      <c r="BK234" s="348" t="s">
        <v>414</v>
      </c>
      <c r="BL234" s="348"/>
      <c r="BM234" s="348"/>
      <c r="BN234" s="348"/>
      <c r="BP234" s="21"/>
      <c r="BQ234" s="1" t="s">
        <v>449</v>
      </c>
      <c r="BR234" s="1" t="s">
        <v>450</v>
      </c>
      <c r="BS234" s="1" t="s">
        <v>579</v>
      </c>
      <c r="BT234" s="1" t="s">
        <v>79</v>
      </c>
      <c r="BU234" s="1" t="s">
        <v>509</v>
      </c>
      <c r="BV234" s="1" t="s">
        <v>6</v>
      </c>
      <c r="BW234" s="1" t="s">
        <v>7</v>
      </c>
      <c r="BX234" s="1" t="s">
        <v>8</v>
      </c>
      <c r="BY234" s="1" t="s">
        <v>9</v>
      </c>
      <c r="BZ234" s="1" t="s">
        <v>48</v>
      </c>
      <c r="CA234" s="1" t="s">
        <v>451</v>
      </c>
      <c r="CB234" s="1" t="s">
        <v>49</v>
      </c>
      <c r="CJ234" s="163"/>
      <c r="CR234" s="14" t="s">
        <v>422</v>
      </c>
      <c r="CV234" s="177">
        <f>CL243</f>
        <v>46.0998047134687</v>
      </c>
      <c r="CW234" s="175">
        <f>CW243</f>
        <v>4026178.1360752485</v>
      </c>
      <c r="CY234" s="344"/>
      <c r="CZ234" s="344"/>
      <c r="DA234" s="344"/>
      <c r="DB234" s="344"/>
      <c r="DC234" s="344"/>
      <c r="DS234" s="344"/>
      <c r="DT234" s="344"/>
      <c r="DU234" s="344"/>
      <c r="DV234" s="344"/>
      <c r="DW234" s="344"/>
      <c r="FI234" s="354"/>
      <c r="FJ234" s="354"/>
      <c r="FK234" s="354"/>
      <c r="FL234" s="354"/>
      <c r="FM234" s="354"/>
    </row>
    <row r="235" spans="2:169" ht="18" customHeight="1">
      <c r="U235" s="181" t="s">
        <v>83</v>
      </c>
      <c r="V235" s="180" t="s">
        <v>87</v>
      </c>
      <c r="AE235" s="1" t="s">
        <v>83</v>
      </c>
      <c r="AF235" s="1"/>
      <c r="AG235" s="14" t="s">
        <v>85</v>
      </c>
      <c r="AH235" s="14" t="s">
        <v>81</v>
      </c>
      <c r="AI235" s="1" t="s">
        <v>640</v>
      </c>
      <c r="AJ235" s="21"/>
      <c r="AK235" s="21"/>
      <c r="AO235" s="14" t="s">
        <v>90</v>
      </c>
      <c r="AP235" s="1" t="s">
        <v>87</v>
      </c>
      <c r="BK235" s="348"/>
      <c r="BL235" s="348"/>
      <c r="BM235" s="348"/>
      <c r="BN235" s="348"/>
      <c r="BP235" s="21" t="s">
        <v>40</v>
      </c>
      <c r="BQ235" s="1" t="s">
        <v>82</v>
      </c>
      <c r="BR235" s="21" t="s">
        <v>213</v>
      </c>
      <c r="BS235" s="139" t="s">
        <v>84</v>
      </c>
      <c r="BT235" s="139" t="s">
        <v>80</v>
      </c>
      <c r="BU235" s="1" t="s">
        <v>89</v>
      </c>
      <c r="BV235" s="139" t="s">
        <v>89</v>
      </c>
      <c r="BW235" s="139" t="s">
        <v>24</v>
      </c>
      <c r="BX235" s="139" t="s">
        <v>91</v>
      </c>
      <c r="BY235" s="139" t="s">
        <v>89</v>
      </c>
      <c r="BZ235" s="139" t="s">
        <v>89</v>
      </c>
      <c r="CA235" s="139" t="s">
        <v>88</v>
      </c>
      <c r="CB235" s="139" t="s">
        <v>86</v>
      </c>
      <c r="CJ235" s="163"/>
      <c r="CY235" s="133" t="s">
        <v>339</v>
      </c>
      <c r="CZ235" s="133" t="s">
        <v>379</v>
      </c>
      <c r="DA235" s="17" t="s">
        <v>264</v>
      </c>
      <c r="DB235" s="358" t="s">
        <v>269</v>
      </c>
      <c r="DC235" s="98" t="s">
        <v>245</v>
      </c>
      <c r="DE235" s="21"/>
      <c r="DF235" s="1" t="s">
        <v>449</v>
      </c>
      <c r="DG235" s="1" t="s">
        <v>450</v>
      </c>
      <c r="DH235" s="1" t="s">
        <v>579</v>
      </c>
      <c r="DI235" s="1" t="s">
        <v>79</v>
      </c>
      <c r="DJ235" s="1" t="s">
        <v>509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48</v>
      </c>
      <c r="DP235" s="1" t="s">
        <v>451</v>
      </c>
      <c r="DQ235" s="1" t="s">
        <v>49</v>
      </c>
      <c r="DS235" s="133" t="s">
        <v>339</v>
      </c>
      <c r="DT235" s="133" t="s">
        <v>379</v>
      </c>
      <c r="DU235" s="17" t="s">
        <v>264</v>
      </c>
      <c r="DV235" s="358" t="s">
        <v>269</v>
      </c>
      <c r="DW235" s="98" t="s">
        <v>245</v>
      </c>
      <c r="DZ235" s="21"/>
      <c r="EA235" s="1" t="s">
        <v>449</v>
      </c>
      <c r="EB235" s="1" t="s">
        <v>450</v>
      </c>
      <c r="EC235" s="1" t="s">
        <v>579</v>
      </c>
      <c r="ED235" s="1" t="s">
        <v>79</v>
      </c>
      <c r="EE235" s="1" t="s">
        <v>509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48</v>
      </c>
      <c r="EK235" s="1" t="s">
        <v>451</v>
      </c>
      <c r="EL235" s="1" t="s">
        <v>49</v>
      </c>
      <c r="EU235" s="21"/>
      <c r="EV235" s="1" t="s">
        <v>449</v>
      </c>
      <c r="EW235" s="1" t="s">
        <v>450</v>
      </c>
      <c r="EX235" s="1" t="s">
        <v>579</v>
      </c>
      <c r="EY235" s="1" t="s">
        <v>79</v>
      </c>
      <c r="EZ235" s="1" t="s">
        <v>509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48</v>
      </c>
      <c r="FF235" s="1" t="s">
        <v>451</v>
      </c>
      <c r="FG235" s="1" t="s">
        <v>49</v>
      </c>
      <c r="FI235" s="354"/>
      <c r="FJ235" s="354"/>
      <c r="FK235" s="354"/>
      <c r="FL235" s="354"/>
      <c r="FM235" s="354"/>
    </row>
    <row r="236" spans="2:169" ht="22.05" customHeight="1">
      <c r="Q236" s="14" t="s">
        <v>432</v>
      </c>
      <c r="U236" s="177">
        <f>K242</f>
        <v>7.4647476716394348</v>
      </c>
      <c r="V236" s="175">
        <f>V242</f>
        <v>30.954464502133519</v>
      </c>
      <c r="BO236" s="356" t="s">
        <v>415</v>
      </c>
      <c r="BP236" s="40" t="s">
        <v>233</v>
      </c>
      <c r="BQ236" s="18">
        <f>BS236*BT236</f>
        <v>814.30205275257504</v>
      </c>
      <c r="BR236" s="18">
        <f>BQ236/$BQ$238</f>
        <v>0.23300750051310176</v>
      </c>
      <c r="BS236" s="14">
        <f>MW_O2</f>
        <v>3.1998800000000001E-2</v>
      </c>
      <c r="BT236" s="14">
        <f>O2_Naturalgas_molcoeff*BT248</f>
        <v>25447.893444522138</v>
      </c>
      <c r="BU236" s="144">
        <f>h_O2</f>
        <v>0</v>
      </c>
      <c r="BV236" s="14">
        <f>b_ch_O2</f>
        <v>4</v>
      </c>
      <c r="BW236" s="14">
        <f>BT236/BT238</f>
        <v>0.21008403361344538</v>
      </c>
      <c r="BX236" s="1">
        <f>LN(BW236)</f>
        <v>-1.5602476682433286</v>
      </c>
      <c r="BY236" s="1">
        <f>RT0*BX236</f>
        <v>-3.8656259359049598</v>
      </c>
      <c r="BZ236" s="1">
        <f>BV236+BY236</f>
        <v>0.13437406409504016</v>
      </c>
      <c r="CA236" s="1">
        <f>BZ236*BW236</f>
        <v>2.8229845398117681E-2</v>
      </c>
      <c r="CB236" s="1">
        <f>BT238*CA236</f>
        <v>3419.5368647979703</v>
      </c>
      <c r="CJ236" s="163"/>
      <c r="CK236" s="21"/>
      <c r="CL236" s="1" t="s">
        <v>449</v>
      </c>
      <c r="CM236" s="1" t="s">
        <v>450</v>
      </c>
      <c r="CN236" s="1" t="s">
        <v>579</v>
      </c>
      <c r="CO236" s="1" t="s">
        <v>79</v>
      </c>
      <c r="CP236" s="1" t="s">
        <v>509</v>
      </c>
      <c r="CQ236" s="1" t="s">
        <v>6</v>
      </c>
      <c r="CR236" s="1" t="s">
        <v>7</v>
      </c>
      <c r="CS236" s="1" t="s">
        <v>8</v>
      </c>
      <c r="CT236" s="1" t="s">
        <v>9</v>
      </c>
      <c r="CU236" s="1" t="s">
        <v>48</v>
      </c>
      <c r="CV236" s="1" t="s">
        <v>451</v>
      </c>
      <c r="CW236" s="1" t="s">
        <v>49</v>
      </c>
      <c r="CY236" s="137" t="s">
        <v>47</v>
      </c>
      <c r="CZ236" s="194" t="s">
        <v>47</v>
      </c>
      <c r="DA236" s="1" t="s">
        <v>83</v>
      </c>
      <c r="DB236" s="359"/>
      <c r="DC236" s="96" t="s">
        <v>77</v>
      </c>
      <c r="DE236" s="21" t="s">
        <v>40</v>
      </c>
      <c r="DF236" s="1" t="s">
        <v>82</v>
      </c>
      <c r="DG236" s="21" t="s">
        <v>213</v>
      </c>
      <c r="DH236" s="139" t="s">
        <v>84</v>
      </c>
      <c r="DI236" s="139" t="s">
        <v>80</v>
      </c>
      <c r="DJ236" s="1" t="s">
        <v>89</v>
      </c>
      <c r="DK236" s="139" t="s">
        <v>89</v>
      </c>
      <c r="DL236" s="139" t="s">
        <v>24</v>
      </c>
      <c r="DM236" s="139" t="s">
        <v>91</v>
      </c>
      <c r="DN236" s="139" t="s">
        <v>89</v>
      </c>
      <c r="DO236" s="139" t="s">
        <v>89</v>
      </c>
      <c r="DP236" s="139" t="s">
        <v>88</v>
      </c>
      <c r="DQ236" s="139" t="s">
        <v>86</v>
      </c>
      <c r="DS236" s="137" t="s">
        <v>47</v>
      </c>
      <c r="DT236" s="194" t="s">
        <v>47</v>
      </c>
      <c r="DU236" s="1" t="s">
        <v>83</v>
      </c>
      <c r="DV236" s="359"/>
      <c r="DW236" s="96" t="s">
        <v>77</v>
      </c>
      <c r="DZ236" s="21" t="s">
        <v>40</v>
      </c>
      <c r="EA236" s="1" t="s">
        <v>82</v>
      </c>
      <c r="EB236" s="21" t="s">
        <v>213</v>
      </c>
      <c r="EC236" s="139" t="s">
        <v>84</v>
      </c>
      <c r="ED236" s="139" t="s">
        <v>80</v>
      </c>
      <c r="EE236" s="1" t="s">
        <v>89</v>
      </c>
      <c r="EF236" s="139" t="s">
        <v>89</v>
      </c>
      <c r="EG236" s="139" t="s">
        <v>24</v>
      </c>
      <c r="EH236" s="139" t="s">
        <v>91</v>
      </c>
      <c r="EI236" s="139" t="s">
        <v>89</v>
      </c>
      <c r="EJ236" s="139" t="s">
        <v>89</v>
      </c>
      <c r="EK236" s="139" t="s">
        <v>88</v>
      </c>
      <c r="EL236" s="139" t="s">
        <v>86</v>
      </c>
      <c r="EU236" s="21" t="s">
        <v>40</v>
      </c>
      <c r="EV236" s="1" t="s">
        <v>82</v>
      </c>
      <c r="EW236" s="21" t="s">
        <v>213</v>
      </c>
      <c r="EX236" s="139" t="s">
        <v>84</v>
      </c>
      <c r="EY236" s="139" t="s">
        <v>80</v>
      </c>
      <c r="EZ236" s="1" t="s">
        <v>89</v>
      </c>
      <c r="FA236" s="139" t="s">
        <v>89</v>
      </c>
      <c r="FB236" s="139" t="s">
        <v>24</v>
      </c>
      <c r="FC236" s="139" t="s">
        <v>91</v>
      </c>
      <c r="FD236" s="139" t="s">
        <v>89</v>
      </c>
      <c r="FE236" s="139" t="s">
        <v>89</v>
      </c>
      <c r="FF236" s="139" t="s">
        <v>88</v>
      </c>
      <c r="FG236" s="139" t="s">
        <v>86</v>
      </c>
    </row>
    <row r="237" spans="2:169" ht="18" customHeight="1">
      <c r="BO237" s="356"/>
      <c r="BP237" s="159" t="s">
        <v>66</v>
      </c>
      <c r="BQ237" s="14">
        <f>BT237*BS237</f>
        <v>2680.4440432289475</v>
      </c>
      <c r="BR237" s="14">
        <f>BQ237/$BQ$238</f>
        <v>0.76699249948689818</v>
      </c>
      <c r="BS237" s="58">
        <f>MW_N2</f>
        <v>2.801348E-2</v>
      </c>
      <c r="BT237" s="58">
        <f>N2_molcoeff*BT236</f>
        <v>95684.079351403241</v>
      </c>
      <c r="BU237" s="27">
        <f>h_N2</f>
        <v>0</v>
      </c>
      <c r="BV237" s="58">
        <f>b_ch_N2</f>
        <v>0.7</v>
      </c>
      <c r="BW237" s="58">
        <f>BT237/BT238</f>
        <v>0.78991596638655459</v>
      </c>
      <c r="BX237" s="139">
        <f>LN(BW237)</f>
        <v>-0.23582871084152554</v>
      </c>
      <c r="BY237" s="139">
        <f>RT0*BX237</f>
        <v>-0.58428261077706012</v>
      </c>
      <c r="BZ237" s="139">
        <f>BV237+BY237</f>
        <v>0.11571738922293984</v>
      </c>
      <c r="CA237" s="139">
        <f>BZ237*BW237</f>
        <v>9.1407013335767603E-2</v>
      </c>
      <c r="CB237" s="139">
        <f>BT238*CA237</f>
        <v>11072.31185274499</v>
      </c>
      <c r="CJ237" s="163"/>
      <c r="CK237" s="21" t="s">
        <v>40</v>
      </c>
      <c r="CL237" s="1" t="s">
        <v>82</v>
      </c>
      <c r="CM237" s="21" t="s">
        <v>213</v>
      </c>
      <c r="CN237" s="139" t="s">
        <v>84</v>
      </c>
      <c r="CO237" s="139" t="s">
        <v>80</v>
      </c>
      <c r="CP237" s="1" t="s">
        <v>89</v>
      </c>
      <c r="CQ237" s="139" t="s">
        <v>89</v>
      </c>
      <c r="CR237" s="139" t="s">
        <v>24</v>
      </c>
      <c r="CS237" s="139" t="s">
        <v>91</v>
      </c>
      <c r="CT237" s="139" t="s">
        <v>89</v>
      </c>
      <c r="CU237" s="139" t="s">
        <v>89</v>
      </c>
      <c r="CV237" s="139" t="s">
        <v>88</v>
      </c>
      <c r="CW237" s="139" t="s">
        <v>86</v>
      </c>
      <c r="CY237" s="196">
        <f>0</f>
        <v>0</v>
      </c>
      <c r="CZ237" s="190">
        <f>CW234+DD229-DQ233</f>
        <v>16002.672043499071</v>
      </c>
      <c r="DA237" s="17">
        <f>DP233-CV234</f>
        <v>0</v>
      </c>
      <c r="DB237" s="99" t="s">
        <v>489</v>
      </c>
      <c r="DC237" s="96">
        <f>DQ233/(CW234+DD229)</f>
        <v>0.9960578434433518</v>
      </c>
      <c r="DD237" s="351" t="s">
        <v>515</v>
      </c>
      <c r="DE237" s="18" t="s">
        <v>65</v>
      </c>
      <c r="DF237" s="18">
        <f>H2_out_COtreatment</f>
        <v>27.953139145643746</v>
      </c>
      <c r="DG237" s="18">
        <f>DF237/$DF$241</f>
        <v>0.60636133535456904</v>
      </c>
      <c r="DH237" s="14">
        <f>MW_H*2</f>
        <v>2.0158800000000003E-3</v>
      </c>
      <c r="DI237" s="18">
        <f>DF237/DH237</f>
        <v>13866.469802589312</v>
      </c>
      <c r="DJ237" s="18">
        <f>h_H2</f>
        <v>0</v>
      </c>
      <c r="DK237" s="18">
        <f>b_ch_H2</f>
        <v>236.1</v>
      </c>
      <c r="DL237" s="18">
        <f>DI237/$DI$241</f>
        <v>0.93198229871837579</v>
      </c>
      <c r="DM237" s="18">
        <f>LN(DL237)</f>
        <v>-7.0441457268353505E-2</v>
      </c>
      <c r="DN237" s="18">
        <f>RT0*DM237</f>
        <v>-0.17452378216726913</v>
      </c>
      <c r="DO237" s="18">
        <f>DK237+DN237</f>
        <v>235.92547621783274</v>
      </c>
      <c r="DP237" s="18">
        <f>DO237*DL237</f>
        <v>219.87836765172327</v>
      </c>
      <c r="DQ237" s="18">
        <f>DP237*$DI$241</f>
        <v>3271453.4916360807</v>
      </c>
      <c r="DS237" s="196">
        <f>0</f>
        <v>0</v>
      </c>
      <c r="DT237" s="190">
        <f>DQ233-EL233</f>
        <v>0</v>
      </c>
      <c r="DU237" s="17">
        <f>EK233-DP233</f>
        <v>0</v>
      </c>
      <c r="DV237" s="99" t="s">
        <v>489</v>
      </c>
      <c r="DW237" s="96">
        <f>EL233/DQ233</f>
        <v>1</v>
      </c>
      <c r="DY237" s="351" t="s">
        <v>419</v>
      </c>
      <c r="DZ237" s="18" t="s">
        <v>65</v>
      </c>
      <c r="EA237" s="18">
        <f>H2_out_COtreatment</f>
        <v>27.953139145643746</v>
      </c>
      <c r="EB237" s="18">
        <f>EA237/$DF$241</f>
        <v>0.60636133535456904</v>
      </c>
      <c r="EC237" s="18">
        <f>MW_H*2</f>
        <v>2.0158800000000003E-3</v>
      </c>
      <c r="ED237" s="18">
        <f>EA237/EC237</f>
        <v>13866.469802589312</v>
      </c>
      <c r="EE237" s="18">
        <f>h_H2</f>
        <v>0</v>
      </c>
      <c r="EF237" s="18">
        <f>b_ch_H2</f>
        <v>236.1</v>
      </c>
      <c r="EG237" s="18">
        <f>ED237/$DI$241</f>
        <v>0.93198229871837579</v>
      </c>
      <c r="EH237" s="18">
        <f>LN(EG237)</f>
        <v>-7.0441457268353505E-2</v>
      </c>
      <c r="EI237" s="18">
        <f>RT0*EH237</f>
        <v>-0.17452378216726913</v>
      </c>
      <c r="EJ237" s="18">
        <f>EF237+EI237</f>
        <v>235.92547621783274</v>
      </c>
      <c r="EK237" s="18">
        <f>EJ237*EG237</f>
        <v>219.87836765172327</v>
      </c>
      <c r="EL237" s="18">
        <f>EK237*$DI$241</f>
        <v>3271453.4916360807</v>
      </c>
      <c r="ET237" s="352" t="s">
        <v>517</v>
      </c>
      <c r="EU237" s="18" t="s">
        <v>65</v>
      </c>
      <c r="EV237" s="18">
        <f>H2_to_coke_oven</f>
        <v>8.3859417436931238</v>
      </c>
      <c r="EW237" s="18">
        <f>EV237/$EV$241</f>
        <v>0.60636133535456915</v>
      </c>
      <c r="EX237" s="18">
        <f>MW_H*2</f>
        <v>2.0158800000000003E-3</v>
      </c>
      <c r="EY237" s="18">
        <f>EV237/EX237</f>
        <v>4159.9409407767935</v>
      </c>
      <c r="EZ237" s="18">
        <f>h_H2</f>
        <v>0</v>
      </c>
      <c r="FA237" s="18">
        <f>b_ch_H2</f>
        <v>236.1</v>
      </c>
      <c r="FB237" s="18">
        <f>EY237/$EY$241</f>
        <v>0.93198229871837568</v>
      </c>
      <c r="FC237" s="18">
        <f>LN(FB237)</f>
        <v>-7.0441457268353616E-2</v>
      </c>
      <c r="FD237" s="18">
        <f>RT0*FC237</f>
        <v>-0.17452378216726941</v>
      </c>
      <c r="FE237" s="18">
        <f>FA237+FD237</f>
        <v>235.92547621783274</v>
      </c>
      <c r="FF237" s="18">
        <f>FE237*FB237</f>
        <v>219.87836765172324</v>
      </c>
      <c r="FG237" s="18">
        <f>FF237*$EY$241</f>
        <v>981436.04749082413</v>
      </c>
    </row>
    <row r="238" spans="2:169" ht="22.95" customHeight="1">
      <c r="E238" s="348" t="s">
        <v>414</v>
      </c>
      <c r="F238" s="348"/>
      <c r="G238" s="348"/>
      <c r="H238" s="348"/>
      <c r="J238" s="21"/>
      <c r="K238" s="1" t="s">
        <v>449</v>
      </c>
      <c r="L238" s="1" t="s">
        <v>450</v>
      </c>
      <c r="M238" s="1" t="s">
        <v>579</v>
      </c>
      <c r="N238" s="1" t="s">
        <v>79</v>
      </c>
      <c r="O238" s="1" t="s">
        <v>509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48</v>
      </c>
      <c r="U238" s="1" t="s">
        <v>451</v>
      </c>
      <c r="V238" s="1" t="s">
        <v>49</v>
      </c>
      <c r="AE238" t="s">
        <v>789</v>
      </c>
      <c r="BP238" s="14" t="s">
        <v>18</v>
      </c>
      <c r="BQ238" s="18">
        <f>SUM(BQ236:BQ237)</f>
        <v>3494.7460959815226</v>
      </c>
      <c r="BR238" s="18">
        <f>SUM(BR236:BR237)</f>
        <v>1</v>
      </c>
      <c r="BS238" s="14">
        <f>SUM(BS236:BS237)</f>
        <v>6.0012280000000001E-2</v>
      </c>
      <c r="BT238" s="14">
        <f>SUM(BT236:BT237)</f>
        <v>121131.97279592538</v>
      </c>
      <c r="BU238" s="144">
        <f>SUM(BU236:BU237)</f>
        <v>0</v>
      </c>
      <c r="CA238" s="14">
        <f>SUM(CA236:CA237)</f>
        <v>0.11963685873388528</v>
      </c>
      <c r="CB238" s="14">
        <f>SUM(CB236:CB237)</f>
        <v>14491.84871754296</v>
      </c>
      <c r="CJ238" s="343" t="s">
        <v>422</v>
      </c>
      <c r="CK238" s="18" t="s">
        <v>65</v>
      </c>
      <c r="CL238" s="18">
        <f>Calculators!P107</f>
        <v>28.443579508210192</v>
      </c>
      <c r="CM238" s="18">
        <f>CL238/$CL$243</f>
        <v>0.6170000000000001</v>
      </c>
      <c r="CN238" s="18">
        <f>MW_H*2</f>
        <v>2.0158800000000003E-3</v>
      </c>
      <c r="CO238" s="18">
        <f>CL238/CN238</f>
        <v>14109.758273414185</v>
      </c>
      <c r="CP238" s="18">
        <f>h_H2</f>
        <v>0</v>
      </c>
      <c r="CQ238" s="18">
        <f>b_ch_H2</f>
        <v>236.1</v>
      </c>
      <c r="CR238" s="18">
        <f>CO238/$CO$243</f>
        <v>0.9376599289051748</v>
      </c>
      <c r="CS238" s="18">
        <f t="shared" ref="CS238:CS242" si="126">LN(CR238)</f>
        <v>-6.4367944854346146E-2</v>
      </c>
      <c r="CT238" s="18">
        <f t="shared" ref="CT238:CT242" si="127">RT0*CS238</f>
        <v>-0.15947621786867208</v>
      </c>
      <c r="CU238" s="18">
        <f t="shared" ref="CU238:CU242" si="128">CQ238+CT238</f>
        <v>235.94052378213132</v>
      </c>
      <c r="CV238" s="18">
        <f t="shared" ref="CV238:CV242" si="129">CR238*CU238</f>
        <v>221.23197475540297</v>
      </c>
      <c r="CW238" s="18">
        <f>CV238*$CO$243</f>
        <v>3329063.757468604</v>
      </c>
      <c r="CY238" s="21"/>
      <c r="CZ238" s="21"/>
      <c r="DB238" s="100" t="s">
        <v>318</v>
      </c>
      <c r="DC238" s="97">
        <f>DQ238/(CW234+DD229)</f>
        <v>0.18236833377116268</v>
      </c>
      <c r="DD238" s="351"/>
      <c r="DE238" s="14" t="s">
        <v>64</v>
      </c>
      <c r="DF238" s="14">
        <f>CH4_out_COtreatment</f>
        <v>14.39845654674178</v>
      </c>
      <c r="DG238" s="14">
        <f t="shared" ref="DG238:DG240" si="130">DF238/$DF$241</f>
        <v>0.31233226770123534</v>
      </c>
      <c r="DH238" s="14">
        <f>MW_CH4</f>
        <v>1.604276E-2</v>
      </c>
      <c r="DI238" s="14">
        <f t="shared" ref="DI238:DI240" si="131">DF238/DH238</f>
        <v>897.50495218664253</v>
      </c>
      <c r="DJ238" s="14">
        <f>h_CH4</f>
        <v>-74.599999999999994</v>
      </c>
      <c r="DK238" s="14">
        <f>b_ch_CH4</f>
        <v>831.8</v>
      </c>
      <c r="DL238" s="14">
        <f>DI238/$DI$241</f>
        <v>6.0322399309869018E-2</v>
      </c>
      <c r="DM238" s="14">
        <f t="shared" ref="DM238:DM240" si="132">LN(DL238)</f>
        <v>-2.8080517797162496</v>
      </c>
      <c r="DN238" s="14">
        <f>RT0*DM238</f>
        <v>-6.9571504639751476</v>
      </c>
      <c r="DO238" s="14">
        <f t="shared" ref="DO238:DO240" si="133">DK238+DN238</f>
        <v>824.8428495360248</v>
      </c>
      <c r="DP238" s="14">
        <f t="shared" ref="DP238:DP240" si="134">DO238*DL238</f>
        <v>49.756499737602297</v>
      </c>
      <c r="DQ238" s="14">
        <f t="shared" ref="DQ238:DQ240" si="135">DP238*$DI$241</f>
        <v>740300.54223432392</v>
      </c>
      <c r="DS238" s="21"/>
      <c r="DT238" s="21"/>
      <c r="DV238" s="100" t="s">
        <v>318</v>
      </c>
      <c r="DW238" s="97">
        <f>EL233/DQ233</f>
        <v>1</v>
      </c>
      <c r="DY238" s="351"/>
      <c r="DZ238" s="14" t="s">
        <v>64</v>
      </c>
      <c r="EA238" s="14">
        <f>CH4_out_COtreatment</f>
        <v>14.39845654674178</v>
      </c>
      <c r="EB238" s="14">
        <f t="shared" ref="EB238:EB240" si="136">EA238/$DF$241</f>
        <v>0.31233226770123534</v>
      </c>
      <c r="EC238" s="14">
        <f>MW_CH4</f>
        <v>1.604276E-2</v>
      </c>
      <c r="ED238" s="14">
        <f t="shared" ref="ED238:ED240" si="137">EA238/EC238</f>
        <v>897.50495218664253</v>
      </c>
      <c r="EE238" s="14">
        <f>h_CH4</f>
        <v>-74.599999999999994</v>
      </c>
      <c r="EF238" s="14">
        <f>b_ch_CH4</f>
        <v>831.8</v>
      </c>
      <c r="EG238" s="14">
        <f>ED238/$DI$241</f>
        <v>6.0322399309869018E-2</v>
      </c>
      <c r="EH238" s="14">
        <f t="shared" ref="EH238:EH240" si="138">LN(EG238)</f>
        <v>-2.8080517797162496</v>
      </c>
      <c r="EI238" s="14">
        <f>RT0*EH238</f>
        <v>-6.9571504639751476</v>
      </c>
      <c r="EJ238" s="14">
        <f t="shared" ref="EJ238:EJ240" si="139">EF238+EI238</f>
        <v>824.8428495360248</v>
      </c>
      <c r="EK238" s="14">
        <f t="shared" ref="EK238:EK240" si="140">EJ238*EG238</f>
        <v>49.756499737602297</v>
      </c>
      <c r="EL238" s="14">
        <f t="shared" ref="EL238:EL240" si="141">EK238*$DI$241</f>
        <v>740300.54223432392</v>
      </c>
      <c r="EM238" s="14"/>
      <c r="EN238" s="14"/>
      <c r="EO238" s="14"/>
      <c r="EP238" s="14"/>
      <c r="EQ238" s="14"/>
      <c r="ER238" s="14"/>
      <c r="ES238" s="14"/>
      <c r="ET238" s="352"/>
      <c r="EU238" s="14" t="s">
        <v>64</v>
      </c>
      <c r="EV238" s="14">
        <f>CH4_to_DRI</f>
        <v>4.3195369640225341</v>
      </c>
      <c r="EW238" s="14">
        <f t="shared" ref="EW238:EW240" si="142">EV238/$EV$241</f>
        <v>0.31233226770123534</v>
      </c>
      <c r="EX238" s="14">
        <f>MW_CH4</f>
        <v>1.604276E-2</v>
      </c>
      <c r="EY238" s="14">
        <f>EV238/EX238</f>
        <v>269.25148565599272</v>
      </c>
      <c r="EZ238" s="14">
        <f>h_CH4</f>
        <v>-74.599999999999994</v>
      </c>
      <c r="FA238" s="14">
        <f>b_ch_CH4</f>
        <v>831.8</v>
      </c>
      <c r="FB238" s="14">
        <f>EY238/$EY$241</f>
        <v>6.0322399309869004E-2</v>
      </c>
      <c r="FC238" s="14">
        <f>LN(FB238)</f>
        <v>-2.8080517797162501</v>
      </c>
      <c r="FD238" s="14">
        <f>RT0*FC238</f>
        <v>-6.9571504639751485</v>
      </c>
      <c r="FE238" s="14">
        <f>FA238+FD238</f>
        <v>824.8428495360248</v>
      </c>
      <c r="FF238" s="14">
        <f>FE238*FB238</f>
        <v>49.756499737602283</v>
      </c>
      <c r="FG238" s="14">
        <f t="shared" ref="FG238:FG240" si="143">FF238*$EY$241</f>
        <v>222090.16267029714</v>
      </c>
    </row>
    <row r="239" spans="2:169" ht="18" customHeight="1">
      <c r="E239" s="348"/>
      <c r="F239" s="348"/>
      <c r="G239" s="348"/>
      <c r="H239" s="348"/>
      <c r="J239" s="21" t="s">
        <v>40</v>
      </c>
      <c r="K239" s="1" t="s">
        <v>82</v>
      </c>
      <c r="L239" s="21" t="s">
        <v>213</v>
      </c>
      <c r="M239" s="139" t="s">
        <v>84</v>
      </c>
      <c r="N239" s="139" t="s">
        <v>80</v>
      </c>
      <c r="O239" s="1" t="s">
        <v>89</v>
      </c>
      <c r="P239" s="139" t="s">
        <v>89</v>
      </c>
      <c r="Q239" s="139" t="s">
        <v>24</v>
      </c>
      <c r="R239" s="139" t="s">
        <v>91</v>
      </c>
      <c r="S239" s="139" t="s">
        <v>89</v>
      </c>
      <c r="T239" s="139" t="s">
        <v>89</v>
      </c>
      <c r="U239" s="139" t="s">
        <v>88</v>
      </c>
      <c r="V239" s="139" t="s">
        <v>86</v>
      </c>
      <c r="BQ239" s="1" t="s">
        <v>83</v>
      </c>
      <c r="BR239" s="1"/>
      <c r="BS239" s="14" t="s">
        <v>85</v>
      </c>
      <c r="BT239" s="14" t="s">
        <v>81</v>
      </c>
      <c r="BU239" s="1" t="s">
        <v>640</v>
      </c>
      <c r="BV239" s="21"/>
      <c r="BW239" s="21"/>
      <c r="CA239" s="14" t="s">
        <v>90</v>
      </c>
      <c r="CB239" s="1" t="s">
        <v>87</v>
      </c>
      <c r="CJ239" s="343"/>
      <c r="CK239" s="14" t="s">
        <v>289</v>
      </c>
      <c r="CL239" s="14">
        <f>Calculators!P108</f>
        <v>1.3829941414040612</v>
      </c>
      <c r="CM239" s="14">
        <f>CL239/$CL$243</f>
        <v>3.0000000000000002E-2</v>
      </c>
      <c r="CN239" s="14">
        <f>MW_H2S</f>
        <v>3.4081880000000002E-2</v>
      </c>
      <c r="CO239" s="14">
        <f t="shared" ref="CO239:CO242" si="144">CL239/CN239</f>
        <v>40.578575518840545</v>
      </c>
      <c r="CP239" s="14">
        <f>h_H2S</f>
        <v>-20.6</v>
      </c>
      <c r="CQ239" s="14">
        <f t="array" ref="CQ239">b_ch_H2S</f>
        <v>810.3463999999999</v>
      </c>
      <c r="CR239" s="14">
        <f>CO239/$CO$243</f>
        <v>2.6966375680412325E-3</v>
      </c>
      <c r="CS239" s="14">
        <f t="shared" si="126"/>
        <v>-5.9157496272284611</v>
      </c>
      <c r="CT239" s="14">
        <f t="shared" si="127"/>
        <v>-14.656695635431673</v>
      </c>
      <c r="CU239" s="14">
        <f t="shared" si="128"/>
        <v>795.68970436456823</v>
      </c>
      <c r="CV239" s="14">
        <f t="shared" si="129"/>
        <v>2.1456867492931164</v>
      </c>
      <c r="CW239" s="14">
        <f>CV239*$CO$243</f>
        <v>32287.954758121534</v>
      </c>
      <c r="CY239" s="21"/>
      <c r="CZ239" s="21"/>
      <c r="DD239" s="351"/>
      <c r="DE239" s="24" t="s">
        <v>23</v>
      </c>
      <c r="DF239" s="14">
        <f>O2_out_COtreatment</f>
        <v>2.3652148796791215</v>
      </c>
      <c r="DG239" s="14">
        <f t="shared" si="130"/>
        <v>5.1306396944195518E-2</v>
      </c>
      <c r="DH239" s="14">
        <f>MW_O2</f>
        <v>3.1998800000000001E-2</v>
      </c>
      <c r="DI239" s="14">
        <f t="shared" si="131"/>
        <v>73.915736830103668</v>
      </c>
      <c r="DJ239" s="14">
        <f>h_O2</f>
        <v>0</v>
      </c>
      <c r="DK239" s="14">
        <f>b_ch_O2</f>
        <v>4</v>
      </c>
      <c r="DL239" s="14">
        <f>DI239/$DI$241</f>
        <v>4.967966562730978E-3</v>
      </c>
      <c r="DM239" s="14">
        <f t="shared" si="132"/>
        <v>-5.3047446649028007</v>
      </c>
      <c r="DN239" s="14">
        <f>RT0*DM239</f>
        <v>-13.142886848912561</v>
      </c>
      <c r="DO239" s="14">
        <f t="shared" si="133"/>
        <v>-9.1428868489125605</v>
      </c>
      <c r="DP239" s="14">
        <f t="shared" si="134"/>
        <v>-4.5421556152230397E-2</v>
      </c>
      <c r="DQ239" s="14">
        <f t="shared" si="135"/>
        <v>-675.80321819163657</v>
      </c>
      <c r="DS239" s="21"/>
      <c r="DT239" s="21"/>
      <c r="DY239" s="351"/>
      <c r="DZ239" s="24" t="s">
        <v>23</v>
      </c>
      <c r="EA239" s="14">
        <f>O2_out_COtreatment</f>
        <v>2.3652148796791215</v>
      </c>
      <c r="EB239" s="14">
        <f t="shared" si="136"/>
        <v>5.1306396944195518E-2</v>
      </c>
      <c r="EC239" s="14">
        <f>MW_O2</f>
        <v>3.1998800000000001E-2</v>
      </c>
      <c r="ED239" s="14">
        <f t="shared" si="137"/>
        <v>73.915736830103668</v>
      </c>
      <c r="EE239" s="14">
        <f>h_O2</f>
        <v>0</v>
      </c>
      <c r="EF239" s="14">
        <f>b_ch_O2</f>
        <v>4</v>
      </c>
      <c r="EG239" s="14">
        <f>ED239/$DI$241</f>
        <v>4.967966562730978E-3</v>
      </c>
      <c r="EH239" s="14">
        <f t="shared" si="138"/>
        <v>-5.3047446649028007</v>
      </c>
      <c r="EI239" s="14">
        <f>RT0*EH239</f>
        <v>-13.142886848912561</v>
      </c>
      <c r="EJ239" s="14">
        <f t="shared" si="139"/>
        <v>-9.1428868489125605</v>
      </c>
      <c r="EK239" s="14">
        <f t="shared" si="140"/>
        <v>-4.5421556152230397E-2</v>
      </c>
      <c r="EL239" s="14">
        <f t="shared" si="141"/>
        <v>-675.80321819163657</v>
      </c>
      <c r="EM239" s="1"/>
      <c r="EN239" s="1"/>
      <c r="EO239" s="1"/>
      <c r="EP239" s="1"/>
      <c r="EQ239" s="1"/>
      <c r="ER239" s="1"/>
      <c r="ES239" s="1"/>
      <c r="ET239" s="352"/>
      <c r="EU239" s="24" t="s">
        <v>23</v>
      </c>
      <c r="EV239" s="14">
        <f>O2_to_coke_oven</f>
        <v>0.7095644639037364</v>
      </c>
      <c r="EW239" s="14">
        <f t="shared" si="142"/>
        <v>5.1306396944195518E-2</v>
      </c>
      <c r="EX239" s="14">
        <f>MW_O2</f>
        <v>3.1998800000000001E-2</v>
      </c>
      <c r="EY239" s="14">
        <f>EV239/EX239</f>
        <v>22.174721049031099</v>
      </c>
      <c r="EZ239" s="14">
        <f>h_O2</f>
        <v>0</v>
      </c>
      <c r="FA239" s="14">
        <f>b_ch_O2</f>
        <v>4</v>
      </c>
      <c r="FB239" s="14">
        <f>EY239/$EY$241</f>
        <v>4.9679665627309771E-3</v>
      </c>
      <c r="FC239" s="14">
        <f>LN(FB239)</f>
        <v>-5.3047446649028007</v>
      </c>
      <c r="FD239" s="14">
        <f>RT0*FC239</f>
        <v>-13.142886848912561</v>
      </c>
      <c r="FE239" s="14">
        <f>FA239+FD239</f>
        <v>-9.1428868489125605</v>
      </c>
      <c r="FF239" s="14">
        <f>FE239*FB239</f>
        <v>-4.542155615223039E-2</v>
      </c>
      <c r="FG239" s="14">
        <f t="shared" si="143"/>
        <v>-202.74096545749097</v>
      </c>
    </row>
    <row r="240" spans="2:169" ht="18" customHeight="1">
      <c r="I240" s="343" t="s">
        <v>420</v>
      </c>
      <c r="J240" s="40" t="s">
        <v>233</v>
      </c>
      <c r="K240" s="18">
        <f>O2_in_Coal_Ext</f>
        <v>1.7393421969297009</v>
      </c>
      <c r="L240" s="18">
        <f>K240/$BQ$238</f>
        <v>4.9770202159456027E-4</v>
      </c>
      <c r="M240" s="14">
        <f>MW_O2</f>
        <v>3.1998800000000001E-2</v>
      </c>
      <c r="N240" s="14">
        <f>O2_Diesel_molcoeff*N226</f>
        <v>54.356482022128979</v>
      </c>
      <c r="O240" s="18">
        <f>h_O2</f>
        <v>0</v>
      </c>
      <c r="P240" s="14">
        <f>b_ch_O2</f>
        <v>4</v>
      </c>
      <c r="Q240" s="14">
        <f>N240/N242</f>
        <v>0.21008403361344538</v>
      </c>
      <c r="R240" s="1">
        <f>LN(Q240)</f>
        <v>-1.5602476682433286</v>
      </c>
      <c r="S240" s="1">
        <f>RT0*R240</f>
        <v>-3.8656259359049598</v>
      </c>
      <c r="T240" s="1">
        <f>P240+S240</f>
        <v>0.13437406409504016</v>
      </c>
      <c r="U240" s="1">
        <f>T240*Q240</f>
        <v>2.8229845398117681E-2</v>
      </c>
      <c r="V240" s="1">
        <f>N242*U240</f>
        <v>7.3041013992224579</v>
      </c>
      <c r="AD240" s="307" t="s">
        <v>782</v>
      </c>
      <c r="AE240" s="307" t="s">
        <v>265</v>
      </c>
      <c r="AF240" s="308" t="s">
        <v>250</v>
      </c>
      <c r="AG240" s="308" t="s">
        <v>783</v>
      </c>
      <c r="CJ240" s="343"/>
      <c r="CK240" s="14" t="s">
        <v>112</v>
      </c>
      <c r="CL240" s="14">
        <f>Calculators!P109</f>
        <v>2.6737886733811851</v>
      </c>
      <c r="CM240" s="14">
        <f>CL240/$CL$243</f>
        <v>5.800000000000001E-2</v>
      </c>
      <c r="CN240" s="14">
        <f>MW_CO</f>
        <v>2.8010399999999998E-2</v>
      </c>
      <c r="CO240" s="14">
        <f t="shared" si="144"/>
        <v>95.456997164666888</v>
      </c>
      <c r="CP240" s="14">
        <f>h_CO</f>
        <v>-110.5</v>
      </c>
      <c r="CQ240" s="14">
        <f>b_ch_CO</f>
        <v>275.02296000000001</v>
      </c>
      <c r="CR240" s="14">
        <f>CO240/$CO$243</f>
        <v>6.3435672986384131E-3</v>
      </c>
      <c r="CS240" s="14">
        <f t="shared" si="126"/>
        <v>-5.0603140033694451</v>
      </c>
      <c r="CT240" s="14">
        <f t="shared" si="127"/>
        <v>-12.537292285956042</v>
      </c>
      <c r="CU240" s="14">
        <f t="shared" si="128"/>
        <v>262.48566771404398</v>
      </c>
      <c r="CV240" s="14">
        <f t="shared" si="129"/>
        <v>1.665095498072078</v>
      </c>
      <c r="CW240" s="14">
        <f>CV240*$CO$243</f>
        <v>25056.093638745191</v>
      </c>
      <c r="DD240" s="351"/>
      <c r="DE240" s="14" t="s">
        <v>289</v>
      </c>
      <c r="DF240" s="14">
        <f>H2S_out_COGtreatment</f>
        <v>1.3829941414040612</v>
      </c>
      <c r="DG240" s="14">
        <f t="shared" si="130"/>
        <v>2.9999999999999995E-2</v>
      </c>
      <c r="DH240" s="58">
        <f>MW_H2S</f>
        <v>3.4081880000000002E-2</v>
      </c>
      <c r="DI240" s="14">
        <f t="shared" si="131"/>
        <v>40.578575518840545</v>
      </c>
      <c r="DJ240" s="14">
        <f>h_H2S</f>
        <v>-20.6</v>
      </c>
      <c r="DK240" s="14">
        <f>b_ch_H2S</f>
        <v>810.3463999999999</v>
      </c>
      <c r="DL240" s="14">
        <f>DI240/$DI$241</f>
        <v>2.72733540902417E-3</v>
      </c>
      <c r="DM240" s="14">
        <f t="shared" si="132"/>
        <v>-5.9044301870736025</v>
      </c>
      <c r="DN240" s="14">
        <f>RT0*DM240</f>
        <v>-14.62865090744832</v>
      </c>
      <c r="DO240" s="14">
        <f t="shared" si="133"/>
        <v>795.71774909255157</v>
      </c>
      <c r="DP240" s="14">
        <f t="shared" si="134"/>
        <v>2.1701891926891261</v>
      </c>
      <c r="DQ240" s="14">
        <f t="shared" si="135"/>
        <v>32289.092773233919</v>
      </c>
      <c r="DY240" s="351"/>
      <c r="DZ240" s="14" t="s">
        <v>289</v>
      </c>
      <c r="EA240" s="14">
        <f>H2S_out_COGtreatment</f>
        <v>1.3829941414040612</v>
      </c>
      <c r="EB240" s="14">
        <f t="shared" si="136"/>
        <v>2.9999999999999995E-2</v>
      </c>
      <c r="EC240" s="58">
        <f>MW_H2S</f>
        <v>3.4081880000000002E-2</v>
      </c>
      <c r="ED240" s="14">
        <f t="shared" si="137"/>
        <v>40.578575518840545</v>
      </c>
      <c r="EE240" s="14">
        <f>h_H2S</f>
        <v>-20.6</v>
      </c>
      <c r="EF240" s="14">
        <f>b_ch_H2S</f>
        <v>810.3463999999999</v>
      </c>
      <c r="EG240" s="14">
        <f>ED240/$DI$241</f>
        <v>2.72733540902417E-3</v>
      </c>
      <c r="EH240" s="14">
        <f t="shared" si="138"/>
        <v>-5.9044301870736025</v>
      </c>
      <c r="EI240" s="14">
        <f>RT0*EH240</f>
        <v>-14.62865090744832</v>
      </c>
      <c r="EJ240" s="14">
        <f t="shared" si="139"/>
        <v>795.71774909255157</v>
      </c>
      <c r="EK240" s="14">
        <f t="shared" si="140"/>
        <v>2.1701891926891261</v>
      </c>
      <c r="EL240" s="14">
        <f t="shared" si="141"/>
        <v>32289.092773233919</v>
      </c>
      <c r="ET240" s="352"/>
      <c r="EU240" s="14" t="s">
        <v>289</v>
      </c>
      <c r="EV240" s="14">
        <f>H2S_to_DRI</f>
        <v>0.41489824242121831</v>
      </c>
      <c r="EW240" s="14">
        <f t="shared" si="142"/>
        <v>2.9999999999999995E-2</v>
      </c>
      <c r="EX240" s="58">
        <f>MW_H2S</f>
        <v>3.4081880000000002E-2</v>
      </c>
      <c r="EY240" s="14">
        <f>EV240/EX240</f>
        <v>12.173572655652162</v>
      </c>
      <c r="EZ240" s="14">
        <f>h_H2S</f>
        <v>-20.6</v>
      </c>
      <c r="FA240" s="14">
        <f>b_ch_H2S</f>
        <v>810.3463999999999</v>
      </c>
      <c r="FB240" s="14">
        <f>EY240/$EY$241</f>
        <v>2.7273354090241691E-3</v>
      </c>
      <c r="FC240" s="14">
        <f>LN(FB240)</f>
        <v>-5.9044301870736025</v>
      </c>
      <c r="FD240" s="14">
        <f>RT0*FC240</f>
        <v>-14.62865090744832</v>
      </c>
      <c r="FE240" s="14">
        <f>FA240+FD240</f>
        <v>795.71774909255157</v>
      </c>
      <c r="FF240" s="14">
        <f>FE240*FB240</f>
        <v>2.1701891926891252</v>
      </c>
      <c r="FG240" s="14">
        <f t="shared" si="143"/>
        <v>9686.7278319701727</v>
      </c>
    </row>
    <row r="241" spans="4:163" ht="19.05" customHeight="1">
      <c r="I241" s="343"/>
      <c r="J241" s="159" t="s">
        <v>66</v>
      </c>
      <c r="K241" s="14">
        <f>N2_in_Coal_Ext</f>
        <v>5.725405474709734</v>
      </c>
      <c r="L241" s="14">
        <f>K241/$BQ$238</f>
        <v>1.6382893971304991E-3</v>
      </c>
      <c r="M241" s="58">
        <f>MW_N2</f>
        <v>2.801348E-2</v>
      </c>
      <c r="N241" s="58">
        <f>AH233</f>
        <v>204.38037240320494</v>
      </c>
      <c r="O241" s="58">
        <f>h_N2</f>
        <v>0</v>
      </c>
      <c r="P241" s="58">
        <f>b_ch_N2</f>
        <v>0.7</v>
      </c>
      <c r="Q241" s="58">
        <f>N241/N242</f>
        <v>0.78991596638655459</v>
      </c>
      <c r="R241" s="139">
        <f>LN(Q241)</f>
        <v>-0.23582871084152554</v>
      </c>
      <c r="S241" s="139">
        <f>RT0*R241</f>
        <v>-0.58428261077706012</v>
      </c>
      <c r="T241" s="139">
        <f>P241+S241</f>
        <v>0.11571738922293984</v>
      </c>
      <c r="U241" s="139">
        <f>T241*Q241</f>
        <v>9.1407013335767603E-2</v>
      </c>
      <c r="V241" s="139">
        <f>N242*U241</f>
        <v>23.650363102911061</v>
      </c>
      <c r="AD241" s="307" t="s">
        <v>47</v>
      </c>
      <c r="AE241" s="307" t="s">
        <v>62</v>
      </c>
      <c r="AF241" s="307" t="s">
        <v>91</v>
      </c>
      <c r="AG241" s="307" t="s">
        <v>47</v>
      </c>
      <c r="CJ241" s="343"/>
      <c r="CK241" s="24" t="s">
        <v>63</v>
      </c>
      <c r="CL241" s="14">
        <f>Calculators!P110</f>
        <v>1.1524951178367178</v>
      </c>
      <c r="CM241" s="14">
        <f>CL241/$CL$243</f>
        <v>2.5000000000000005E-2</v>
      </c>
      <c r="CN241" s="14">
        <f>MW_CO2</f>
        <v>4.4009800000000002E-2</v>
      </c>
      <c r="CO241" s="14">
        <f t="shared" si="144"/>
        <v>26.187238247770217</v>
      </c>
      <c r="CP241" s="14">
        <f>h_CO2</f>
        <v>-393.5</v>
      </c>
      <c r="CQ241" s="14">
        <f>b_ch_CO2</f>
        <v>19.900000000000034</v>
      </c>
      <c r="CR241" s="14">
        <f>CO241/$CO$243</f>
        <v>1.7402653878127359E-3</v>
      </c>
      <c r="CS241" s="14">
        <f t="shared" si="126"/>
        <v>-6.3537176556544983</v>
      </c>
      <c r="CT241" s="14">
        <f t="shared" si="127"/>
        <v>-15.741792959555227</v>
      </c>
      <c r="CU241" s="14">
        <f t="shared" si="128"/>
        <v>4.1582070404448075</v>
      </c>
      <c r="CV241" s="14">
        <f t="shared" si="129"/>
        <v>7.2363837878453314E-3</v>
      </c>
      <c r="CW241" s="14">
        <f>CV241*$CO$243</f>
        <v>108.89195845168366</v>
      </c>
      <c r="DE241" s="18" t="s">
        <v>18</v>
      </c>
      <c r="DF241" s="18">
        <f>SUM(DF237:DF240)</f>
        <v>46.099804713468714</v>
      </c>
      <c r="DG241" s="18">
        <f>SUM(DG237:DG240)</f>
        <v>0.99999999999999989</v>
      </c>
      <c r="DH241" s="18">
        <f>SUM(DH237:DH240)</f>
        <v>8.4139320000000004E-2</v>
      </c>
      <c r="DI241" s="18">
        <f>SUM(DI237:DI240)</f>
        <v>14878.469067124899</v>
      </c>
      <c r="DJ241" s="18">
        <f t="array" ref="DJ241">SUM(DF237:DF240*DJ237:DJ240) / DF241</f>
        <v>-23.917987170512152</v>
      </c>
      <c r="DK241" s="18">
        <f>SUM(DK237:DK240)</f>
        <v>1882.2463999999998</v>
      </c>
      <c r="DL241" s="18">
        <f>SUM(DL237:DL240)</f>
        <v>1</v>
      </c>
      <c r="DM241" s="18"/>
      <c r="DN241" s="18"/>
      <c r="DO241" s="18"/>
      <c r="DP241" s="18">
        <f>SUM(DP237:DP240)</f>
        <v>271.75963502586245</v>
      </c>
      <c r="DQ241" s="18">
        <f>SUM(DQ237:DQ240)</f>
        <v>4043367.3234254471</v>
      </c>
      <c r="DZ241" s="18" t="s">
        <v>18</v>
      </c>
      <c r="EA241" s="18">
        <f>SUM(EA237:EA240)</f>
        <v>46.099804713468714</v>
      </c>
      <c r="EB241" s="18">
        <f>SUM(EB237:EB240)</f>
        <v>0.99999999999999989</v>
      </c>
      <c r="EC241" s="18">
        <f>SUM(EC237:EC240)</f>
        <v>8.4139320000000004E-2</v>
      </c>
      <c r="ED241" s="18">
        <f>SUM(ED237:ED240)</f>
        <v>14878.469067124899</v>
      </c>
      <c r="EE241" s="18">
        <f t="array" ref="EE241">SUM(EA237:EA240*EE237:EE240) / EA241</f>
        <v>-23.917987170512152</v>
      </c>
      <c r="EF241" s="18">
        <f>SUM(EF237:EF240)</f>
        <v>1882.2463999999998</v>
      </c>
      <c r="EG241" s="18">
        <f>SUM(EG237:EG240)</f>
        <v>1</v>
      </c>
      <c r="EH241" s="18"/>
      <c r="EI241" s="18"/>
      <c r="EJ241" s="18"/>
      <c r="EK241" s="18">
        <f>SUM(EK237:EK240)</f>
        <v>271.75963502586245</v>
      </c>
      <c r="EL241" s="18">
        <f>SUM(EL237:EL240)</f>
        <v>4043367.3234254471</v>
      </c>
      <c r="EU241" s="18" t="s">
        <v>18</v>
      </c>
      <c r="EV241" s="18">
        <f>SUM(EV237:EV240)</f>
        <v>13.829941414040613</v>
      </c>
      <c r="EW241" s="18">
        <f>SUM(EW237:EW240)</f>
        <v>1</v>
      </c>
      <c r="EX241" s="18"/>
      <c r="EY241" s="18">
        <f>SUM(EY237:EY240)</f>
        <v>4463.5407201374701</v>
      </c>
      <c r="EZ241" s="18">
        <f t="array" ref="EZ241">SUM(EV237:EV240*EZ237:EZ240) / EV241</f>
        <v>-23.917987170512156</v>
      </c>
      <c r="FA241" s="18">
        <f>SUM(FA237:FA240)</f>
        <v>1882.2463999999998</v>
      </c>
      <c r="FB241" s="18">
        <f>SUM(FB237:FB240)</f>
        <v>0.99999999999999989</v>
      </c>
      <c r="FC241" s="18"/>
      <c r="FD241" s="18"/>
      <c r="FE241" s="18"/>
      <c r="FF241" s="18">
        <f>SUM(FF237:FF240)</f>
        <v>271.75963502586239</v>
      </c>
      <c r="FG241" s="18">
        <f>SUM(FG237:FG240)</f>
        <v>1213010.1970276341</v>
      </c>
    </row>
    <row r="242" spans="4:163" ht="18" customHeight="1">
      <c r="J242" s="14" t="s">
        <v>18</v>
      </c>
      <c r="K242" s="18">
        <f>SUM(K240:K241)</f>
        <v>7.4647476716394348</v>
      </c>
      <c r="L242" s="18">
        <f>SUM(L240:L241)</f>
        <v>2.1359914187250592E-3</v>
      </c>
      <c r="M242" s="14">
        <f>SUM(M240:M241)</f>
        <v>6.0012280000000001E-2</v>
      </c>
      <c r="N242" s="14">
        <f>SUM(N240:N241)</f>
        <v>258.73685442533395</v>
      </c>
      <c r="O242" s="14">
        <f>SUM(O240:O241)</f>
        <v>0</v>
      </c>
      <c r="U242" s="14">
        <f>SUM(U240:U241)</f>
        <v>0.11963685873388528</v>
      </c>
      <c r="V242" s="14">
        <f>SUM(V240:V241)</f>
        <v>30.954464502133519</v>
      </c>
      <c r="AD242" s="309">
        <f>'MCC_hM_RUVY_matrices_mat_level '!L147</f>
        <v>111215.34939825907</v>
      </c>
      <c r="AE242" s="309">
        <f>T_0</f>
        <v>298</v>
      </c>
      <c r="AF242" s="309">
        <f>1-(T_0/AE242)</f>
        <v>0</v>
      </c>
      <c r="AG242" s="309">
        <f>AD242</f>
        <v>111215.34939825907</v>
      </c>
      <c r="CA242" s="179" t="s">
        <v>1</v>
      </c>
      <c r="CB242" s="178" t="s">
        <v>0</v>
      </c>
      <c r="CJ242" s="343"/>
      <c r="CK242" s="14" t="s">
        <v>64</v>
      </c>
      <c r="CL242" s="14">
        <f>Calculators!P111</f>
        <v>12.446947272636551</v>
      </c>
      <c r="CM242" s="14">
        <f>CL242/$CL$243</f>
        <v>0.27000000000000007</v>
      </c>
      <c r="CN242" s="14">
        <f>MW_CH4</f>
        <v>1.604276E-2</v>
      </c>
      <c r="CO242" s="14">
        <f t="shared" si="144"/>
        <v>775.86071677420546</v>
      </c>
      <c r="CP242" s="14">
        <f>h_CH4</f>
        <v>-74.599999999999994</v>
      </c>
      <c r="CQ242" s="14">
        <f>b_ch_CH4</f>
        <v>831.8</v>
      </c>
      <c r="CR242" s="14">
        <f>CO242/$CO$243</f>
        <v>5.1559600840332849E-2</v>
      </c>
      <c r="CS242" s="14">
        <f t="shared" si="126"/>
        <v>-2.9650168425948631</v>
      </c>
      <c r="CT242" s="14">
        <f t="shared" si="127"/>
        <v>-7.3460427087414395</v>
      </c>
      <c r="CU242" s="14">
        <f t="shared" si="128"/>
        <v>824.45395729125846</v>
      </c>
      <c r="CV242" s="14">
        <f t="shared" si="129"/>
        <v>42.508516949170115</v>
      </c>
      <c r="CW242" s="14">
        <f>CV242*$CO$243</f>
        <v>639661.43825132598</v>
      </c>
      <c r="DF242" s="1" t="s">
        <v>83</v>
      </c>
      <c r="DG242" s="1"/>
      <c r="DH242" s="14" t="s">
        <v>85</v>
      </c>
      <c r="DI242" s="14" t="s">
        <v>81</v>
      </c>
      <c r="DJ242" s="1" t="s">
        <v>640</v>
      </c>
      <c r="DK242" s="21"/>
      <c r="DL242" s="21"/>
      <c r="DP242" s="14" t="s">
        <v>90</v>
      </c>
      <c r="DQ242" s="1" t="s">
        <v>87</v>
      </c>
      <c r="EA242" s="1" t="s">
        <v>83</v>
      </c>
      <c r="EB242" s="1"/>
      <c r="EC242" s="14" t="s">
        <v>85</v>
      </c>
      <c r="ED242" s="14" t="s">
        <v>81</v>
      </c>
      <c r="EE242" s="1" t="s">
        <v>640</v>
      </c>
      <c r="EF242" s="21"/>
      <c r="EG242" s="21"/>
      <c r="EK242" s="14" t="s">
        <v>90</v>
      </c>
      <c r="EL242" s="1" t="s">
        <v>87</v>
      </c>
      <c r="EO242" s="21"/>
      <c r="EP242" s="14" t="s">
        <v>2</v>
      </c>
      <c r="EQ242" s="14" t="s">
        <v>3</v>
      </c>
      <c r="ER242" s="14" t="s">
        <v>475</v>
      </c>
      <c r="EV242" s="1" t="s">
        <v>83</v>
      </c>
      <c r="EW242" s="1"/>
      <c r="EX242" s="14" t="s">
        <v>85</v>
      </c>
      <c r="EY242" s="14" t="s">
        <v>81</v>
      </c>
      <c r="EZ242" s="1" t="s">
        <v>640</v>
      </c>
      <c r="FA242" s="21"/>
      <c r="FB242" s="21"/>
      <c r="FF242" s="14" t="s">
        <v>90</v>
      </c>
      <c r="FG242" s="1" t="s">
        <v>87</v>
      </c>
    </row>
    <row r="243" spans="4:163" ht="18" customHeight="1">
      <c r="K243" s="1" t="s">
        <v>83</v>
      </c>
      <c r="L243" s="1"/>
      <c r="M243" s="14" t="s">
        <v>85</v>
      </c>
      <c r="N243" s="14" t="s">
        <v>81</v>
      </c>
      <c r="O243" s="1" t="s">
        <v>640</v>
      </c>
      <c r="P243" s="21"/>
      <c r="Q243" s="21"/>
      <c r="U243" s="14" t="s">
        <v>90</v>
      </c>
      <c r="V243" s="1" t="s">
        <v>87</v>
      </c>
      <c r="CA243" s="181" t="s">
        <v>83</v>
      </c>
      <c r="CB243" s="180" t="s">
        <v>87</v>
      </c>
      <c r="CK243" s="18" t="s">
        <v>18</v>
      </c>
      <c r="CL243" s="18">
        <f>SUM(CL238:CL242)</f>
        <v>46.0998047134687</v>
      </c>
      <c r="CM243" s="18">
        <f>SUM(CM238:CM242)</f>
        <v>1.0000000000000002</v>
      </c>
      <c r="CN243" s="18">
        <f>SUM(CN238:CN242)</f>
        <v>0.12416072</v>
      </c>
      <c r="CO243" s="18">
        <f>SUM(CO238:CO242)</f>
        <v>15047.841801119668</v>
      </c>
      <c r="CP243" s="18">
        <f t="array" ref="CP243">SUM(CL238:CL242*CP238:CP242) / CL243</f>
        <v>-37.006500000000003</v>
      </c>
      <c r="CQ243" s="18"/>
      <c r="CR243" s="18">
        <f>SUM(CR238:CR242)</f>
        <v>1</v>
      </c>
      <c r="CS243" s="18"/>
      <c r="CT243" s="18"/>
      <c r="CU243" s="18"/>
      <c r="CV243" s="18">
        <f>SUM(CV238:CV242)</f>
        <v>267.55851033572611</v>
      </c>
      <c r="CW243" s="18">
        <f>SUM(CW238:CW242)</f>
        <v>4026178.1360752485</v>
      </c>
      <c r="CY243" s="21"/>
      <c r="CZ243" s="14" t="s">
        <v>2</v>
      </c>
      <c r="DA243" s="14" t="s">
        <v>3</v>
      </c>
      <c r="DB243" s="14" t="s">
        <v>475</v>
      </c>
      <c r="EO243" s="21"/>
      <c r="EP243" s="1" t="s">
        <v>477</v>
      </c>
      <c r="EQ243" s="1" t="s">
        <v>477</v>
      </c>
      <c r="ER243" s="1" t="s">
        <v>477</v>
      </c>
    </row>
    <row r="244" spans="4:163" ht="24" customHeight="1">
      <c r="BW244" s="14" t="s">
        <v>377</v>
      </c>
      <c r="CA244" s="177">
        <f>BR249</f>
        <v>204.127223518021</v>
      </c>
      <c r="CB244" s="175">
        <f>CB249</f>
        <v>10583778.883576756</v>
      </c>
      <c r="CL244" s="1" t="s">
        <v>83</v>
      </c>
      <c r="CM244" s="1"/>
      <c r="CN244" s="14" t="s">
        <v>85</v>
      </c>
      <c r="CO244" s="14" t="s">
        <v>81</v>
      </c>
      <c r="CP244" s="1" t="s">
        <v>640</v>
      </c>
      <c r="CQ244" s="21"/>
      <c r="CR244" s="21"/>
      <c r="CV244" s="14" t="s">
        <v>90</v>
      </c>
      <c r="CW244" s="1" t="s">
        <v>87</v>
      </c>
      <c r="CY244" s="21"/>
      <c r="CZ244" s="1" t="s">
        <v>477</v>
      </c>
      <c r="DA244" s="1" t="s">
        <v>477</v>
      </c>
      <c r="DB244" s="1" t="s">
        <v>477</v>
      </c>
      <c r="EO244" s="21" t="s">
        <v>59</v>
      </c>
      <c r="EP244" s="14" t="s">
        <v>476</v>
      </c>
      <c r="EQ244" s="14" t="s">
        <v>476</v>
      </c>
      <c r="ER244" s="14" t="s">
        <v>476</v>
      </c>
    </row>
    <row r="245" spans="4:163">
      <c r="BO245" s="21"/>
      <c r="CY245" s="21" t="s">
        <v>59</v>
      </c>
      <c r="CZ245" s="14" t="s">
        <v>476</v>
      </c>
      <c r="DA245" s="14" t="s">
        <v>476</v>
      </c>
      <c r="DB245" s="14" t="s">
        <v>476</v>
      </c>
      <c r="EO245" s="14" t="s">
        <v>17</v>
      </c>
      <c r="EP245" s="33">
        <f>ED238</f>
        <v>897.50495218664253</v>
      </c>
      <c r="EQ245" s="33">
        <f>EY238+EE157</f>
        <v>897.50495218664241</v>
      </c>
      <c r="ER245" s="14">
        <f>EP245-EQ245</f>
        <v>0</v>
      </c>
    </row>
    <row r="246" spans="4:163" ht="18" customHeight="1">
      <c r="BI246" s="167"/>
      <c r="BJ246" s="167"/>
      <c r="BK246" s="348" t="s">
        <v>376</v>
      </c>
      <c r="BL246" s="348"/>
      <c r="BM246" s="348"/>
      <c r="BN246" s="348"/>
      <c r="BO246" s="167"/>
      <c r="BP246" s="1"/>
      <c r="BQ246" s="14" t="s">
        <v>454</v>
      </c>
      <c r="BR246" s="1" t="s">
        <v>449</v>
      </c>
      <c r="BS246" s="1" t="s">
        <v>579</v>
      </c>
      <c r="BT246" s="1" t="s">
        <v>79</v>
      </c>
      <c r="BU246" s="1" t="s">
        <v>509</v>
      </c>
      <c r="BV246" s="1" t="s">
        <v>6</v>
      </c>
      <c r="BW246" s="1" t="s">
        <v>7</v>
      </c>
      <c r="BX246" s="1" t="s">
        <v>8</v>
      </c>
      <c r="BY246" s="1" t="s">
        <v>9</v>
      </c>
      <c r="BZ246" s="1" t="s">
        <v>48</v>
      </c>
      <c r="CA246" s="1" t="s">
        <v>451</v>
      </c>
      <c r="CB246" s="1" t="s">
        <v>49</v>
      </c>
      <c r="CY246" s="14" t="s">
        <v>17</v>
      </c>
      <c r="CZ246" s="33">
        <f>CO240+CO241+CO242</f>
        <v>897.50495218664253</v>
      </c>
      <c r="DA246" s="33">
        <f>DI238</f>
        <v>897.50495218664253</v>
      </c>
      <c r="DB246" s="14">
        <f>CZ246-DA246</f>
        <v>0</v>
      </c>
      <c r="DF246" t="s">
        <v>790</v>
      </c>
      <c r="EO246" s="14" t="s">
        <v>135</v>
      </c>
      <c r="EP246" s="33">
        <f>(2*DI237)+(4*DI238)+(2*ED240)</f>
        <v>31404.116564962875</v>
      </c>
      <c r="EQ246" s="33">
        <f>(EY237*2)+(4*EY238)+(2*EE156)+(4*EE157)+(2*EE159)+(2*EY240)</f>
        <v>31404.116564962871</v>
      </c>
      <c r="ER246" s="14">
        <f t="shared" ref="ER246" si="145">EP246-EQ246</f>
        <v>0</v>
      </c>
    </row>
    <row r="247" spans="4:163" ht="18" customHeight="1">
      <c r="D247" s="3" t="s">
        <v>173</v>
      </c>
      <c r="E247" s="14" t="s">
        <v>140</v>
      </c>
      <c r="F247" s="14" t="s">
        <v>172</v>
      </c>
      <c r="G247" s="14" t="s">
        <v>174</v>
      </c>
      <c r="BI247" s="167"/>
      <c r="BJ247" s="167"/>
      <c r="BK247" s="348"/>
      <c r="BL247" s="348"/>
      <c r="BM247" s="348"/>
      <c r="BN247" s="348"/>
      <c r="BO247" s="167"/>
      <c r="BP247" s="1"/>
      <c r="BQ247" s="14" t="s">
        <v>453</v>
      </c>
      <c r="BR247" s="1" t="s">
        <v>82</v>
      </c>
      <c r="BS247" s="1" t="s">
        <v>84</v>
      </c>
      <c r="BT247" s="139" t="s">
        <v>80</v>
      </c>
      <c r="BU247" s="1" t="s">
        <v>89</v>
      </c>
      <c r="BV247" s="139" t="s">
        <v>89</v>
      </c>
      <c r="BW247" s="139" t="s">
        <v>24</v>
      </c>
      <c r="BX247" s="1" t="s">
        <v>91</v>
      </c>
      <c r="BY247" s="139" t="s">
        <v>89</v>
      </c>
      <c r="BZ247" s="139" t="s">
        <v>89</v>
      </c>
      <c r="CA247" s="139" t="s">
        <v>88</v>
      </c>
      <c r="CB247" s="1" t="s">
        <v>86</v>
      </c>
      <c r="CY247" s="14" t="s">
        <v>135</v>
      </c>
      <c r="CZ247" s="33">
        <f>(2*CO238)+(2*CO239)+(4*CO242)</f>
        <v>31404.116564962875</v>
      </c>
      <c r="DA247" s="33">
        <f>(4*DI238)+(2*DI237)+(2*DI240)</f>
        <v>31404.116564962875</v>
      </c>
      <c r="DB247" s="14">
        <f t="shared" ref="DB247:DB248" si="146">CZ247-DA247</f>
        <v>0</v>
      </c>
      <c r="EO247" s="14" t="s">
        <v>28</v>
      </c>
      <c r="EP247" s="33">
        <f>2*ED239</f>
        <v>147.83147366020734</v>
      </c>
      <c r="EQ247" s="33">
        <f>(2*EY239)+(2*EE158)</f>
        <v>147.83147366020731</v>
      </c>
      <c r="ER247" s="14">
        <f>EP247-EQ247</f>
        <v>0</v>
      </c>
    </row>
    <row r="248" spans="4:163" ht="18" customHeight="1">
      <c r="BI248" s="21"/>
      <c r="BN248" s="14"/>
      <c r="BP248" s="19" t="s">
        <v>64</v>
      </c>
      <c r="BQ248" s="19">
        <f>LHV_CH4*BR248</f>
        <v>10206361.17590105</v>
      </c>
      <c r="BR248" s="172">
        <f>Calculators!G77</f>
        <v>204.127223518021</v>
      </c>
      <c r="BS248" s="161">
        <f t="array" ref="BS248">MW_CH4</f>
        <v>1.604276E-2</v>
      </c>
      <c r="BT248" s="161">
        <f>BR248/BS248</f>
        <v>12723.946722261069</v>
      </c>
      <c r="BU248" s="161">
        <f>h_CH4</f>
        <v>-74.599999999999994</v>
      </c>
      <c r="BV248" s="172">
        <f>b_ch_CH4</f>
        <v>831.8</v>
      </c>
      <c r="BW248" s="161">
        <f>BT248/BT248</f>
        <v>1</v>
      </c>
      <c r="BX248" s="172">
        <f>LN(BW248)</f>
        <v>0</v>
      </c>
      <c r="BY248" s="172">
        <f>RT0*BX248</f>
        <v>0</v>
      </c>
      <c r="BZ248" s="172">
        <f>BV248+BY248</f>
        <v>831.8</v>
      </c>
      <c r="CA248" s="172">
        <f>BZ248*BW248</f>
        <v>831.8</v>
      </c>
      <c r="CB248" s="172">
        <f>BT248*CA248</f>
        <v>10583778.883576756</v>
      </c>
      <c r="CY248" s="14" t="s">
        <v>28</v>
      </c>
      <c r="CZ248" s="33">
        <f>CO240+(2*CO241)</f>
        <v>147.83147366020734</v>
      </c>
      <c r="DA248" s="33">
        <f>(2*DI239)</f>
        <v>147.83147366020734</v>
      </c>
      <c r="DB248" s="14">
        <f t="shared" si="146"/>
        <v>0</v>
      </c>
      <c r="DE248" s="307" t="s">
        <v>782</v>
      </c>
      <c r="DF248" s="307" t="s">
        <v>265</v>
      </c>
      <c r="DG248" s="308" t="s">
        <v>250</v>
      </c>
      <c r="DH248" s="308" t="s">
        <v>783</v>
      </c>
      <c r="EO248" s="14" t="s">
        <v>133</v>
      </c>
      <c r="EP248" s="33">
        <f>ED240</f>
        <v>40.578575518840545</v>
      </c>
      <c r="EQ248" s="33">
        <f>EY240+EE159</f>
        <v>40.578575518840537</v>
      </c>
      <c r="ER248" s="14">
        <f>EP248-EQ248</f>
        <v>0</v>
      </c>
    </row>
    <row r="249" spans="4:163" ht="16.05" customHeight="1">
      <c r="BI249" s="21"/>
      <c r="BP249" s="1" t="s">
        <v>18</v>
      </c>
      <c r="BQ249" s="1">
        <f>BQ248</f>
        <v>10206361.17590105</v>
      </c>
      <c r="BR249" s="1">
        <f>BR248</f>
        <v>204.127223518021</v>
      </c>
      <c r="BS249" s="27">
        <f>BS248</f>
        <v>1.604276E-2</v>
      </c>
      <c r="BT249" s="27">
        <f>BT248</f>
        <v>12723.946722261069</v>
      </c>
      <c r="BU249" s="27">
        <f>BU248</f>
        <v>-74.599999999999994</v>
      </c>
      <c r="BV249" s="1"/>
      <c r="BW249" s="27"/>
      <c r="BX249" s="1"/>
      <c r="BY249" s="1"/>
      <c r="BZ249" s="1"/>
      <c r="CA249" s="1">
        <f>CA248</f>
        <v>831.8</v>
      </c>
      <c r="CB249" s="1">
        <f>BT249*CA249</f>
        <v>10583778.883576756</v>
      </c>
      <c r="CV249" s="179" t="s">
        <v>1</v>
      </c>
      <c r="CW249" s="178" t="s">
        <v>0</v>
      </c>
      <c r="DE249" s="307" t="s">
        <v>47</v>
      </c>
      <c r="DF249" s="307" t="s">
        <v>62</v>
      </c>
      <c r="DG249" s="307" t="s">
        <v>91</v>
      </c>
      <c r="DH249" s="307" t="s">
        <v>47</v>
      </c>
    </row>
    <row r="250" spans="4:163" ht="18" customHeight="1">
      <c r="BI250" s="21"/>
      <c r="BK250" s="21"/>
      <c r="BL250" s="21"/>
      <c r="BM250" s="21"/>
      <c r="BP250" s="1"/>
      <c r="BQ250" s="14" t="s">
        <v>47</v>
      </c>
      <c r="BR250" s="1" t="s">
        <v>83</v>
      </c>
      <c r="BS250" s="14" t="s">
        <v>85</v>
      </c>
      <c r="BT250" s="14" t="s">
        <v>81</v>
      </c>
      <c r="BU250" s="1" t="s">
        <v>640</v>
      </c>
      <c r="BV250" s="21"/>
      <c r="BW250" s="21"/>
      <c r="CA250" s="14" t="s">
        <v>90</v>
      </c>
      <c r="CB250" s="1" t="s">
        <v>87</v>
      </c>
      <c r="CJ250" s="163"/>
      <c r="CV250" s="181" t="s">
        <v>83</v>
      </c>
      <c r="CW250" s="180" t="s">
        <v>87</v>
      </c>
      <c r="DE250" s="309">
        <f>DB229</f>
        <v>33191.859393697465</v>
      </c>
      <c r="DF250" s="309">
        <v>2373.15</v>
      </c>
      <c r="DG250" s="309">
        <f>1-(T_0/DF250)</f>
        <v>0.87442850220171509</v>
      </c>
      <c r="DH250" s="309">
        <f>DE250*DG250</f>
        <v>29023.907894920801</v>
      </c>
    </row>
    <row r="251" spans="4:163" ht="16.05" customHeight="1">
      <c r="CJ251" s="163"/>
      <c r="CR251" s="14" t="s">
        <v>423</v>
      </c>
      <c r="CV251" s="177">
        <f>CL258</f>
        <v>3698.8733194995434</v>
      </c>
      <c r="CW251" s="175">
        <f>CW258</f>
        <v>303788.26554911444</v>
      </c>
      <c r="DF251" t="s">
        <v>791</v>
      </c>
    </row>
    <row r="252" spans="4:163" ht="22.05" customHeight="1"/>
    <row r="253" spans="4:163" ht="13.95" customHeight="1">
      <c r="CK253" s="21"/>
      <c r="CL253" s="1" t="s">
        <v>449</v>
      </c>
      <c r="CM253" s="1" t="s">
        <v>450</v>
      </c>
      <c r="CN253" s="1" t="s">
        <v>579</v>
      </c>
      <c r="CO253" s="1" t="s">
        <v>79</v>
      </c>
      <c r="CP253" s="1" t="s">
        <v>509</v>
      </c>
      <c r="CQ253" s="1" t="s">
        <v>6</v>
      </c>
      <c r="CR253" s="1" t="s">
        <v>7</v>
      </c>
      <c r="CS253" s="1" t="s">
        <v>8</v>
      </c>
      <c r="CT253" s="1" t="s">
        <v>9</v>
      </c>
      <c r="CU253" s="1" t="s">
        <v>48</v>
      </c>
      <c r="CV253" s="1" t="s">
        <v>451</v>
      </c>
      <c r="CW253" s="1" t="s">
        <v>49</v>
      </c>
    </row>
    <row r="254" spans="4:163" ht="19.95" customHeight="1">
      <c r="CK254" s="21" t="s">
        <v>40</v>
      </c>
      <c r="CL254" s="1" t="s">
        <v>82</v>
      </c>
      <c r="CM254" s="21" t="s">
        <v>213</v>
      </c>
      <c r="CN254" s="139" t="s">
        <v>84</v>
      </c>
      <c r="CO254" s="139" t="s">
        <v>80</v>
      </c>
      <c r="CP254" s="1" t="s">
        <v>89</v>
      </c>
      <c r="CQ254" s="139" t="s">
        <v>89</v>
      </c>
      <c r="CR254" s="139" t="s">
        <v>24</v>
      </c>
      <c r="CS254" s="139" t="s">
        <v>91</v>
      </c>
      <c r="CT254" s="139" t="s">
        <v>89</v>
      </c>
      <c r="CU254" s="139" t="s">
        <v>89</v>
      </c>
      <c r="CV254" s="139" t="s">
        <v>88</v>
      </c>
      <c r="CW254" s="139" t="s">
        <v>86</v>
      </c>
    </row>
    <row r="255" spans="4:163" ht="22.05" customHeight="1">
      <c r="CJ255" s="343" t="s">
        <v>423</v>
      </c>
      <c r="CK255" s="18" t="s">
        <v>67</v>
      </c>
      <c r="CL255" s="18">
        <f>CO255*CN255</f>
        <v>458.45092581323081</v>
      </c>
      <c r="CM255" s="18">
        <f>CL255/CL258</f>
        <v>0.12394339741142016</v>
      </c>
      <c r="CN255" s="18">
        <f>MW_H2O</f>
        <v>1.8015280000000002E-2</v>
      </c>
      <c r="CO255" s="18">
        <f>H2O_Naturalgas_molcoeff*BT248</f>
        <v>25447.893444522138</v>
      </c>
      <c r="CP255" s="18">
        <f>h_H2O</f>
        <v>-241.8</v>
      </c>
      <c r="CQ255" s="18">
        <f>b_ch_H2O</f>
        <v>9.5113440000000082</v>
      </c>
      <c r="CR255" s="18">
        <f>CO255/$CO$258</f>
        <v>0.19011406844106463</v>
      </c>
      <c r="CS255" s="18">
        <f>LN(CR255)</f>
        <v>-1.6601310267496185</v>
      </c>
      <c r="CT255" s="18">
        <f>RT0*CS255</f>
        <v>-4.1130941482061054</v>
      </c>
      <c r="CU255" s="18">
        <f>CT255+CQ255</f>
        <v>5.3982498517939028</v>
      </c>
      <c r="CV255" s="18">
        <f>CR255*CU255</f>
        <v>1.0262832417859131</v>
      </c>
      <c r="CW255" s="18">
        <f>CV255*$CO$258</f>
        <v>137374.08701535867</v>
      </c>
    </row>
    <row r="256" spans="4:163" ht="18" customHeight="1">
      <c r="CJ256" s="343"/>
      <c r="CK256" s="24" t="s">
        <v>63</v>
      </c>
      <c r="CL256" s="14">
        <f>CN256*CO256</f>
        <v>559.9783504573652</v>
      </c>
      <c r="CM256" s="14">
        <f>CL256/CL258</f>
        <v>0.15139160011382335</v>
      </c>
      <c r="CN256" s="14">
        <f>MW_CO2</f>
        <v>4.4009800000000002E-2</v>
      </c>
      <c r="CO256" s="14">
        <f>BT248</f>
        <v>12723.946722261069</v>
      </c>
      <c r="CP256" s="14">
        <f>h_CO2</f>
        <v>-393.5</v>
      </c>
      <c r="CQ256" s="14">
        <f>b_ch_CO2</f>
        <v>19.900000000000034</v>
      </c>
      <c r="CR256" s="14">
        <f>CO256/$CO$258</f>
        <v>9.5057034220532313E-2</v>
      </c>
      <c r="CS256" s="14">
        <f>LN(CR256)</f>
        <v>-2.3532782073095637</v>
      </c>
      <c r="CT256" s="14">
        <f>RT0*CS256</f>
        <v>-5.8304161946403701</v>
      </c>
      <c r="CU256" s="14">
        <f>CT256+CQ256</f>
        <v>14.069583805359663</v>
      </c>
      <c r="CV256" s="14">
        <f>CR256*CU256</f>
        <v>1.3374129092547207</v>
      </c>
      <c r="CW256" s="14">
        <f>CV256*$CO$258</f>
        <v>179020.63474378348</v>
      </c>
    </row>
    <row r="257" spans="52:101" ht="18" customHeight="1">
      <c r="AZ257" s="3"/>
      <c r="CJ257" s="343"/>
      <c r="CK257" s="24" t="s">
        <v>66</v>
      </c>
      <c r="CL257" s="14">
        <f>CO257*CN257</f>
        <v>2680.4440432289475</v>
      </c>
      <c r="CM257" s="14">
        <f>CL257/CL258</f>
        <v>0.72466500247475651</v>
      </c>
      <c r="CN257" s="14">
        <f>MW_N2</f>
        <v>2.801348E-2</v>
      </c>
      <c r="CO257" s="14">
        <f>BT237</f>
        <v>95684.079351403241</v>
      </c>
      <c r="CP257" s="14">
        <f>h_N2</f>
        <v>0</v>
      </c>
      <c r="CQ257" s="14">
        <f>b_ch_N2</f>
        <v>0.7</v>
      </c>
      <c r="CR257" s="14">
        <f>CO257/$CO$258</f>
        <v>0.71482889733840305</v>
      </c>
      <c r="CS257" s="14">
        <f>LN(CR257)</f>
        <v>-0.33571206934781533</v>
      </c>
      <c r="CT257" s="14">
        <f>RT0*CS257</f>
        <v>-0.83175082307820547</v>
      </c>
      <c r="CU257" s="14">
        <f>CT257+CQ257</f>
        <v>-0.13175082307820551</v>
      </c>
      <c r="CV257" s="14">
        <f>CR257*CU257</f>
        <v>-9.4179295584420675E-2</v>
      </c>
      <c r="CW257" s="14">
        <f>CV257*$CO$258</f>
        <v>-12606.456210027707</v>
      </c>
    </row>
    <row r="258" spans="52:101">
      <c r="CK258" s="18" t="s">
        <v>18</v>
      </c>
      <c r="CL258" s="18">
        <f>SUM(CL255:CL257)</f>
        <v>3698.8733194995434</v>
      </c>
      <c r="CM258" s="18">
        <f>SUM(CM255:CM257)</f>
        <v>1</v>
      </c>
      <c r="CN258" s="18">
        <f>SUM(CN255:CN257)</f>
        <v>9.0038560000000004E-2</v>
      </c>
      <c r="CO258" s="18">
        <f>SUM(CO255:CO257)</f>
        <v>133855.91951818645</v>
      </c>
      <c r="CP258" s="18">
        <f t="array" ref="CP258">SUM(CL255:CL257*CP255:CP257) / CL258</f>
        <v>-89.542108138870873</v>
      </c>
      <c r="CQ258" s="18">
        <f>SUM(CQ254:CQ257)</f>
        <v>30.111344000000042</v>
      </c>
      <c r="CR258" s="18"/>
      <c r="CS258" s="18"/>
      <c r="CT258" s="18"/>
      <c r="CU258" s="18"/>
      <c r="CV258" s="18">
        <f>SUM(CV255:CV257)</f>
        <v>2.2695168554562133</v>
      </c>
      <c r="CW258" s="18">
        <f>SUM(CW255:CW257)</f>
        <v>303788.26554911444</v>
      </c>
    </row>
    <row r="259" spans="52:101" ht="18" customHeight="1">
      <c r="CL259" s="1" t="s">
        <v>83</v>
      </c>
      <c r="CM259" s="1"/>
      <c r="CN259" s="14" t="s">
        <v>85</v>
      </c>
      <c r="CO259" s="14" t="s">
        <v>81</v>
      </c>
      <c r="CP259" s="1" t="s">
        <v>640</v>
      </c>
      <c r="CQ259" s="21"/>
      <c r="CR259" s="21"/>
      <c r="CV259" s="14" t="s">
        <v>90</v>
      </c>
      <c r="CW259" s="1" t="s">
        <v>87</v>
      </c>
    </row>
    <row r="261" spans="52:101" ht="25.05" customHeight="1"/>
    <row r="264" spans="52:101" ht="16.05" customHeight="1"/>
    <row r="265" spans="52:101">
      <c r="CV265" s="179" t="s">
        <v>1</v>
      </c>
      <c r="CW265" s="178" t="s">
        <v>0</v>
      </c>
    </row>
    <row r="266" spans="52:101" ht="18" customHeight="1">
      <c r="CV266" s="181" t="s">
        <v>83</v>
      </c>
      <c r="CW266" s="180" t="s">
        <v>87</v>
      </c>
    </row>
    <row r="267" spans="52:101" ht="16.05" customHeight="1">
      <c r="CR267" s="14" t="s">
        <v>552</v>
      </c>
      <c r="CV267" s="177">
        <f>CL282</f>
        <v>23.982067525572877</v>
      </c>
      <c r="CW267" s="175">
        <f>CW282</f>
        <v>955411.7785075705</v>
      </c>
    </row>
    <row r="268" spans="52:101" ht="18" customHeight="1"/>
    <row r="269" spans="52:101" ht="18" customHeight="1">
      <c r="CK269" s="21"/>
      <c r="CL269" s="1" t="s">
        <v>449</v>
      </c>
      <c r="CM269" s="1" t="s">
        <v>450</v>
      </c>
      <c r="CN269" s="1" t="s">
        <v>579</v>
      </c>
      <c r="CO269" s="1" t="s">
        <v>79</v>
      </c>
      <c r="CP269" s="1" t="s">
        <v>509</v>
      </c>
      <c r="CQ269" s="1" t="s">
        <v>6</v>
      </c>
      <c r="CR269" s="1" t="s">
        <v>7</v>
      </c>
      <c r="CS269" s="1" t="s">
        <v>8</v>
      </c>
      <c r="CT269" s="1" t="s">
        <v>9</v>
      </c>
      <c r="CU269" s="1" t="s">
        <v>48</v>
      </c>
      <c r="CV269" s="1" t="s">
        <v>451</v>
      </c>
      <c r="CW269" s="1" t="s">
        <v>49</v>
      </c>
    </row>
    <row r="270" spans="52:101" ht="18" customHeight="1">
      <c r="CK270" s="21" t="s">
        <v>40</v>
      </c>
      <c r="CL270" s="1" t="s">
        <v>82</v>
      </c>
      <c r="CM270" s="21" t="s">
        <v>213</v>
      </c>
      <c r="CN270" s="1" t="s">
        <v>84</v>
      </c>
      <c r="CO270" s="1" t="s">
        <v>80</v>
      </c>
      <c r="CP270" s="1" t="s">
        <v>89</v>
      </c>
      <c r="CQ270" s="1" t="s">
        <v>89</v>
      </c>
      <c r="CR270" s="1" t="s">
        <v>24</v>
      </c>
      <c r="CS270" s="1" t="s">
        <v>91</v>
      </c>
      <c r="CT270" s="1" t="s">
        <v>89</v>
      </c>
      <c r="CU270" s="1" t="s">
        <v>89</v>
      </c>
      <c r="CV270" s="1" t="s">
        <v>88</v>
      </c>
      <c r="CW270" s="1" t="s">
        <v>86</v>
      </c>
    </row>
    <row r="271" spans="52:101" ht="27" customHeight="1">
      <c r="CJ271" s="356" t="s">
        <v>552</v>
      </c>
      <c r="CK271" s="18" t="s">
        <v>525</v>
      </c>
      <c r="CL271" s="18">
        <f t="shared" ref="CL271:CL281" si="147">CM271*$CL$282</f>
        <v>4.7964135051145753</v>
      </c>
      <c r="CM271" s="18">
        <f>Calculators!F107</f>
        <v>0.2</v>
      </c>
      <c r="CN271" s="18">
        <f>MW_C10H8</f>
        <v>0.12817351999999999</v>
      </c>
      <c r="CO271" s="18">
        <f>CL271/CN271</f>
        <v>37.42125132488033</v>
      </c>
      <c r="CP271" s="18">
        <f>h_C10H8</f>
        <v>78.5</v>
      </c>
      <c r="CQ271" s="18">
        <f>b_ch_C10H8</f>
        <v>6215.5</v>
      </c>
      <c r="CR271" s="18">
        <f t="shared" ref="CR271:CR281" si="148">CO271/$CO$282</f>
        <v>2.3925714955628435E-2</v>
      </c>
      <c r="CS271" s="18">
        <f>LN(CR271)</f>
        <v>-3.7328014588867529</v>
      </c>
      <c r="CT271" s="18">
        <f t="shared" ref="CT271:CT281" si="149">RT0*CS271</f>
        <v>-9.2482843760969704</v>
      </c>
      <c r="CU271" s="18">
        <f>CT271+CQ271</f>
        <v>6206.2517156239028</v>
      </c>
      <c r="CV271" s="18">
        <f>CR271*CU271</f>
        <v>148.48900949089744</v>
      </c>
      <c r="CW271" s="18">
        <f t="shared" ref="CW271:CW281" si="150">CV271*$CO$282</f>
        <v>232245.70523583182</v>
      </c>
    </row>
    <row r="272" spans="52:101" ht="16.95" customHeight="1">
      <c r="CJ272" s="356"/>
      <c r="CK272" s="14" t="s">
        <v>526</v>
      </c>
      <c r="CL272" s="14">
        <f t="shared" si="147"/>
        <v>1.1991033762786438</v>
      </c>
      <c r="CM272" s="14">
        <f>Calculators!F108</f>
        <v>0.05</v>
      </c>
      <c r="CN272" s="14">
        <f>MW_C14H10</f>
        <v>0.17823339999999999</v>
      </c>
      <c r="CO272" s="14">
        <f t="shared" ref="CO272:CO281" si="151">CL272/CN272</f>
        <v>6.727714201034396</v>
      </c>
      <c r="CP272" s="14">
        <f>h_C14H10</f>
        <v>207</v>
      </c>
      <c r="CQ272" s="14">
        <f>b_ch_C14H10</f>
        <v>8488.2799999999988</v>
      </c>
      <c r="CR272" s="14">
        <f t="shared" si="148"/>
        <v>4.3014428053040846E-3</v>
      </c>
      <c r="CS272" s="14">
        <f t="shared" ref="CS272:CS281" si="152">LN(CR272)</f>
        <v>-5.4488047764450451</v>
      </c>
      <c r="CT272" s="14">
        <f t="shared" si="149"/>
        <v>-13.499806147586503</v>
      </c>
      <c r="CU272" s="14">
        <f t="shared" ref="CU272:CU281" si="153">CT272+CQ272</f>
        <v>8474.7801938524117</v>
      </c>
      <c r="CV272" s="14">
        <f t="shared" ref="CV272:CV281" si="154">CR272*CU272</f>
        <v>36.453782291380008</v>
      </c>
      <c r="CW272" s="14">
        <f t="shared" si="150"/>
        <v>57015.899060825897</v>
      </c>
    </row>
    <row r="273" spans="88:101" ht="16.95" customHeight="1">
      <c r="CJ273" s="356"/>
      <c r="CK273" s="14" t="s">
        <v>527</v>
      </c>
      <c r="CL273" s="14">
        <f t="shared" si="147"/>
        <v>0.79140822834390501</v>
      </c>
      <c r="CM273" s="14">
        <f>Calculators!F109</f>
        <v>3.3000000000000002E-2</v>
      </c>
      <c r="CN273" s="14">
        <f>MW_C16H10</f>
        <v>0.20225539999999997</v>
      </c>
      <c r="CO273" s="14">
        <f t="shared" si="151"/>
        <v>3.9129151970424774</v>
      </c>
      <c r="CP273" s="14">
        <f>h_C16H10</f>
        <v>-7917.8</v>
      </c>
      <c r="CQ273" s="14">
        <f>b_ch_C16H10</f>
        <v>9416.98</v>
      </c>
      <c r="CR273" s="14">
        <f t="shared" si="148"/>
        <v>2.5017681220013124E-3</v>
      </c>
      <c r="CS273" s="14">
        <f t="shared" si="152"/>
        <v>-5.9907575482900306</v>
      </c>
      <c r="CT273" s="14">
        <f t="shared" si="149"/>
        <v>-14.842533160432026</v>
      </c>
      <c r="CU273" s="14">
        <f t="shared" si="153"/>
        <v>9402.1374668395674</v>
      </c>
      <c r="CV273" s="14">
        <f t="shared" si="154"/>
        <v>23.521967793213403</v>
      </c>
      <c r="CW273" s="14">
        <f t="shared" si="150"/>
        <v>36789.766578679009</v>
      </c>
    </row>
    <row r="274" spans="88:101" ht="16.95" customHeight="1">
      <c r="CJ274" s="356"/>
      <c r="CK274" s="14" t="s">
        <v>536</v>
      </c>
      <c r="CL274" s="14">
        <f t="shared" si="147"/>
        <v>0.50362341803703048</v>
      </c>
      <c r="CM274" s="14">
        <f>Calculators!F110</f>
        <v>2.1000000000000001E-2</v>
      </c>
      <c r="CN274" s="14">
        <f>MW_C24H26</f>
        <v>0.31447043999999996</v>
      </c>
      <c r="CO274" s="14">
        <f t="shared" si="151"/>
        <v>1.6014968466894075</v>
      </c>
      <c r="CP274" s="14">
        <f>h_C24H26</f>
        <v>162.21</v>
      </c>
      <c r="CQ274" s="14">
        <f>b_ch_C24H26</f>
        <v>16530.760000000002</v>
      </c>
      <c r="CR274" s="14">
        <f t="shared" si="148"/>
        <v>1.0239357503994708E-3</v>
      </c>
      <c r="CS274" s="14">
        <f t="shared" si="152"/>
        <v>-6.8841014980838091</v>
      </c>
      <c r="CT274" s="14">
        <f t="shared" si="149"/>
        <v>-17.055857116810497</v>
      </c>
      <c r="CU274" s="14">
        <f t="shared" si="153"/>
        <v>16513.704142883191</v>
      </c>
      <c r="CV274" s="14">
        <f t="shared" si="154"/>
        <v>16.90897204341795</v>
      </c>
      <c r="CW274" s="14">
        <f t="shared" si="150"/>
        <v>26446.645111989234</v>
      </c>
    </row>
    <row r="275" spans="88:101" ht="16.95" customHeight="1">
      <c r="CJ275" s="356"/>
      <c r="CK275" s="14" t="s">
        <v>543</v>
      </c>
      <c r="CL275" s="14">
        <f t="shared" si="147"/>
        <v>0.47964135051145756</v>
      </c>
      <c r="CM275" s="14">
        <f>Calculators!F111</f>
        <v>0.02</v>
      </c>
      <c r="CN275" s="14">
        <f>MW_C12H10</f>
        <v>0.1542114</v>
      </c>
      <c r="CO275" s="14">
        <f t="shared" si="151"/>
        <v>3.1102846515332692</v>
      </c>
      <c r="CP275" s="1">
        <f>h_C12H10</f>
        <v>71</v>
      </c>
      <c r="CQ275" s="21">
        <f>b_ch_C12H10</f>
        <v>7615.1200000000008</v>
      </c>
      <c r="CR275" s="14">
        <f t="shared" si="148"/>
        <v>1.988596889970223E-3</v>
      </c>
      <c r="CS275" s="14">
        <f t="shared" si="152"/>
        <v>-6.2203259693488091</v>
      </c>
      <c r="CT275" s="14">
        <f t="shared" si="149"/>
        <v>-15.411305452531467</v>
      </c>
      <c r="CU275" s="14">
        <f t="shared" si="153"/>
        <v>7599.7086945474693</v>
      </c>
      <c r="CV275" s="14">
        <f t="shared" si="154"/>
        <v>15.112757074656761</v>
      </c>
      <c r="CW275" s="14">
        <f t="shared" si="150"/>
        <v>23637.257308774933</v>
      </c>
    </row>
    <row r="276" spans="88:101" ht="16.95" customHeight="1">
      <c r="CJ276" s="356"/>
      <c r="CK276" s="14" t="s">
        <v>545</v>
      </c>
      <c r="CL276" s="14">
        <f t="shared" si="147"/>
        <v>0.47964135051145756</v>
      </c>
      <c r="CM276" s="14">
        <f>Calculators!F112</f>
        <v>0.02</v>
      </c>
      <c r="CN276" s="14">
        <f>MW_C13H10</f>
        <v>0.16622239999999999</v>
      </c>
      <c r="CO276" s="14">
        <f t="shared" si="151"/>
        <v>2.8855397979541721</v>
      </c>
      <c r="CP276" s="14">
        <f>h_C13H10</f>
        <v>166.9</v>
      </c>
      <c r="CQ276" s="14">
        <f>b_ch_C13H10</f>
        <v>8051.7000000000007</v>
      </c>
      <c r="CR276" s="14">
        <f t="shared" si="148"/>
        <v>1.8449036377645495E-3</v>
      </c>
      <c r="CS276" s="14">
        <f t="shared" si="152"/>
        <v>-6.295328231707523</v>
      </c>
      <c r="CT276" s="14">
        <f t="shared" si="149"/>
        <v>-15.597128957688071</v>
      </c>
      <c r="CU276" s="14">
        <f t="shared" si="153"/>
        <v>8036.1028710423125</v>
      </c>
      <c r="CV276" s="14">
        <f t="shared" si="154"/>
        <v>14.825835420236102</v>
      </c>
      <c r="CW276" s="14">
        <f t="shared" si="150"/>
        <v>23188.494654846378</v>
      </c>
    </row>
    <row r="277" spans="88:101" ht="16.95" customHeight="1">
      <c r="CJ277" s="356"/>
      <c r="CK277" s="21" t="s">
        <v>546</v>
      </c>
      <c r="CL277" s="14">
        <f t="shared" si="147"/>
        <v>0.47964135051145756</v>
      </c>
      <c r="CM277" s="14">
        <f>Calculators!F113</f>
        <v>0.02</v>
      </c>
      <c r="CN277" s="14">
        <f>MW_C18H12</f>
        <v>0.22829327999999999</v>
      </c>
      <c r="CO277" s="14">
        <f t="shared" si="151"/>
        <v>2.10098760029843</v>
      </c>
      <c r="CP277" s="14">
        <f>h_C18H12</f>
        <v>268.7</v>
      </c>
      <c r="CQ277" s="14">
        <f>MW_C18H12</f>
        <v>0.22829327999999999</v>
      </c>
      <c r="CR277" s="14">
        <f t="shared" si="148"/>
        <v>1.3432910089948948E-3</v>
      </c>
      <c r="CS277" s="14">
        <f t="shared" si="152"/>
        <v>-6.6126326991397004</v>
      </c>
      <c r="CT277" s="14">
        <f t="shared" si="149"/>
        <v>-16.383273621672945</v>
      </c>
      <c r="CU277" s="14">
        <f t="shared" si="153"/>
        <v>-16.154980341672946</v>
      </c>
      <c r="CV277" s="14">
        <f t="shared" si="154"/>
        <v>-2.1700839843458542E-2</v>
      </c>
      <c r="CW277" s="14">
        <f t="shared" si="150"/>
        <v>-33.941413380919755</v>
      </c>
    </row>
    <row r="278" spans="88:101">
      <c r="CJ278" s="356"/>
      <c r="CK278" s="14" t="s">
        <v>17</v>
      </c>
      <c r="CL278" s="14">
        <f t="shared" si="147"/>
        <v>14.200165894972109</v>
      </c>
      <c r="CM278" s="14">
        <f>Calculators!F114</f>
        <v>0.59211599999999998</v>
      </c>
      <c r="CN278" s="14">
        <f>MW_C</f>
        <v>1.2010999999999999E-2</v>
      </c>
      <c r="CO278" s="14">
        <f t="shared" si="151"/>
        <v>1182.263416449264</v>
      </c>
      <c r="CP278" s="14">
        <f>h_C</f>
        <v>0</v>
      </c>
      <c r="CQ278" s="14">
        <f>b_ch_C</f>
        <v>410.3</v>
      </c>
      <c r="CR278" s="14">
        <f t="shared" si="148"/>
        <v>0.75589395070884846</v>
      </c>
      <c r="CS278" s="14">
        <f t="shared" si="152"/>
        <v>-0.27985418948246771</v>
      </c>
      <c r="CT278" s="14">
        <f t="shared" si="149"/>
        <v>-0.69335890394445643</v>
      </c>
      <c r="CU278" s="14">
        <f t="shared" si="153"/>
        <v>409.60664109605557</v>
      </c>
      <c r="CV278" s="14">
        <f t="shared" si="154"/>
        <v>309.61918217467883</v>
      </c>
      <c r="CW278" s="14">
        <f t="shared" si="150"/>
        <v>484262.94690253015</v>
      </c>
    </row>
    <row r="279" spans="88:101" ht="16.95" customHeight="1">
      <c r="CJ279" s="356"/>
      <c r="CK279" s="14" t="s">
        <v>65</v>
      </c>
      <c r="CL279" s="14">
        <f t="shared" si="147"/>
        <v>0.6253563927968383</v>
      </c>
      <c r="CM279" s="14">
        <f>Calculators!F115</f>
        <v>2.6075999999999998E-2</v>
      </c>
      <c r="CN279" s="14">
        <f>MW_H*2</f>
        <v>2.0158800000000003E-3</v>
      </c>
      <c r="CO279" s="14">
        <f t="shared" si="151"/>
        <v>310.21508859497499</v>
      </c>
      <c r="CP279" s="14">
        <f>h_H2</f>
        <v>0</v>
      </c>
      <c r="CQ279" s="14">
        <f>b_ch_H2</f>
        <v>236.1</v>
      </c>
      <c r="CR279" s="14">
        <f t="shared" si="148"/>
        <v>0.19833964717592531</v>
      </c>
      <c r="CS279" s="14">
        <f t="shared" si="152"/>
        <v>-1.6177743281108601</v>
      </c>
      <c r="CT279" s="14">
        <f t="shared" si="149"/>
        <v>-4.0081523776462795</v>
      </c>
      <c r="CU279" s="14">
        <f t="shared" si="153"/>
        <v>232.09184762235373</v>
      </c>
      <c r="CV279" s="14">
        <f t="shared" si="154"/>
        <v>46.033015169826257</v>
      </c>
      <c r="CW279" s="14">
        <f t="shared" si="150"/>
        <v>71998.393072339895</v>
      </c>
    </row>
    <row r="280" spans="88:101" ht="18" customHeight="1">
      <c r="CJ280" s="356"/>
      <c r="CK280" s="24" t="s">
        <v>66</v>
      </c>
      <c r="CL280" s="14">
        <f t="shared" si="147"/>
        <v>0.10676816462385043</v>
      </c>
      <c r="CM280" s="14">
        <f>Calculators!F116</f>
        <v>4.4519999999999994E-3</v>
      </c>
      <c r="CN280" s="14">
        <f>MW_N2</f>
        <v>2.801348E-2</v>
      </c>
      <c r="CO280" s="14">
        <f t="shared" si="151"/>
        <v>3.8113138611786335</v>
      </c>
      <c r="CP280" s="14">
        <f>h_N2</f>
        <v>0</v>
      </c>
      <c r="CQ280" s="14">
        <f>b_ch_N2</f>
        <v>0.7</v>
      </c>
      <c r="CR280" s="14">
        <f t="shared" si="148"/>
        <v>2.4368081189301916E-3</v>
      </c>
      <c r="CS280" s="14">
        <f t="shared" si="152"/>
        <v>-6.0170662440289471</v>
      </c>
      <c r="CT280" s="14">
        <f t="shared" si="149"/>
        <v>-14.907714848351286</v>
      </c>
      <c r="CU280" s="14">
        <f t="shared" si="153"/>
        <v>-14.207714848351287</v>
      </c>
      <c r="CV280" s="14">
        <f t="shared" si="154"/>
        <v>-3.4621474893907454E-2</v>
      </c>
      <c r="CW280" s="14">
        <f t="shared" si="150"/>
        <v>-54.150060537194747</v>
      </c>
    </row>
    <row r="281" spans="88:101" ht="18" customHeight="1">
      <c r="CJ281" s="356"/>
      <c r="CK281" s="24" t="s">
        <v>23</v>
      </c>
      <c r="CL281" s="14">
        <f t="shared" si="147"/>
        <v>0.3203044938715513</v>
      </c>
      <c r="CM281" s="14">
        <f>Calculators!F117</f>
        <v>1.3355999999999998E-2</v>
      </c>
      <c r="CN281" s="14">
        <f>MW_O2</f>
        <v>3.1998800000000001E-2</v>
      </c>
      <c r="CO281" s="14">
        <f t="shared" si="151"/>
        <v>10.009890804391143</v>
      </c>
      <c r="CP281" s="14">
        <f>h_O2</f>
        <v>0</v>
      </c>
      <c r="CQ281" s="14">
        <f>b_ch_O2</f>
        <v>4</v>
      </c>
      <c r="CR281" s="14">
        <f t="shared" si="148"/>
        <v>6.3999408262330358E-3</v>
      </c>
      <c r="CS281" s="14">
        <f t="shared" si="152"/>
        <v>-5.0514665345603422</v>
      </c>
      <c r="CT281" s="14">
        <f t="shared" si="149"/>
        <v>-12.515372044963735</v>
      </c>
      <c r="CU281" s="14">
        <f t="shared" si="153"/>
        <v>-8.5153720449637351</v>
      </c>
      <c r="CV281" s="14">
        <f t="shared" si="154"/>
        <v>-5.44978772011269E-2</v>
      </c>
      <c r="CW281" s="14">
        <f t="shared" si="150"/>
        <v>-85.237944328851896</v>
      </c>
    </row>
    <row r="282" spans="88:101">
      <c r="CK282" s="18" t="s">
        <v>18</v>
      </c>
      <c r="CL282" s="18">
        <f>Calculators!G78</f>
        <v>23.982067525572877</v>
      </c>
      <c r="CM282" s="18">
        <f>SUM(CM271:CM281)</f>
        <v>1</v>
      </c>
      <c r="CN282" s="18">
        <f>SUM(CN271:CN281)</f>
        <v>1.445899</v>
      </c>
      <c r="CO282" s="18">
        <f>SUM(CO271:CO281)</f>
        <v>1564.0598993292413</v>
      </c>
      <c r="CP282" s="18">
        <f t="array" ref="CP282">SUM(CL271:CL281*CP271:CP281) / CL282</f>
        <v>-221.69899000000004</v>
      </c>
      <c r="CQ282" s="18"/>
      <c r="CR282" s="18"/>
      <c r="CS282" s="18"/>
      <c r="CT282" s="18"/>
      <c r="CU282" s="18"/>
      <c r="CV282" s="18">
        <f>SUM(CV271:CV281)</f>
        <v>610.85370126636826</v>
      </c>
      <c r="CW282" s="18">
        <f>SUM(CW271:CW281)</f>
        <v>955411.7785075705</v>
      </c>
    </row>
    <row r="283" spans="88:101" ht="18" customHeight="1">
      <c r="CL283" s="1" t="s">
        <v>83</v>
      </c>
      <c r="CM283" s="1"/>
      <c r="CN283" s="14" t="s">
        <v>85</v>
      </c>
      <c r="CO283" s="14" t="s">
        <v>81</v>
      </c>
      <c r="CP283" s="1" t="s">
        <v>640</v>
      </c>
      <c r="CQ283" s="21"/>
      <c r="CR283" s="21"/>
      <c r="CV283" s="14" t="s">
        <v>90</v>
      </c>
      <c r="CW283" s="1" t="s">
        <v>87</v>
      </c>
    </row>
    <row r="289" spans="90:93">
      <c r="CM289" t="s">
        <v>785</v>
      </c>
    </row>
    <row r="291" spans="90:93">
      <c r="CL291" s="307" t="s">
        <v>782</v>
      </c>
      <c r="CM291" s="307" t="s">
        <v>265</v>
      </c>
      <c r="CN291" s="308" t="s">
        <v>250</v>
      </c>
      <c r="CO291" s="308" t="s">
        <v>783</v>
      </c>
    </row>
    <row r="292" spans="90:93">
      <c r="CL292" s="307" t="s">
        <v>47</v>
      </c>
      <c r="CM292" s="307" t="s">
        <v>62</v>
      </c>
      <c r="CN292" s="307" t="s">
        <v>91</v>
      </c>
      <c r="CO292" s="307" t="s">
        <v>47</v>
      </c>
    </row>
    <row r="293" spans="90:93">
      <c r="CL293" s="309">
        <f>'MCC_hM_RUVY_matrices_mat_level '!L155</f>
        <v>5806523.6972423811</v>
      </c>
      <c r="CM293" s="309">
        <v>1573.15</v>
      </c>
      <c r="CN293" s="309">
        <f>1-(T_0/CM293)</f>
        <v>0.81057114706162792</v>
      </c>
      <c r="CO293" s="309">
        <f>CL293*CN293</f>
        <v>4706600.5737142814</v>
      </c>
    </row>
    <row r="294" spans="90:93">
      <c r="CL294" s="310" t="s">
        <v>786</v>
      </c>
    </row>
  </sheetData>
  <mergeCells count="103">
    <mergeCell ref="EN126:ET128"/>
    <mergeCell ref="DS233:DW234"/>
    <mergeCell ref="DV235:DV236"/>
    <mergeCell ref="BK234:BN235"/>
    <mergeCell ref="BO236:BO237"/>
    <mergeCell ref="DY237:DY240"/>
    <mergeCell ref="EP114:EU114"/>
    <mergeCell ref="DT116:DY117"/>
    <mergeCell ref="CJ222:CJ228"/>
    <mergeCell ref="CG208:CG209"/>
    <mergeCell ref="BK246:BN247"/>
    <mergeCell ref="CJ238:CJ242"/>
    <mergeCell ref="CJ255:CJ257"/>
    <mergeCell ref="CJ271:CJ281"/>
    <mergeCell ref="DT103:DY104"/>
    <mergeCell ref="CY233:DC234"/>
    <mergeCell ref="DB235:DB236"/>
    <mergeCell ref="P25:P26"/>
    <mergeCell ref="W42:AA43"/>
    <mergeCell ref="CC126:CG127"/>
    <mergeCell ref="AB48:AB51"/>
    <mergeCell ref="CF128:CF129"/>
    <mergeCell ref="P23:Q24"/>
    <mergeCell ref="BG110:BM110"/>
    <mergeCell ref="BJ126:BN127"/>
    <mergeCell ref="W126:AA127"/>
    <mergeCell ref="BM128:BM129"/>
    <mergeCell ref="AO25:AU25"/>
    <mergeCell ref="BH25:BN25"/>
    <mergeCell ref="P113:P114"/>
    <mergeCell ref="BI42:BM43"/>
    <mergeCell ref="AP42:AT43"/>
    <mergeCell ref="BN46:BN47"/>
    <mergeCell ref="BN59:BN62"/>
    <mergeCell ref="AO110:AU110"/>
    <mergeCell ref="AU46:AU47"/>
    <mergeCell ref="AU48:AU51"/>
    <mergeCell ref="AS44:AS45"/>
    <mergeCell ref="AB67:AB70"/>
    <mergeCell ref="AQ126:AU127"/>
    <mergeCell ref="P111:Q112"/>
    <mergeCell ref="Z44:Z45"/>
    <mergeCell ref="AT128:AT129"/>
    <mergeCell ref="Z128:Z129"/>
    <mergeCell ref="BL44:BL45"/>
    <mergeCell ref="AB46:AB47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W206:AB207"/>
    <mergeCell ref="W182:AC182"/>
    <mergeCell ref="E238:H239"/>
    <mergeCell ref="B222:H223"/>
    <mergeCell ref="P206:R206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AA208:AA209"/>
    <mergeCell ref="AT208:AT209"/>
    <mergeCell ref="AO187:AU187"/>
    <mergeCell ref="I240:I241"/>
    <mergeCell ref="AC231:AC234"/>
    <mergeCell ref="BJ206:BN207"/>
    <mergeCell ref="BM208:BM209"/>
    <mergeCell ref="FN126:FT128"/>
    <mergeCell ref="BK154:BN155"/>
    <mergeCell ref="BK142:BN143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Y226:DD226"/>
    <mergeCell ref="BO130:BO131"/>
    <mergeCell ref="BO211:BO216"/>
    <mergeCell ref="DZ144:DZ145"/>
    <mergeCell ref="DZ130:DZ133"/>
    <mergeCell ref="DS126:DY128"/>
    <mergeCell ref="DW129:DW130"/>
    <mergeCell ref="CD206:CH207"/>
  </mergeCells>
  <conditionalFormatting sqref="Y46 EM241:ES241 EM242:EN242 ES242:ES244 EA243:EN244">
    <cfRule type="cellIs" dxfId="34" priority="27" operator="notEqual">
      <formula>0</formula>
    </cfRule>
  </conditionalFormatting>
  <conditionalFormatting sqref="Y130">
    <cfRule type="cellIs" dxfId="33" priority="28" operator="notEqual">
      <formula>0</formula>
    </cfRule>
  </conditionalFormatting>
  <conditionalFormatting sqref="Z210">
    <cfRule type="cellIs" dxfId="32" priority="26" operator="notEqual">
      <formula>0</formula>
    </cfRule>
  </conditionalFormatting>
  <conditionalFormatting sqref="AA55:AA64">
    <cfRule type="cellIs" dxfId="31" priority="9" operator="notEqual">
      <formula>0</formula>
    </cfRule>
  </conditionalFormatting>
  <conditionalFormatting sqref="AA138:AA143">
    <cfRule type="cellIs" dxfId="30" priority="10" operator="notEqual">
      <formula>0</formula>
    </cfRule>
  </conditionalFormatting>
  <conditionalFormatting sqref="AA218:AA227">
    <cfRule type="cellIs" dxfId="29" priority="14" operator="notEqual">
      <formula>0</formula>
    </cfRule>
  </conditionalFormatting>
  <conditionalFormatting sqref="AD210">
    <cfRule type="expression" dxfId="28" priority="2">
      <formula>ifdigit(subscript)</formula>
    </cfRule>
  </conditionalFormatting>
  <conditionalFormatting sqref="AR46">
    <cfRule type="cellIs" dxfId="27" priority="37" operator="notEqual">
      <formula>0</formula>
    </cfRule>
  </conditionalFormatting>
  <conditionalFormatting sqref="AS130">
    <cfRule type="cellIs" dxfId="26" priority="35" operator="notEqual">
      <formula>0</formula>
    </cfRule>
  </conditionalFormatting>
  <conditionalFormatting sqref="AS210">
    <cfRule type="cellIs" dxfId="25" priority="32" operator="notEqual">
      <formula>0</formula>
    </cfRule>
  </conditionalFormatting>
  <conditionalFormatting sqref="AT55:AT64">
    <cfRule type="cellIs" dxfId="24" priority="8" operator="notEqual">
      <formula>0</formula>
    </cfRule>
  </conditionalFormatting>
  <conditionalFormatting sqref="AT137:AT140">
    <cfRule type="cellIs" dxfId="23" priority="11" operator="notEqual">
      <formula>0</formula>
    </cfRule>
  </conditionalFormatting>
  <conditionalFormatting sqref="AT218:AT227">
    <cfRule type="cellIs" dxfId="22" priority="15" operator="notEqual">
      <formula>0</formula>
    </cfRule>
  </conditionalFormatting>
  <conditionalFormatting sqref="AW210">
    <cfRule type="expression" dxfId="21" priority="24">
      <formula>ifdigit(subscript)</formula>
    </cfRule>
  </conditionalFormatting>
  <conditionalFormatting sqref="BK46">
    <cfRule type="cellIs" dxfId="20" priority="36" operator="notEqual">
      <formula>0</formula>
    </cfRule>
  </conditionalFormatting>
  <conditionalFormatting sqref="BL55:BL61">
    <cfRule type="cellIs" dxfId="19" priority="7" operator="notEqual">
      <formula>0</formula>
    </cfRule>
  </conditionalFormatting>
  <conditionalFormatting sqref="BL130">
    <cfRule type="cellIs" dxfId="18" priority="34" operator="notEqual">
      <formula>0</formula>
    </cfRule>
  </conditionalFormatting>
  <conditionalFormatting sqref="BL210">
    <cfRule type="cellIs" dxfId="17" priority="20" operator="notEqual">
      <formula>0</formula>
    </cfRule>
  </conditionalFormatting>
  <conditionalFormatting sqref="BM137:BM140">
    <cfRule type="cellIs" dxfId="16" priority="12" operator="notEqual">
      <formula>0</formula>
    </cfRule>
  </conditionalFormatting>
  <conditionalFormatting sqref="BM218:BM227">
    <cfRule type="cellIs" dxfId="15" priority="16" operator="notEqual">
      <formula>0</formula>
    </cfRule>
  </conditionalFormatting>
  <conditionalFormatting sqref="BP210">
    <cfRule type="expression" dxfId="14" priority="19">
      <formula>ifdigit(subscript)</formula>
    </cfRule>
  </conditionalFormatting>
  <conditionalFormatting sqref="CE130">
    <cfRule type="cellIs" dxfId="13" priority="31" operator="notEqual">
      <formula>0</formula>
    </cfRule>
  </conditionalFormatting>
  <conditionalFormatting sqref="CF210">
    <cfRule type="cellIs" dxfId="12" priority="33" operator="notEqual">
      <formula>0</formula>
    </cfRule>
  </conditionalFormatting>
  <conditionalFormatting sqref="CG139:CG144">
    <cfRule type="cellIs" dxfId="11" priority="13" operator="notEqual">
      <formula>0</formula>
    </cfRule>
  </conditionalFormatting>
  <conditionalFormatting sqref="CG58:CH58">
    <cfRule type="cellIs" dxfId="10" priority="45" operator="notEqual">
      <formula>0</formula>
    </cfRule>
  </conditionalFormatting>
  <conditionalFormatting sqref="CG218:CI221 CH222:CI227 CG222:CG228">
    <cfRule type="cellIs" dxfId="9" priority="17" operator="notEqual">
      <formula>0</formula>
    </cfRule>
  </conditionalFormatting>
  <conditionalFormatting sqref="CK210">
    <cfRule type="expression" dxfId="8" priority="3">
      <formula>ifdigit(subscript)</formula>
    </cfRule>
  </conditionalFormatting>
  <conditionalFormatting sqref="DA237">
    <cfRule type="cellIs" dxfId="7" priority="18" operator="notEqual">
      <formula>0</formula>
    </cfRule>
  </conditionalFormatting>
  <conditionalFormatting sqref="DB246:DB248">
    <cfRule type="cellIs" dxfId="6" priority="21" operator="notEqual">
      <formula>0</formula>
    </cfRule>
  </conditionalFormatting>
  <conditionalFormatting sqref="DU237">
    <cfRule type="cellIs" dxfId="5" priority="4" operator="notEqual">
      <formula>0</formula>
    </cfRule>
  </conditionalFormatting>
  <conditionalFormatting sqref="DV131">
    <cfRule type="cellIs" dxfId="4" priority="30" operator="notEqual">
      <formula>0</formula>
    </cfRule>
  </conditionalFormatting>
  <conditionalFormatting sqref="EA133">
    <cfRule type="expression" dxfId="3" priority="1">
      <formula>ifdigit(subscript)</formula>
    </cfRule>
  </conditionalFormatting>
  <conditionalFormatting sqref="EQ131">
    <cfRule type="cellIs" dxfId="2" priority="29" operator="notEqual">
      <formula>0</formula>
    </cfRule>
  </conditionalFormatting>
  <conditionalFormatting sqref="ER245:ER248">
    <cfRule type="cellIs" dxfId="1" priority="6" operator="notEqual">
      <formula>0</formula>
    </cfRule>
  </conditionalFormatting>
  <conditionalFormatting sqref="ES140:ES147">
    <cfRule type="cellIs" dxfId="0" priority="5" operator="notEqual">
      <formula>0</formula>
    </cfRule>
  </conditionalFormatting>
  <hyperlinks>
    <hyperlink ref="D247" r:id="rId1" xr:uid="{00000000-0004-0000-0200-000000000000}"/>
    <hyperlink ref="X125" r:id="rId2" display="https://www.energy.gov/sites/prod/files/2013/11/f4/stone.pdf " xr:uid="{00000000-0004-0000-0200-000001000000}"/>
    <hyperlink ref="D159" r:id="rId3" xr:uid="{00000000-0004-0000-0200-000002000000}"/>
    <hyperlink ref="D59" r:id="rId4" xr:uid="{00000000-0004-0000-0200-000003000000}"/>
    <hyperlink ref="BJ23" r:id="rId5" xr:uid="{00000000-0004-0000-0200-000004000000}"/>
    <hyperlink ref="Z203" r:id="rId6" xr:uid="{00000000-0004-0000-0200-000005000000}"/>
    <hyperlink ref="BN198" r:id="rId7" xr:uid="{00000000-0004-0000-0200-000006000000}"/>
    <hyperlink ref="BI108" r:id="rId8" xr:uid="{00000000-0004-0000-0200-000007000000}"/>
    <hyperlink ref="AJ123" r:id="rId9" xr:uid="{00000000-0004-0000-0200-000008000000}"/>
    <hyperlink ref="ER111" r:id="rId10" xr:uid="{00000000-0004-0000-0200-000009000000}"/>
    <hyperlink ref="AQ23" r:id="rId11" xr:uid="{00000000-0004-0000-0200-00000A000000}"/>
    <hyperlink ref="DB225" r:id="rId12" xr:uid="{00000000-0004-0000-0200-00000B000000}"/>
    <hyperlink ref="CE121" r:id="rId13" xr:uid="{00000000-0004-0000-0200-00000C000000}"/>
    <hyperlink ref="CL294" r:id="rId14" xr:uid="{D11A8C93-BF11-4954-BA45-36A1FE8D58ED}"/>
  </hyperlinks>
  <pageMargins left="0.7" right="0.7" top="0.75" bottom="0.75" header="0.3" footer="0.3"/>
  <pageSetup scale="10" orientation="landscape" r:id="rId15"/>
  <drawing r:id="rId16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0FE08-B6D4-4CE6-A782-0A436FD3B9EC}">
  <dimension ref="B2:K63"/>
  <sheetViews>
    <sheetView tabSelected="1" topLeftCell="A42" workbookViewId="0">
      <selection activeCell="G49" sqref="G49"/>
    </sheetView>
  </sheetViews>
  <sheetFormatPr defaultRowHeight="14.4"/>
  <sheetData>
    <row r="2" spans="2:11">
      <c r="B2" s="14"/>
      <c r="C2" s="390" t="s">
        <v>512</v>
      </c>
      <c r="D2" s="390"/>
      <c r="E2" s="390"/>
      <c r="F2" s="390"/>
      <c r="G2" s="390"/>
      <c r="H2" s="390"/>
      <c r="I2" s="390"/>
      <c r="J2" s="390"/>
      <c r="K2" s="390"/>
    </row>
    <row r="3" spans="2:11">
      <c r="B3" s="14"/>
      <c r="C3" s="14"/>
      <c r="D3" s="14"/>
      <c r="E3" s="14"/>
      <c r="F3" s="14"/>
      <c r="G3" s="14"/>
      <c r="H3" s="14"/>
      <c r="I3" s="14"/>
      <c r="J3" s="14"/>
      <c r="K3" s="14"/>
    </row>
    <row r="4" spans="2:11">
      <c r="B4" s="14"/>
      <c r="C4" s="14"/>
      <c r="D4" s="14"/>
      <c r="E4" s="14"/>
      <c r="F4" s="14"/>
      <c r="G4" s="14"/>
      <c r="H4" s="14"/>
      <c r="I4" s="14"/>
      <c r="J4" s="14"/>
      <c r="K4" s="14"/>
    </row>
    <row r="5" spans="2:11">
      <c r="B5" s="134" t="s">
        <v>333</v>
      </c>
      <c r="C5" s="246" t="e">
        <f t="array" ref="C5:C40">TRANSPOSE(#REF!)</f>
        <v>#REF!</v>
      </c>
      <c r="D5" s="14"/>
      <c r="E5" s="246" t="e">
        <f t="array" ref="E5:E40">TRANSPOSE(#REF!)</f>
        <v>#REF!</v>
      </c>
      <c r="F5" s="14"/>
      <c r="G5" s="246" t="e">
        <f t="shared" ref="G5:G40" si="0">#REF!</f>
        <v>#REF!</v>
      </c>
      <c r="H5" s="14"/>
      <c r="I5" s="246" t="e">
        <f t="array" ref="I5:I40">#REF!</f>
        <v>#REF!</v>
      </c>
      <c r="J5" s="14"/>
      <c r="K5" s="250" t="e">
        <f>C5+E5-G5-I5</f>
        <v>#REF!</v>
      </c>
    </row>
    <row r="6" spans="2:11">
      <c r="B6" s="134" t="s">
        <v>335</v>
      </c>
      <c r="C6" s="246" t="e">
        <v>#REF!</v>
      </c>
      <c r="D6" s="14"/>
      <c r="E6" s="246" t="e">
        <v>#REF!</v>
      </c>
      <c r="F6" s="14"/>
      <c r="G6" s="246" t="e">
        <f t="shared" ref="G6:G41" si="1">#REF!</f>
        <v>#REF!</v>
      </c>
      <c r="H6" s="14"/>
      <c r="I6" s="246" t="e">
        <v>#REF!</v>
      </c>
      <c r="J6" s="14"/>
      <c r="K6" s="250" t="e">
        <f t="shared" ref="K6:K40" si="2">C6+E6-G6-I6</f>
        <v>#REF!</v>
      </c>
    </row>
    <row r="7" spans="2:11">
      <c r="B7" s="134" t="s">
        <v>336</v>
      </c>
      <c r="C7" s="246" t="e">
        <v>#REF!</v>
      </c>
      <c r="D7" s="14"/>
      <c r="E7" s="246" t="e">
        <v>#REF!</v>
      </c>
      <c r="F7" s="14"/>
      <c r="G7" s="246" t="e">
        <f t="shared" ref="G7:G42" si="3">#REF!</f>
        <v>#REF!</v>
      </c>
      <c r="H7" s="14"/>
      <c r="I7" s="246" t="e">
        <v>#REF!</v>
      </c>
      <c r="J7" s="14"/>
      <c r="K7" s="250" t="e">
        <f>C7+E7-G7-I7</f>
        <v>#REF!</v>
      </c>
    </row>
    <row r="8" spans="2:11">
      <c r="B8" s="134" t="s">
        <v>355</v>
      </c>
      <c r="C8" s="246" t="e">
        <v>#REF!</v>
      </c>
      <c r="D8" s="14"/>
      <c r="E8" s="246" t="e">
        <v>#REF!</v>
      </c>
      <c r="F8" s="14"/>
      <c r="G8" s="246" t="e">
        <f t="shared" ref="G8:G43" si="4">#REF!</f>
        <v>#REF!</v>
      </c>
      <c r="H8" s="14"/>
      <c r="I8" s="246" t="e">
        <v>#REF!</v>
      </c>
      <c r="J8" s="14"/>
      <c r="K8" s="250" t="e">
        <f t="shared" si="2"/>
        <v>#REF!</v>
      </c>
    </row>
    <row r="9" spans="2:11">
      <c r="B9" s="134" t="s">
        <v>377</v>
      </c>
      <c r="C9" s="246" t="e">
        <v>#REF!</v>
      </c>
      <c r="D9" s="14"/>
      <c r="E9" s="246" t="e">
        <v>#REF!</v>
      </c>
      <c r="F9" s="14"/>
      <c r="G9" s="246" t="e">
        <f t="shared" ref="G9:G44" si="5">#REF!</f>
        <v>#REF!</v>
      </c>
      <c r="H9" s="14"/>
      <c r="I9" s="246" t="e">
        <v>#REF!</v>
      </c>
      <c r="J9" s="14"/>
      <c r="K9" s="250" t="e">
        <f t="shared" si="2"/>
        <v>#REF!</v>
      </c>
    </row>
    <row r="10" spans="2:11">
      <c r="B10" s="134" t="s">
        <v>407</v>
      </c>
      <c r="C10" s="246" t="e">
        <v>#REF!</v>
      </c>
      <c r="D10" s="14"/>
      <c r="E10" s="246" t="e">
        <v>#REF!</v>
      </c>
      <c r="F10" s="14"/>
      <c r="G10" s="246" t="e">
        <f t="shared" ref="G10:G45" si="6">#REF!</f>
        <v>#REF!</v>
      </c>
      <c r="H10" s="14"/>
      <c r="I10" s="246" t="e">
        <v>#REF!</v>
      </c>
      <c r="J10" s="14"/>
      <c r="K10" s="250" t="e">
        <f>ROUND(C10+E10-G10-I10, 10)</f>
        <v>#REF!</v>
      </c>
    </row>
    <row r="11" spans="2:11">
      <c r="B11" s="134" t="s">
        <v>408</v>
      </c>
      <c r="C11" s="246" t="e">
        <v>#REF!</v>
      </c>
      <c r="D11" s="14"/>
      <c r="E11" s="246" t="e">
        <v>#REF!</v>
      </c>
      <c r="F11" s="14"/>
      <c r="G11" s="246" t="e">
        <f t="shared" ref="G11:G46" si="7">#REF!</f>
        <v>#REF!</v>
      </c>
      <c r="H11" s="14"/>
      <c r="I11" s="246" t="e">
        <v>#REF!</v>
      </c>
      <c r="J11" s="14"/>
      <c r="K11" s="250" t="e">
        <f t="shared" si="2"/>
        <v>#REF!</v>
      </c>
    </row>
    <row r="12" spans="2:11">
      <c r="B12" s="134" t="s">
        <v>411</v>
      </c>
      <c r="C12" s="246" t="e">
        <v>#REF!</v>
      </c>
      <c r="D12" s="14"/>
      <c r="E12" s="246" t="e">
        <v>#REF!</v>
      </c>
      <c r="F12" s="14"/>
      <c r="G12" s="246" t="e">
        <f t="shared" ref="G12:G47" si="8">#REF!</f>
        <v>#REF!</v>
      </c>
      <c r="H12" s="14"/>
      <c r="I12" s="246" t="e">
        <v>#REF!</v>
      </c>
      <c r="J12" s="14"/>
      <c r="K12" s="250" t="e">
        <f t="shared" si="2"/>
        <v>#REF!</v>
      </c>
    </row>
    <row r="13" spans="2:11">
      <c r="B13" s="134" t="s">
        <v>459</v>
      </c>
      <c r="C13" s="246" t="e">
        <v>#REF!</v>
      </c>
      <c r="D13" s="14"/>
      <c r="E13" s="246" t="e">
        <v>#REF!</v>
      </c>
      <c r="F13" s="14"/>
      <c r="G13" s="246" t="e">
        <f t="shared" ref="G13:G48" si="9">#REF!</f>
        <v>#REF!</v>
      </c>
      <c r="H13" s="14"/>
      <c r="I13" s="246" t="e">
        <v>#REF!</v>
      </c>
      <c r="J13" s="14"/>
      <c r="K13" s="250" t="e">
        <f t="shared" si="2"/>
        <v>#REF!</v>
      </c>
    </row>
    <row r="14" spans="2:11" ht="15.6">
      <c r="B14" s="232" t="s">
        <v>442</v>
      </c>
      <c r="C14" s="246" t="e">
        <v>#REF!</v>
      </c>
      <c r="D14" s="14"/>
      <c r="E14" s="246" t="e">
        <v>#REF!</v>
      </c>
      <c r="F14" s="14"/>
      <c r="G14" s="246" t="e">
        <f t="shared" ref="G14:G49" si="10">#REF!</f>
        <v>#REF!</v>
      </c>
      <c r="H14" s="14"/>
      <c r="I14" s="246" t="e">
        <v>#REF!</v>
      </c>
      <c r="J14" s="14"/>
      <c r="K14" s="250" t="e">
        <f t="shared" si="2"/>
        <v>#REF!</v>
      </c>
    </row>
    <row r="15" spans="2:11">
      <c r="B15" s="134" t="s">
        <v>409</v>
      </c>
      <c r="C15" s="246" t="e">
        <v>#REF!</v>
      </c>
      <c r="D15" s="14"/>
      <c r="E15" s="246" t="e">
        <v>#REF!</v>
      </c>
      <c r="F15" s="14"/>
      <c r="G15" s="246" t="e">
        <f t="shared" ref="G15:G50" si="11">#REF!</f>
        <v>#REF!</v>
      </c>
      <c r="H15" s="14"/>
      <c r="I15" s="246" t="e">
        <v>#REF!</v>
      </c>
      <c r="J15" s="14"/>
      <c r="K15" s="250" t="e">
        <f t="shared" si="2"/>
        <v>#REF!</v>
      </c>
    </row>
    <row r="16" spans="2:11" ht="15.6">
      <c r="B16" s="232" t="s">
        <v>412</v>
      </c>
      <c r="C16" s="246" t="e">
        <v>#REF!</v>
      </c>
      <c r="D16" s="14"/>
      <c r="E16" s="246" t="e">
        <v>#REF!</v>
      </c>
      <c r="F16" s="14"/>
      <c r="G16" s="246" t="e">
        <f t="shared" ref="G16:G51" si="12">#REF!</f>
        <v>#REF!</v>
      </c>
      <c r="H16" s="14"/>
      <c r="I16" s="246" t="e">
        <v>#REF!</v>
      </c>
      <c r="J16" s="14"/>
      <c r="K16" s="250" t="e">
        <f t="shared" si="2"/>
        <v>#REF!</v>
      </c>
    </row>
    <row r="17" spans="2:11">
      <c r="B17" s="134" t="s">
        <v>437</v>
      </c>
      <c r="C17" s="246" t="e">
        <v>#REF!</v>
      </c>
      <c r="D17" s="14"/>
      <c r="E17" s="246" t="e">
        <v>#REF!</v>
      </c>
      <c r="F17" s="14"/>
      <c r="G17" s="246" t="e">
        <f t="shared" ref="G17:G52" si="13">#REF!</f>
        <v>#REF!</v>
      </c>
      <c r="H17" s="14"/>
      <c r="I17" s="246" t="e">
        <v>#REF!</v>
      </c>
      <c r="J17" s="14"/>
      <c r="K17" s="250" t="e">
        <f t="shared" si="2"/>
        <v>#REF!</v>
      </c>
    </row>
    <row r="18" spans="2:11">
      <c r="B18" s="233" t="s">
        <v>430</v>
      </c>
      <c r="C18" s="246" t="e">
        <v>#REF!</v>
      </c>
      <c r="D18" s="52" t="s">
        <v>371</v>
      </c>
      <c r="E18" s="246" t="e">
        <v>#REF!</v>
      </c>
      <c r="F18" s="52" t="s">
        <v>373</v>
      </c>
      <c r="G18" s="246" t="e">
        <f t="shared" ref="G18:G53" si="14">#REF!</f>
        <v>#REF!</v>
      </c>
      <c r="H18" s="52" t="s">
        <v>373</v>
      </c>
      <c r="I18" s="246" t="e">
        <v>#REF!</v>
      </c>
      <c r="J18" s="52" t="s">
        <v>374</v>
      </c>
      <c r="K18" s="250" t="e">
        <f t="shared" si="2"/>
        <v>#REF!</v>
      </c>
    </row>
    <row r="19" spans="2:11">
      <c r="B19" s="134" t="s">
        <v>416</v>
      </c>
      <c r="C19" s="246" t="e">
        <v>#REF!</v>
      </c>
      <c r="D19" s="14"/>
      <c r="E19" s="246" t="e">
        <v>#REF!</v>
      </c>
      <c r="F19" s="14"/>
      <c r="G19" s="246" t="e">
        <f t="shared" ref="G19:G54" si="15">#REF!</f>
        <v>#REF!</v>
      </c>
      <c r="H19" s="14"/>
      <c r="I19" s="246" t="e">
        <v>#REF!</v>
      </c>
      <c r="J19" s="14"/>
      <c r="K19" s="250" t="e">
        <f t="shared" si="2"/>
        <v>#REF!</v>
      </c>
    </row>
    <row r="20" spans="2:11" ht="15.6">
      <c r="B20" s="232" t="s">
        <v>441</v>
      </c>
      <c r="C20" s="246" t="e">
        <v>#REF!</v>
      </c>
      <c r="D20" s="14"/>
      <c r="E20" s="246" t="e">
        <v>#REF!</v>
      </c>
      <c r="F20" s="14"/>
      <c r="G20" s="246" t="e">
        <f t="shared" ref="G20:G55" si="16">#REF!</f>
        <v>#REF!</v>
      </c>
      <c r="H20" s="14"/>
      <c r="I20" s="246" t="e">
        <v>#REF!</v>
      </c>
      <c r="J20" s="14"/>
      <c r="K20" s="250" t="e">
        <f t="shared" si="2"/>
        <v>#REF!</v>
      </c>
    </row>
    <row r="21" spans="2:11" ht="15.6">
      <c r="B21" s="232" t="s">
        <v>436</v>
      </c>
      <c r="C21" s="246" t="e">
        <v>#REF!</v>
      </c>
      <c r="D21" s="14"/>
      <c r="E21" s="246" t="e">
        <v>#REF!</v>
      </c>
      <c r="F21" s="14"/>
      <c r="G21" s="246" t="e">
        <f t="shared" ref="G21:G56" si="17">#REF!</f>
        <v>#REF!</v>
      </c>
      <c r="H21" s="14"/>
      <c r="I21" s="246" t="e">
        <v>#REF!</v>
      </c>
      <c r="J21" s="14"/>
      <c r="K21" s="250" t="e">
        <f t="shared" si="2"/>
        <v>#REF!</v>
      </c>
    </row>
    <row r="22" spans="2:11" ht="15.6">
      <c r="B22" s="232" t="s">
        <v>433</v>
      </c>
      <c r="C22" s="246" t="e">
        <v>#REF!</v>
      </c>
      <c r="D22" s="14"/>
      <c r="E22" s="246" t="e">
        <v>#REF!</v>
      </c>
      <c r="F22" s="14"/>
      <c r="G22" s="246" t="e">
        <f t="shared" ref="G22:G57" si="18">#REF!</f>
        <v>#REF!</v>
      </c>
      <c r="H22" s="14"/>
      <c r="I22" s="246" t="e">
        <v>#REF!</v>
      </c>
      <c r="J22" s="14"/>
      <c r="K22" s="250" t="e">
        <f t="shared" si="2"/>
        <v>#REF!</v>
      </c>
    </row>
    <row r="23" spans="2:11" ht="15.6">
      <c r="B23" s="232" t="s">
        <v>439</v>
      </c>
      <c r="C23" s="246" t="e">
        <v>#REF!</v>
      </c>
      <c r="D23" s="14"/>
      <c r="E23" s="246" t="e">
        <v>#REF!</v>
      </c>
      <c r="F23" s="14"/>
      <c r="G23" s="246" t="e">
        <f t="shared" ref="G23:G58" si="19">#REF!</f>
        <v>#REF!</v>
      </c>
      <c r="H23" s="14"/>
      <c r="I23" s="246" t="e">
        <v>#REF!</v>
      </c>
      <c r="J23" s="14"/>
      <c r="K23" s="250" t="e">
        <f t="shared" si="2"/>
        <v>#REF!</v>
      </c>
    </row>
    <row r="24" spans="2:11">
      <c r="B24" s="233" t="s">
        <v>438</v>
      </c>
      <c r="C24" s="246" t="e">
        <v>#REF!</v>
      </c>
      <c r="D24" s="14"/>
      <c r="E24" s="246" t="e">
        <v>#REF!</v>
      </c>
      <c r="F24" s="14"/>
      <c r="G24" s="246" t="e">
        <f t="shared" ref="G24:G59" si="20">#REF!</f>
        <v>#REF!</v>
      </c>
      <c r="H24" s="14"/>
      <c r="I24" s="246" t="e">
        <v>#REF!</v>
      </c>
      <c r="J24" s="14"/>
      <c r="K24" s="250" t="e">
        <f t="shared" si="2"/>
        <v>#REF!</v>
      </c>
    </row>
    <row r="25" spans="2:11">
      <c r="B25" s="233" t="s">
        <v>424</v>
      </c>
      <c r="C25" s="246" t="e">
        <v>#REF!</v>
      </c>
      <c r="D25" s="14"/>
      <c r="E25" s="246" t="e">
        <v>#REF!</v>
      </c>
      <c r="F25" s="14"/>
      <c r="G25" s="246" t="e">
        <f t="shared" ref="G25:G60" si="21">#REF!</f>
        <v>#REF!</v>
      </c>
      <c r="H25" s="14"/>
      <c r="I25" s="246" t="e">
        <v>#REF!</v>
      </c>
      <c r="J25" s="14"/>
      <c r="K25" s="250" t="e">
        <f t="shared" si="2"/>
        <v>#REF!</v>
      </c>
    </row>
    <row r="26" spans="2:11">
      <c r="B26" s="233" t="s">
        <v>456</v>
      </c>
      <c r="C26" s="246" t="e">
        <v>#REF!</v>
      </c>
      <c r="D26" s="14"/>
      <c r="E26" s="246" t="e">
        <v>#REF!</v>
      </c>
      <c r="F26" s="14"/>
      <c r="G26" s="246" t="e">
        <f t="shared" ref="G26:G61" si="22">#REF!</f>
        <v>#REF!</v>
      </c>
      <c r="H26" s="14"/>
      <c r="I26" s="246" t="e">
        <v>#REF!</v>
      </c>
      <c r="J26" s="14"/>
      <c r="K26" s="250" t="e">
        <f t="shared" si="2"/>
        <v>#REF!</v>
      </c>
    </row>
    <row r="27" spans="2:11">
      <c r="B27" s="233" t="s">
        <v>425</v>
      </c>
      <c r="C27" s="246" t="e">
        <v>#REF!</v>
      </c>
      <c r="D27" s="14"/>
      <c r="E27" s="246" t="e">
        <v>#REF!</v>
      </c>
      <c r="F27" s="14"/>
      <c r="G27" s="246" t="e">
        <f t="shared" ref="G27:G62" si="23">#REF!</f>
        <v>#REF!</v>
      </c>
      <c r="H27" s="14"/>
      <c r="I27" s="246" t="e">
        <v>#REF!</v>
      </c>
      <c r="J27" s="14"/>
      <c r="K27" s="250" t="e">
        <f t="shared" si="2"/>
        <v>#REF!</v>
      </c>
    </row>
    <row r="28" spans="2:11">
      <c r="B28" s="233" t="s">
        <v>427</v>
      </c>
      <c r="C28" s="246" t="e">
        <v>#REF!</v>
      </c>
      <c r="D28" s="14"/>
      <c r="E28" s="246" t="e">
        <v>#REF!</v>
      </c>
      <c r="F28" s="14"/>
      <c r="G28" s="246" t="e">
        <f t="shared" ref="G28:G63" si="24">#REF!</f>
        <v>#REF!</v>
      </c>
      <c r="H28" s="14"/>
      <c r="I28" s="246" t="e">
        <v>#REF!</v>
      </c>
      <c r="J28" s="14"/>
      <c r="K28" s="250" t="e">
        <f t="shared" si="2"/>
        <v>#REF!</v>
      </c>
    </row>
    <row r="29" spans="2:11">
      <c r="B29" s="233" t="s">
        <v>426</v>
      </c>
      <c r="C29" s="246" t="e">
        <v>#REF!</v>
      </c>
      <c r="D29" s="14"/>
      <c r="E29" s="246" t="e">
        <v>#REF!</v>
      </c>
      <c r="F29" s="14"/>
      <c r="G29" s="246" t="e">
        <f t="shared" ref="G29:G64" si="25">#REF!</f>
        <v>#REF!</v>
      </c>
      <c r="H29" s="14"/>
      <c r="I29" s="246" t="e">
        <v>#REF!</v>
      </c>
      <c r="J29" s="14"/>
      <c r="K29" s="250" t="e">
        <f t="shared" si="2"/>
        <v>#REF!</v>
      </c>
    </row>
    <row r="30" spans="2:11">
      <c r="B30" s="233" t="s">
        <v>484</v>
      </c>
      <c r="C30" s="246" t="e">
        <v>#REF!</v>
      </c>
      <c r="D30" s="14"/>
      <c r="E30" s="246" t="e">
        <v>#REF!</v>
      </c>
      <c r="F30" s="14"/>
      <c r="G30" s="246" t="e">
        <f t="shared" ref="G30:G64" si="26">#REF!</f>
        <v>#REF!</v>
      </c>
      <c r="H30" s="14"/>
      <c r="I30" s="246" t="e">
        <v>#REF!</v>
      </c>
      <c r="J30" s="14"/>
      <c r="K30" s="250" t="e">
        <f t="shared" si="2"/>
        <v>#REF!</v>
      </c>
    </row>
    <row r="31" spans="2:11" ht="15.6">
      <c r="B31" s="247" t="s">
        <v>422</v>
      </c>
      <c r="C31" s="246" t="e">
        <v>#REF!</v>
      </c>
      <c r="D31" s="14"/>
      <c r="E31" s="246" t="e">
        <v>#REF!</v>
      </c>
      <c r="F31" s="14"/>
      <c r="G31" s="246" t="e">
        <f t="shared" ref="G31:G64" si="27">#REF!</f>
        <v>#REF!</v>
      </c>
      <c r="H31" s="14"/>
      <c r="I31" s="246" t="e">
        <v>#REF!</v>
      </c>
      <c r="J31" s="14"/>
      <c r="K31" s="250" t="e">
        <f t="shared" si="2"/>
        <v>#REF!</v>
      </c>
    </row>
    <row r="32" spans="2:11" ht="15.6">
      <c r="B32" s="247" t="s">
        <v>552</v>
      </c>
      <c r="C32" s="246" t="e">
        <v>#REF!</v>
      </c>
      <c r="D32" s="14"/>
      <c r="E32" s="246" t="e">
        <v>#REF!</v>
      </c>
      <c r="F32" s="14"/>
      <c r="G32" s="246" t="e">
        <f t="shared" ref="G32:G64" si="28">#REF!</f>
        <v>#REF!</v>
      </c>
      <c r="H32" s="14"/>
      <c r="I32" s="246" t="e">
        <v>#REF!</v>
      </c>
      <c r="J32" s="14"/>
      <c r="K32" s="250" t="e">
        <f t="shared" si="2"/>
        <v>#REF!</v>
      </c>
    </row>
    <row r="33" spans="2:11">
      <c r="B33" s="233" t="s">
        <v>421</v>
      </c>
      <c r="C33" s="246" t="e">
        <v>#REF!</v>
      </c>
      <c r="D33" s="14"/>
      <c r="E33" s="246" t="e">
        <v>#REF!</v>
      </c>
      <c r="F33" s="14"/>
      <c r="G33" s="246" t="e">
        <f t="shared" ref="G33:G64" si="29">#REF!</f>
        <v>#REF!</v>
      </c>
      <c r="H33" s="14"/>
      <c r="I33" s="246" t="e">
        <v>#REF!</v>
      </c>
      <c r="J33" s="14"/>
      <c r="K33" s="250" t="e">
        <f t="shared" si="2"/>
        <v>#REF!</v>
      </c>
    </row>
    <row r="34" spans="2:11">
      <c r="B34" s="134" t="s">
        <v>423</v>
      </c>
      <c r="C34" s="246" t="e">
        <v>#REF!</v>
      </c>
      <c r="D34" s="14"/>
      <c r="E34" s="246" t="e">
        <v>#REF!</v>
      </c>
      <c r="F34" s="14"/>
      <c r="G34" s="246" t="e">
        <f t="shared" ref="G34:G64" si="30">#REF!</f>
        <v>#REF!</v>
      </c>
      <c r="H34" s="14"/>
      <c r="I34" s="246" t="e">
        <v>#REF!</v>
      </c>
      <c r="J34" s="14"/>
      <c r="K34" s="250" t="e">
        <f t="shared" si="2"/>
        <v>#REF!</v>
      </c>
    </row>
    <row r="35" spans="2:11">
      <c r="B35" s="233" t="s">
        <v>515</v>
      </c>
      <c r="C35" s="246" t="e">
        <v>#REF!</v>
      </c>
      <c r="D35" s="14"/>
      <c r="E35" s="246" t="e">
        <v>#REF!</v>
      </c>
      <c r="F35" s="14"/>
      <c r="G35" s="246" t="e">
        <f t="shared" ref="G35:G64" si="31">#REF!</f>
        <v>#REF!</v>
      </c>
      <c r="H35" s="14"/>
      <c r="I35" s="246" t="e">
        <v>#REF!</v>
      </c>
      <c r="J35" s="14"/>
      <c r="K35" s="250" t="e">
        <f t="shared" si="2"/>
        <v>#REF!</v>
      </c>
    </row>
    <row r="36" spans="2:11">
      <c r="B36" s="233" t="s">
        <v>517</v>
      </c>
      <c r="C36" s="246" t="e">
        <v>#REF!</v>
      </c>
      <c r="D36" s="14"/>
      <c r="E36" s="246" t="e">
        <v>#REF!</v>
      </c>
      <c r="F36" s="14"/>
      <c r="G36" s="246" t="e">
        <f t="shared" ref="G36:G64" si="32">#REF!</f>
        <v>#REF!</v>
      </c>
      <c r="H36" s="14"/>
      <c r="I36" s="246" t="e">
        <v>#REF!</v>
      </c>
      <c r="J36" s="14"/>
      <c r="K36" s="250" t="e">
        <f t="shared" si="2"/>
        <v>#REF!</v>
      </c>
    </row>
    <row r="37" spans="2:11">
      <c r="B37" s="233" t="s">
        <v>445</v>
      </c>
      <c r="C37" s="246" t="e">
        <v>#REF!</v>
      </c>
      <c r="D37" s="14"/>
      <c r="E37" s="246" t="e">
        <v>#REF!</v>
      </c>
      <c r="F37" s="14"/>
      <c r="G37" s="246" t="e">
        <f t="shared" ref="G37:G64" si="33">#REF!</f>
        <v>#REF!</v>
      </c>
      <c r="H37" s="14"/>
      <c r="I37" s="246" t="e">
        <v>#REF!</v>
      </c>
      <c r="J37" s="14"/>
      <c r="K37" s="250" t="e">
        <f t="shared" si="2"/>
        <v>#REF!</v>
      </c>
    </row>
    <row r="38" spans="2:11">
      <c r="B38" s="233" t="s">
        <v>446</v>
      </c>
      <c r="C38" s="246" t="e">
        <v>#REF!</v>
      </c>
      <c r="D38" s="14"/>
      <c r="E38" s="246" t="e">
        <v>#REF!</v>
      </c>
      <c r="F38" s="14"/>
      <c r="G38" s="246" t="e">
        <f t="shared" ref="G38:G64" si="34">#REF!</f>
        <v>#REF!</v>
      </c>
      <c r="H38" s="14"/>
      <c r="I38" s="246" t="e">
        <v>#REF!</v>
      </c>
      <c r="J38" s="14"/>
      <c r="K38" s="250" t="e">
        <f t="shared" si="2"/>
        <v>#REF!</v>
      </c>
    </row>
    <row r="39" spans="2:11">
      <c r="B39" s="233" t="s">
        <v>447</v>
      </c>
      <c r="C39" s="246" t="e">
        <v>#REF!</v>
      </c>
      <c r="D39" s="14"/>
      <c r="E39" s="246" t="e">
        <v>#REF!</v>
      </c>
      <c r="F39" s="14"/>
      <c r="G39" s="246" t="e">
        <f t="shared" ref="G39:G64" si="35">#REF!</f>
        <v>#REF!</v>
      </c>
      <c r="H39" s="14"/>
      <c r="I39" s="246" t="e">
        <v>#REF!</v>
      </c>
      <c r="J39" s="14"/>
      <c r="K39" s="250" t="e">
        <f t="shared" si="2"/>
        <v>#REF!</v>
      </c>
    </row>
    <row r="40" spans="2:11">
      <c r="B40" s="233" t="s">
        <v>457</v>
      </c>
      <c r="C40" s="246" t="e">
        <v>#REF!</v>
      </c>
      <c r="D40" s="14"/>
      <c r="E40" s="246" t="e">
        <v>#REF!</v>
      </c>
      <c r="F40" s="14"/>
      <c r="G40" s="246" t="e">
        <f t="shared" ref="G40:G64" si="36">#REF!</f>
        <v>#REF!</v>
      </c>
      <c r="H40" s="14"/>
      <c r="I40" s="246" t="e">
        <v>#REF!</v>
      </c>
      <c r="J40" s="14"/>
      <c r="K40" s="250" t="e">
        <f t="shared" si="2"/>
        <v>#REF!</v>
      </c>
    </row>
    <row r="41" spans="2:11" ht="16.8">
      <c r="B41" s="233"/>
      <c r="C41" s="14" t="s">
        <v>370</v>
      </c>
      <c r="D41" s="14"/>
      <c r="E41" s="14" t="s">
        <v>372</v>
      </c>
      <c r="F41" s="14"/>
      <c r="G41" s="52" t="s">
        <v>369</v>
      </c>
      <c r="H41" s="14"/>
      <c r="I41" s="52" t="s">
        <v>38</v>
      </c>
      <c r="J41" s="14"/>
      <c r="K41" s="52" t="e">
        <f>SUM(K5:K40)</f>
        <v>#REF!</v>
      </c>
    </row>
    <row r="45" spans="2:11">
      <c r="B45" s="14"/>
      <c r="C45" s="392" t="s">
        <v>576</v>
      </c>
      <c r="D45" s="392"/>
      <c r="E45" s="392"/>
      <c r="F45" s="392"/>
      <c r="G45" s="392"/>
      <c r="H45" s="392"/>
      <c r="I45" s="392"/>
    </row>
    <row r="46" spans="2:11">
      <c r="B46" s="14"/>
      <c r="C46" s="14"/>
      <c r="D46" s="14"/>
      <c r="E46" s="14"/>
      <c r="F46" s="14"/>
      <c r="G46" s="14"/>
      <c r="H46" s="14"/>
      <c r="I46" s="14"/>
    </row>
    <row r="47" spans="2:11">
      <c r="B47" s="14"/>
      <c r="C47" s="14"/>
      <c r="D47" s="14"/>
      <c r="E47" s="14"/>
      <c r="F47" s="14"/>
      <c r="G47" s="14"/>
      <c r="H47" s="14"/>
      <c r="I47" s="14"/>
      <c r="J47" s="404" t="s">
        <v>250</v>
      </c>
      <c r="K47" s="405"/>
    </row>
    <row r="48" spans="2:11">
      <c r="B48" s="134" t="s">
        <v>325</v>
      </c>
      <c r="C48" s="251" t="e">
        <f t="array" ref="C48:C62">TRANSPOSE(#REF!)</f>
        <v>#REF!</v>
      </c>
      <c r="D48" s="14"/>
      <c r="E48" s="251">
        <v>0</v>
      </c>
      <c r="F48" s="14"/>
      <c r="G48" s="251" t="e">
        <f>#REF!</f>
        <v>#REF!</v>
      </c>
      <c r="H48" s="14"/>
      <c r="I48" s="271" t="e">
        <f>C48+E48-G48</f>
        <v>#REF!</v>
      </c>
      <c r="J48" s="407">
        <f>Ore_to_PI!AE78</f>
        <v>0</v>
      </c>
      <c r="K48" s="406"/>
    </row>
    <row r="49" spans="2:11">
      <c r="B49" s="134" t="s">
        <v>326</v>
      </c>
      <c r="C49" s="251" t="e">
        <v>#REF!</v>
      </c>
      <c r="D49" s="14"/>
      <c r="E49" s="251">
        <v>0</v>
      </c>
      <c r="F49" s="14"/>
      <c r="G49" s="251" t="e">
        <f t="shared" ref="G49:G62" si="37">#REF!</f>
        <v>#REF!</v>
      </c>
      <c r="H49" s="14"/>
      <c r="I49" s="271" t="e">
        <f t="shared" ref="I49:I62" si="38">C49+E49-G49</f>
        <v>#REF!</v>
      </c>
      <c r="J49" s="407">
        <f>Ore_to_PI!AE159</f>
        <v>0</v>
      </c>
      <c r="K49" s="406"/>
    </row>
    <row r="50" spans="2:11">
      <c r="B50" s="134" t="s">
        <v>327</v>
      </c>
      <c r="C50" s="251" t="e">
        <v>#REF!</v>
      </c>
      <c r="D50" s="14"/>
      <c r="E50" s="251">
        <f>Ore_to_PI!Z98</f>
        <v>0</v>
      </c>
      <c r="F50" s="14"/>
      <c r="G50" s="251" t="e">
        <f t="shared" ref="G50:G63" si="39">#REF!</f>
        <v>#REF!</v>
      </c>
      <c r="H50" s="14"/>
      <c r="I50" s="271" t="e">
        <f t="shared" si="38"/>
        <v>#REF!</v>
      </c>
      <c r="J50" s="407">
        <f>Ore_to_PI!AF242</f>
        <v>0</v>
      </c>
      <c r="K50" s="406"/>
    </row>
    <row r="51" spans="2:11">
      <c r="B51" s="134" t="s">
        <v>455</v>
      </c>
      <c r="C51" s="251" t="e">
        <v>#REF!</v>
      </c>
      <c r="D51" s="14"/>
      <c r="E51" s="251" t="e">
        <f>Ore_to_PI!#REF!</f>
        <v>#REF!</v>
      </c>
      <c r="F51" s="14"/>
      <c r="G51" s="251" t="e">
        <f t="shared" ref="G51:G64" si="40">#REF!</f>
        <v>#REF!</v>
      </c>
      <c r="H51" s="14"/>
      <c r="I51" s="271" t="e">
        <f t="shared" si="38"/>
        <v>#REF!</v>
      </c>
      <c r="J51" s="407">
        <f>Ore_to_PI!AX64</f>
        <v>0</v>
      </c>
      <c r="K51" s="406"/>
    </row>
    <row r="52" spans="2:11">
      <c r="B52" s="134" t="s">
        <v>435</v>
      </c>
      <c r="C52" s="251" t="e">
        <v>#REF!</v>
      </c>
      <c r="D52" s="14"/>
      <c r="E52" s="251">
        <f>Ore_to_PI!AR16</f>
        <v>0</v>
      </c>
      <c r="F52" s="14"/>
      <c r="G52" s="251" t="e">
        <f t="shared" ref="G52:G64" si="41">#REF!</f>
        <v>#REF!</v>
      </c>
      <c r="H52" s="14"/>
      <c r="I52" s="271" t="e">
        <f t="shared" si="38"/>
        <v>#REF!</v>
      </c>
      <c r="J52" s="407">
        <f>Ore_to_PI!AY141</f>
        <v>0</v>
      </c>
      <c r="K52" s="406"/>
    </row>
    <row r="53" spans="2:11">
      <c r="B53" s="134" t="s">
        <v>434</v>
      </c>
      <c r="C53" s="251" t="e">
        <v>#REF!</v>
      </c>
      <c r="D53" s="14"/>
      <c r="E53" s="251">
        <f>Ore_to_PI!AR93</f>
        <v>0</v>
      </c>
      <c r="F53" s="14"/>
      <c r="G53" s="251" t="e">
        <f t="shared" ref="G53:G64" si="42">#REF!</f>
        <v>#REF!</v>
      </c>
      <c r="H53" s="14"/>
      <c r="I53" s="271" t="e">
        <f t="shared" si="38"/>
        <v>#REF!</v>
      </c>
      <c r="J53" s="407">
        <f>Ore_to_PI!AY227</f>
        <v>0</v>
      </c>
      <c r="K53" s="406"/>
    </row>
    <row r="54" spans="2:11">
      <c r="B54" s="134" t="s">
        <v>351</v>
      </c>
      <c r="C54" s="251" t="e">
        <v>#REF!</v>
      </c>
      <c r="D54" s="14"/>
      <c r="E54" s="251" t="e">
        <f>Ore_to_PI!#REF!</f>
        <v>#REF!</v>
      </c>
      <c r="F54" s="14"/>
      <c r="G54" s="251" t="e">
        <f t="shared" ref="G54:G64" si="43">#REF!</f>
        <v>#REF!</v>
      </c>
      <c r="H54" s="14"/>
      <c r="I54" s="271" t="e">
        <f t="shared" si="38"/>
        <v>#REF!</v>
      </c>
      <c r="J54" s="407">
        <f>Ore_to_PI!BR74</f>
        <v>0.79422021199461379</v>
      </c>
      <c r="K54" s="406"/>
    </row>
    <row r="55" spans="2:11">
      <c r="B55" s="134" t="s">
        <v>348</v>
      </c>
      <c r="C55" s="251" t="e">
        <v>#REF!</v>
      </c>
      <c r="D55" s="14" t="s">
        <v>371</v>
      </c>
      <c r="E55" s="251">
        <f>Ore_to_PI!BJ19</f>
        <v>0</v>
      </c>
      <c r="F55" s="252" t="s">
        <v>378</v>
      </c>
      <c r="G55" s="251" t="e">
        <f t="shared" ref="G55:G64" si="44">#REF!</f>
        <v>#REF!</v>
      </c>
      <c r="H55" s="252" t="s">
        <v>374</v>
      </c>
      <c r="I55" s="271" t="e">
        <f t="shared" si="38"/>
        <v>#REF!</v>
      </c>
      <c r="J55" s="407">
        <f>Ore_to_PI!BT118</f>
        <v>0</v>
      </c>
      <c r="K55" s="406"/>
    </row>
    <row r="56" spans="2:11">
      <c r="B56" s="134" t="s">
        <v>362</v>
      </c>
      <c r="C56" s="251" t="e">
        <v>#REF!</v>
      </c>
      <c r="D56" s="14"/>
      <c r="E56" s="251">
        <f>Ore_to_PI!BJ98</f>
        <v>0</v>
      </c>
      <c r="F56" s="14"/>
      <c r="G56" s="251" t="e">
        <f t="shared" ref="G56:G64" si="45">#REF!</f>
        <v>#REF!</v>
      </c>
      <c r="H56" s="14"/>
      <c r="I56" s="271" t="e">
        <f t="shared" si="38"/>
        <v>#REF!</v>
      </c>
      <c r="J56" s="407">
        <f>Ore_to_PI!BR227</f>
        <v>0</v>
      </c>
      <c r="K56" s="406"/>
    </row>
    <row r="57" spans="2:11">
      <c r="B57" s="134" t="s">
        <v>349</v>
      </c>
      <c r="C57" s="251" t="e">
        <v>#REF!</v>
      </c>
      <c r="D57" s="14"/>
      <c r="E57" s="251">
        <v>0</v>
      </c>
      <c r="F57" s="14"/>
      <c r="G57" s="251" t="e">
        <f t="shared" ref="G57:G64" si="46">#REF!</f>
        <v>#REF!</v>
      </c>
      <c r="H57" s="14"/>
      <c r="I57" s="271" t="e">
        <f t="shared" si="38"/>
        <v>#REF!</v>
      </c>
      <c r="J57" s="407">
        <f>Ore_to_PI!CL155</f>
        <v>0.74598303712227765</v>
      </c>
      <c r="K57" s="406"/>
    </row>
    <row r="58" spans="2:11">
      <c r="B58" s="134" t="s">
        <v>344</v>
      </c>
      <c r="C58" s="251" t="e">
        <v>#REF!</v>
      </c>
      <c r="D58" s="14"/>
      <c r="E58" s="251">
        <v>0</v>
      </c>
      <c r="F58" s="14"/>
      <c r="G58" s="251" t="e">
        <f t="shared" ref="G58:G64" si="47">#REF!</f>
        <v>#REF!</v>
      </c>
      <c r="H58" s="14"/>
      <c r="I58" s="271" t="e">
        <f t="shared" si="38"/>
        <v>#REF!</v>
      </c>
      <c r="J58" s="407">
        <f>Ore_to_PI!CN293</f>
        <v>0.81057114706162792</v>
      </c>
      <c r="K58" s="406"/>
    </row>
    <row r="59" spans="2:11">
      <c r="B59" s="134" t="s">
        <v>514</v>
      </c>
      <c r="C59" s="251" t="e">
        <v>#REF!</v>
      </c>
      <c r="D59" s="14"/>
      <c r="E59" s="251">
        <f>Ore_to_PI!DA132</f>
        <v>0</v>
      </c>
      <c r="F59" s="14"/>
      <c r="G59" s="251" t="e">
        <f t="shared" ref="G59:G64" si="48">#REF!</f>
        <v>#REF!</v>
      </c>
      <c r="H59" s="14"/>
      <c r="I59" s="271" t="e">
        <f t="shared" si="38"/>
        <v>#REF!</v>
      </c>
      <c r="J59" s="407">
        <f>Ore_to_PI!DG250</f>
        <v>0.87442850220171509</v>
      </c>
      <c r="K59" s="406"/>
    </row>
    <row r="60" spans="2:11">
      <c r="B60" s="134" t="s">
        <v>516</v>
      </c>
      <c r="C60" s="251" t="e">
        <v>#REF!</v>
      </c>
      <c r="D60" s="14"/>
      <c r="E60" s="251">
        <v>0</v>
      </c>
      <c r="F60" s="14"/>
      <c r="G60" s="251" t="e">
        <f t="shared" ref="G60:G64" si="49">#REF!</f>
        <v>#REF!</v>
      </c>
      <c r="H60" s="14"/>
      <c r="I60" s="271" t="e">
        <f t="shared" si="38"/>
        <v>#REF!</v>
      </c>
      <c r="J60" s="407" t="s">
        <v>378</v>
      </c>
      <c r="K60" s="406"/>
    </row>
    <row r="61" spans="2:11">
      <c r="B61" s="134" t="s">
        <v>76</v>
      </c>
      <c r="C61" s="251" t="e">
        <v>#REF!</v>
      </c>
      <c r="D61" s="14"/>
      <c r="E61" s="251">
        <v>0</v>
      </c>
      <c r="F61" s="14"/>
      <c r="G61" s="251" t="e">
        <f t="shared" ref="G61:G64" si="50">#REF!</f>
        <v>#REF!</v>
      </c>
      <c r="H61" s="14"/>
      <c r="I61" s="271" t="e">
        <f t="shared" si="38"/>
        <v>#REF!</v>
      </c>
      <c r="J61" s="407" t="s">
        <v>378</v>
      </c>
      <c r="K61" s="406"/>
    </row>
    <row r="62" spans="2:11">
      <c r="B62" s="134" t="s">
        <v>337</v>
      </c>
      <c r="C62" s="251" t="e">
        <v>#REF!</v>
      </c>
      <c r="D62" s="14"/>
      <c r="E62" s="253">
        <f>Ore_to_PI!ER20</f>
        <v>0</v>
      </c>
      <c r="F62" s="252"/>
      <c r="G62" s="251" t="e">
        <f t="shared" ref="G62:G64" si="51">#REF!</f>
        <v>#REF!</v>
      </c>
      <c r="H62" s="14"/>
      <c r="I62" s="271" t="e">
        <f t="shared" si="38"/>
        <v>#REF!</v>
      </c>
      <c r="J62" s="407">
        <f>Ore_to_PI!FC161</f>
        <v>0.73956990581694204</v>
      </c>
      <c r="K62" s="406"/>
    </row>
    <row r="63" spans="2:11" ht="16.8">
      <c r="C63" s="14" t="s">
        <v>577</v>
      </c>
      <c r="D63" s="252"/>
      <c r="E63" s="252" t="s">
        <v>196</v>
      </c>
      <c r="F63" s="252"/>
      <c r="G63" s="52" t="s">
        <v>365</v>
      </c>
      <c r="H63" s="14"/>
      <c r="I63" s="252" t="s">
        <v>578</v>
      </c>
      <c r="K63" s="403" t="s">
        <v>798</v>
      </c>
    </row>
  </sheetData>
  <mergeCells count="2">
    <mergeCell ref="C2:K2"/>
    <mergeCell ref="C45:I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420</vt:i4>
      </vt:variant>
    </vt:vector>
  </HeadingPairs>
  <TitlesOfParts>
    <vt:vector size="436" baseType="lpstr">
      <vt:lpstr>Constants</vt:lpstr>
      <vt:lpstr>Calculators</vt:lpstr>
      <vt:lpstr>Energy X</vt:lpstr>
      <vt:lpstr>MCC_B_RUVY_matrices_mat_level</vt:lpstr>
      <vt:lpstr>MCC_M_RUVY_matrices_mat_level</vt:lpstr>
      <vt:lpstr>MCC_h_RUVY_matrices_mat_level</vt:lpstr>
      <vt:lpstr>MCC_MW_RUVY_matrices_mat_level</vt:lpstr>
      <vt:lpstr>MCC_hM_RUVY_matrices_mat_level </vt:lpstr>
      <vt:lpstr>Waste</vt:lpstr>
      <vt:lpstr>Tables for Paper</vt:lpstr>
      <vt:lpstr>Appx_exergy_account</vt:lpstr>
      <vt:lpstr>B</vt:lpstr>
      <vt:lpstr>X</vt:lpstr>
      <vt:lpstr>BX</vt:lpstr>
      <vt:lpstr>Ore_to_PI</vt:lpstr>
      <vt:lpstr>BXCC Q loss</vt:lpstr>
      <vt:lpstr>b_c_CaCO3</vt:lpstr>
      <vt:lpstr>b_c_MgCO3</vt:lpstr>
      <vt:lpstr>b_CaCO3</vt:lpstr>
      <vt:lpstr>b_ch_Al2O3</vt:lpstr>
      <vt:lpstr>b_ch_C</vt:lpstr>
      <vt:lpstr>b_ch_C10H8</vt:lpstr>
      <vt:lpstr>b_ch_C12H10</vt:lpstr>
      <vt:lpstr>b_ch_C13H10</vt:lpstr>
      <vt:lpstr>b_ch_C14H10</vt:lpstr>
      <vt:lpstr>b_ch_C16H10</vt:lpstr>
      <vt:lpstr>b_ch_C18H12</vt:lpstr>
      <vt:lpstr>b_ch_C24H26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b_ch_fueloil</vt:lpstr>
      <vt:lpstr>b_ch_Gasoline</vt:lpstr>
      <vt:lpstr>b_ch_H</vt:lpstr>
      <vt:lpstr>b_ch_H2</vt:lpstr>
      <vt:lpstr>b_ch_H2O</vt:lpstr>
      <vt:lpstr>b_ch_H2S</vt:lpstr>
      <vt:lpstr>b_ch_K2O</vt:lpstr>
      <vt:lpstr>b_ch_Mg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b_ch_SO2</vt:lpstr>
      <vt:lpstr>b_com</vt:lpstr>
      <vt:lpstr>b_com_CaCO3</vt:lpstr>
      <vt:lpstr>b_com_MgCO3</vt:lpstr>
      <vt:lpstr>b_com_tot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b_MgCO3</vt:lpstr>
      <vt:lpstr>b_ph_CaCO3</vt:lpstr>
      <vt:lpstr>b_ph_MgCO3</vt:lpstr>
      <vt:lpstr>b_tot_limestone</vt:lpstr>
      <vt:lpstr>Bejan_MEROI_Coal</vt:lpstr>
      <vt:lpstr>Bejan_MEROI_Iron</vt:lpstr>
      <vt:lpstr>Bejan_MEROI_Limestone</vt:lpstr>
      <vt:lpstr>Beneficiation_CoalWaste</vt:lpstr>
      <vt:lpstr>Beneficiation_Iron_waste</vt:lpstr>
      <vt:lpstr>BF_B_in</vt:lpstr>
      <vt:lpstr>BF_B_out</vt:lpstr>
      <vt:lpstr>BF_B_slag_out</vt:lpstr>
      <vt:lpstr>BF_CO2Waste</vt:lpstr>
      <vt:lpstr>BF_SolidWaste</vt:lpstr>
      <vt:lpstr>Btu_to_kJ</vt:lpstr>
      <vt:lpstr>BX_across_industry_balance</vt:lpstr>
      <vt:lpstr>BX_across_industry_balance_I</vt:lpstr>
      <vt:lpstr>BX_across_industry_balance_Q_loss</vt:lpstr>
      <vt:lpstr>C_for_BF</vt:lpstr>
      <vt:lpstr>cal_to_kJ</vt:lpstr>
      <vt:lpstr>CH4_into_Kiln</vt:lpstr>
      <vt:lpstr>CH4_out_COtreatment</vt:lpstr>
      <vt:lpstr>CH4_to_BF</vt:lpstr>
      <vt:lpstr>CH4_to_DRI</vt:lpstr>
      <vt:lpstr>CO2_Diesel_molcoeff</vt:lpstr>
      <vt:lpstr>CO2_from_coke_oven_comb</vt:lpstr>
      <vt:lpstr>CO2_Gasoline_molcoeff</vt:lpstr>
      <vt:lpstr>CO2_Kiln_Out</vt:lpstr>
      <vt:lpstr>CO2_Kiln_out_from_methane</vt:lpstr>
      <vt:lpstr>CO2_molcoeff</vt:lpstr>
      <vt:lpstr>Co2_Naturalgas_molcoeff</vt:lpstr>
      <vt:lpstr>Co2_Oil_molcoef</vt:lpstr>
      <vt:lpstr>CO2_out_BF_from_COG</vt:lpstr>
      <vt:lpstr>CO2_out_BF_from_coke</vt:lpstr>
      <vt:lpstr>CO2_out_Coal_Ext</vt:lpstr>
      <vt:lpstr>coal_C_coeff</vt:lpstr>
      <vt:lpstr>coal_H_coeff</vt:lpstr>
      <vt:lpstr>coal_N_coeff</vt:lpstr>
      <vt:lpstr>coal_O_coeff</vt:lpstr>
      <vt:lpstr>coal_S_coeff</vt:lpstr>
      <vt:lpstr>coke_C_coeff</vt:lpstr>
      <vt:lpstr>coke_H_coeff</vt:lpstr>
      <vt:lpstr>coke_N_coeff</vt:lpstr>
      <vt:lpstr>coke_O_coeff</vt:lpstr>
      <vt:lpstr>coke_S_coeff</vt:lpstr>
      <vt:lpstr>Coking_BF_in</vt:lpstr>
      <vt:lpstr>com_constant</vt:lpstr>
      <vt:lpstr>cp_CaCO3</vt:lpstr>
      <vt:lpstr>cp_MgCO3</vt:lpstr>
      <vt:lpstr>deltaG_CaCO3</vt:lpstr>
      <vt:lpstr>deltaG_MgCO3</vt:lpstr>
      <vt:lpstr>deltah_CaCO3</vt:lpstr>
      <vt:lpstr>deltah_MgCO3</vt:lpstr>
      <vt:lpstr>deltas_CaCO3</vt:lpstr>
      <vt:lpstr>deltas_MgCO3</vt:lpstr>
      <vt:lpstr>Diesel_N2_molcoeff</vt:lpstr>
      <vt:lpstr>dM_CaCO3</vt:lpstr>
      <vt:lpstr>dM_MgCO3</vt:lpstr>
      <vt:lpstr>E_tot</vt:lpstr>
      <vt:lpstr>Efficiencies__Tables_for_Paper</vt:lpstr>
      <vt:lpstr>Fe_BF_out</vt:lpstr>
      <vt:lpstr>Fe2O3_BF_in</vt:lpstr>
      <vt:lpstr>Fr</vt:lpstr>
      <vt:lpstr>h_0_CO2</vt:lpstr>
      <vt:lpstr>h_0_H2O</vt:lpstr>
      <vt:lpstr>h_0_N2</vt:lpstr>
      <vt:lpstr>h_Al2O3</vt:lpstr>
      <vt:lpstr>h_C</vt:lpstr>
      <vt:lpstr>h_C10H8</vt:lpstr>
      <vt:lpstr>h_C12H10</vt:lpstr>
      <vt:lpstr>h_C13H10</vt:lpstr>
      <vt:lpstr>h_C14H10</vt:lpstr>
      <vt:lpstr>h_C16H10</vt:lpstr>
      <vt:lpstr>h_C18H12</vt:lpstr>
      <vt:lpstr>h_C24H26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h_fg_H2O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h_SO2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H2O_out_BF_from_COG</vt:lpstr>
      <vt:lpstr>H2O_out_BF_from_coke</vt:lpstr>
      <vt:lpstr>H2O_out_Coal_Ext</vt:lpstr>
      <vt:lpstr>H2S_out_COGtreatment</vt:lpstr>
      <vt:lpstr>H2S_to_BF</vt:lpstr>
      <vt:lpstr>H2S_to_DRI</vt:lpstr>
      <vt:lpstr>kg_to_ton</vt:lpstr>
      <vt:lpstr>Kiln_CO2waste</vt:lpstr>
      <vt:lpstr>Kiln_H2OWaste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lny_CaCO3</vt:lpstr>
      <vt:lpstr>lny_MgCO3</vt:lpstr>
      <vt:lpstr>M_across_industry_balance_M_loss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MgCO3_in_Limestone</vt:lpstr>
      <vt:lpstr>MgO_out</vt:lpstr>
      <vt:lpstr>mol_C_Coal</vt:lpstr>
      <vt:lpstr>mol_C_Coal_in</vt:lpstr>
      <vt:lpstr>mol_C_coke</vt:lpstr>
      <vt:lpstr>mol_C_to_BF</vt:lpstr>
      <vt:lpstr>mol_CaCO3</vt:lpstr>
      <vt:lpstr>mol_Coal</vt:lpstr>
      <vt:lpstr>mol_Coke</vt:lpstr>
      <vt:lpstr>mol_H_Coal</vt:lpstr>
      <vt:lpstr>mol_H_coke</vt:lpstr>
      <vt:lpstr>mol_limestone</vt:lpstr>
      <vt:lpstr>mol_MgCO3</vt:lpstr>
      <vt:lpstr>mol_N_Coal</vt:lpstr>
      <vt:lpstr>mol_N_coke</vt:lpstr>
      <vt:lpstr>mol_O_Coal</vt:lpstr>
      <vt:lpstr>mol_O_coke</vt:lpstr>
      <vt:lpstr>mol_S_coal</vt:lpstr>
      <vt:lpstr>mol_S_coke</vt:lpstr>
      <vt:lpstr>MW_Al2O3</vt:lpstr>
      <vt:lpstr>MW_C</vt:lpstr>
      <vt:lpstr>MW_C10H8</vt:lpstr>
      <vt:lpstr>MW_C12H10</vt:lpstr>
      <vt:lpstr>MW_C12H23</vt:lpstr>
      <vt:lpstr>MW_C13H10</vt:lpstr>
      <vt:lpstr>MW_C14H10</vt:lpstr>
      <vt:lpstr>MW_C16H10</vt:lpstr>
      <vt:lpstr>MW_C18H12</vt:lpstr>
      <vt:lpstr>MW_C24H26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MW_Coal</vt:lpstr>
      <vt:lpstr>MW_Coke</vt:lpstr>
      <vt:lpstr>MW_CS2</vt:lpstr>
      <vt:lpstr>MW_Fe</vt:lpstr>
      <vt:lpstr>MW_Fe2O3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MW_SO2</vt:lpstr>
      <vt:lpstr>N2_BF_out</vt:lpstr>
      <vt:lpstr>N2_for_coke_oven_comb</vt:lpstr>
      <vt:lpstr>N2_from_coke_oven_comb</vt:lpstr>
      <vt:lpstr>N2_in_BF_for_COG</vt:lpstr>
      <vt:lpstr>N2_in_BF_for_coke</vt:lpstr>
      <vt:lpstr>N2_in_Coal_Ext</vt:lpstr>
      <vt:lpstr>N2_Kiln_in</vt:lpstr>
      <vt:lpstr>N2_molcoeff</vt:lpstr>
      <vt:lpstr>N2_out_BF_from_COG</vt:lpstr>
      <vt:lpstr>N2_out_BF_from_coke</vt:lpstr>
      <vt:lpstr>NCV_bituminous</vt:lpstr>
      <vt:lpstr>NCV_dry_anthrocite</vt:lpstr>
      <vt:lpstr>O2_Diesel_molcoeff</vt:lpstr>
      <vt:lpstr>O2_for_coke_oven_comb</vt:lpstr>
      <vt:lpstr>O2_Gasoline_molcoeff</vt:lpstr>
      <vt:lpstr>O2_in_BF</vt:lpstr>
      <vt:lpstr>O2_in_BF_for_COG</vt:lpstr>
      <vt:lpstr>O2_in_BF_for_coke</vt:lpstr>
      <vt:lpstr>O2_in_Coal_Ext</vt:lpstr>
      <vt:lpstr>O2_Kiln_in</vt:lpstr>
      <vt:lpstr>O2_mol_in_BF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phi_anthrocite</vt:lpstr>
      <vt:lpstr>phi_constant_dry_anthracite_d</vt:lpstr>
      <vt:lpstr>phi_dry_constant_a_</vt:lpstr>
      <vt:lpstr>phi_dry_constant_b</vt:lpstr>
      <vt:lpstr>phi_dry_constant_c</vt:lpstr>
      <vt:lpstr>Quicklime_for_BF</vt:lpstr>
      <vt:lpstr>R__B</vt:lpstr>
      <vt:lpstr>R__BX</vt:lpstr>
      <vt:lpstr>R__MCC_B_RUVY_matrices_mat_level</vt:lpstr>
      <vt:lpstr>R__MCC_h_RUVY_matrices_mat_level</vt:lpstr>
      <vt:lpstr>R__MCC_M_RUVY_matrices_mat_level</vt:lpstr>
      <vt:lpstr>R__X</vt:lpstr>
      <vt:lpstr>r_EIOU__B</vt:lpstr>
      <vt:lpstr>r_EIOU__BX</vt:lpstr>
      <vt:lpstr>r_EIOU__MCC_B_RUVY_matrices_mat_level</vt:lpstr>
      <vt:lpstr>r_EIOU__MCC_h_RUVY_matrices_mat_level</vt:lpstr>
      <vt:lpstr>r_EIOU__MCC_M_RUVY_matrices_mat_level</vt:lpstr>
      <vt:lpstr>r_EIOU__X</vt:lpstr>
      <vt:lpstr>Rational_BF</vt:lpstr>
      <vt:lpstr>Rational_Coalbeneficiation</vt:lpstr>
      <vt:lpstr>Rational_CoalExtraction</vt:lpstr>
      <vt:lpstr>Rational_CoalHauling</vt:lpstr>
      <vt:lpstr>Rational_COGdistribution</vt:lpstr>
      <vt:lpstr>Rational_COGtreatment</vt:lpstr>
      <vt:lpstr>Rational_Cokeoven</vt:lpstr>
      <vt:lpstr>Rational_IronBeneficiation</vt:lpstr>
      <vt:lpstr>Rational_IronExtraction</vt:lpstr>
      <vt:lpstr>Rational_IronHauling</vt:lpstr>
      <vt:lpstr>Rational_Kiln</vt:lpstr>
      <vt:lpstr>Rational_LimeBeneficiation</vt:lpstr>
      <vt:lpstr>Rational_LimeExtraction</vt:lpstr>
      <vt:lpstr>Rational_LimeHauling</vt:lpstr>
      <vt:lpstr>Rational_MEROI_Coal</vt:lpstr>
      <vt:lpstr>Rational_MEROI_Iron</vt:lpstr>
      <vt:lpstr>Rational_MEROI_Limestone</vt:lpstr>
      <vt:lpstr>Rational_mixer</vt:lpstr>
      <vt:lpstr>Resource_BF</vt:lpstr>
      <vt:lpstr>Resource_Coalbeneficiation</vt:lpstr>
      <vt:lpstr>Resource_CoalExtraction</vt:lpstr>
      <vt:lpstr>Resource_CoalHauling</vt:lpstr>
      <vt:lpstr>Resource_COGdistribution</vt:lpstr>
      <vt:lpstr>Resource_COGtreatment</vt:lpstr>
      <vt:lpstr>Resource_CokeBeneficiation</vt:lpstr>
      <vt:lpstr>Resource_Cokeoven</vt:lpstr>
      <vt:lpstr>Resource_IronBeneficiation</vt:lpstr>
      <vt:lpstr>Resource_IronExtraction</vt:lpstr>
      <vt:lpstr>Resource_IronHauling</vt:lpstr>
      <vt:lpstr>Resource_Kiln</vt:lpstr>
      <vt:lpstr>Resource_LimeBeneficiation</vt:lpstr>
      <vt:lpstr>Resource_LimeExtraction</vt:lpstr>
      <vt:lpstr>Resource_LimeHauling</vt:lpstr>
      <vt:lpstr>Resource_MEROI_Coal</vt:lpstr>
      <vt:lpstr>Resource_MEROI_Iron</vt:lpstr>
      <vt:lpstr>Resource_MEROI_Limestone</vt:lpstr>
      <vt:lpstr>Resource_Mixer</vt:lpstr>
      <vt:lpstr>RT0</vt:lpstr>
      <vt:lpstr>s_0_CO2</vt:lpstr>
      <vt:lpstr>s_0_H2O</vt:lpstr>
      <vt:lpstr>s_0_N2</vt:lpstr>
      <vt:lpstr>s_CO2</vt:lpstr>
      <vt:lpstr>s_H2O</vt:lpstr>
      <vt:lpstr>s_N2</vt:lpstr>
      <vt:lpstr>S_units__B</vt:lpstr>
      <vt:lpstr>S_units__BX</vt:lpstr>
      <vt:lpstr>S_units__MCC_B_RUVY_matrices_mat_level</vt:lpstr>
      <vt:lpstr>S_units__X</vt:lpstr>
      <vt:lpstr>MCC_h_RUVY_matrices_mat_level!S_units_M</vt:lpstr>
      <vt:lpstr>S_units_M</vt:lpstr>
      <vt:lpstr>SiO2_BF_in</vt:lpstr>
      <vt:lpstr>Slag_BF_out</vt:lpstr>
      <vt:lpstr>SO2_out_BF_from_COG</vt:lpstr>
      <vt:lpstr>SO2_out_BF_from_coke</vt:lpstr>
      <vt:lpstr>Statepoint_limestone_into_kiln</vt:lpstr>
      <vt:lpstr>Statepoint_ore_into_bf</vt:lpstr>
      <vt:lpstr>Statepoint_ore_out_bf</vt:lpstr>
      <vt:lpstr>statepoint_slag_out_bf</vt:lpstr>
      <vt:lpstr>T_0</vt:lpstr>
      <vt:lpstr>T_kiln</vt:lpstr>
      <vt:lpstr>task_n</vt:lpstr>
      <vt:lpstr>U__B</vt:lpstr>
      <vt:lpstr>U__BX</vt:lpstr>
      <vt:lpstr>U__MCC_B_RUVY_matrices_mat_level</vt:lpstr>
      <vt:lpstr>U__MCC_h_RUVY_matrices_mat_level</vt:lpstr>
      <vt:lpstr>U__MCC_M_RUVY_matrices_mat_level</vt:lpstr>
      <vt:lpstr>U__X</vt:lpstr>
      <vt:lpstr>U_EIOU__B</vt:lpstr>
      <vt:lpstr>U_EIOU__BX</vt:lpstr>
      <vt:lpstr>U_EIOU__MCC_B_RUVY_matrices_mat_level</vt:lpstr>
      <vt:lpstr>U_EIOU__MCC_h_RUVY_matrices_mat_level</vt:lpstr>
      <vt:lpstr>U_EIOU__MCC_M_RUVY_matrices_mat_level</vt:lpstr>
      <vt:lpstr>U_EIOU__X</vt:lpstr>
      <vt:lpstr>U_feed__B</vt:lpstr>
      <vt:lpstr>U_feed__BX</vt:lpstr>
      <vt:lpstr>U_feed__MCC_B_RUVY_matrices_mat_level</vt:lpstr>
      <vt:lpstr>U_feed__MCC_h_RUVY_matrices_mat_level</vt:lpstr>
      <vt:lpstr>U_feed__MCC_M_RUVY_matrices_mat_level</vt:lpstr>
      <vt:lpstr>U_feed__X</vt:lpstr>
      <vt:lpstr>V__B</vt:lpstr>
      <vt:lpstr>V__BX</vt:lpstr>
      <vt:lpstr>V__MCC_B_RUVY_matrices_mat_level</vt:lpstr>
      <vt:lpstr>V__MCC_h_RUVY_matrices_mat_level</vt:lpstr>
      <vt:lpstr>V__MCC_M_RUVY_matrices_mat_level</vt:lpstr>
      <vt:lpstr>V__X</vt:lpstr>
      <vt:lpstr>Y__B</vt:lpstr>
      <vt:lpstr>Y__BX</vt:lpstr>
      <vt:lpstr>Y__MCC_B_RUVY_matrices_mat_level</vt:lpstr>
      <vt:lpstr>Y__MCC_h_RUVY_matrices_mat_level</vt:lpstr>
      <vt:lpstr>Y__MCC_M_RUVY_matrices_mat_level</vt:lpstr>
      <vt:lpstr>Y__X</vt:lpstr>
      <vt:lpstr>y_CaCO3</vt:lpstr>
      <vt:lpstr>y_MgCO3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2025-08-17T20:07:19Z</dcterms:modified>
  <cp:category/>
  <cp:contentStatus/>
</cp:coreProperties>
</file>