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40030AAE-C07F-6B4E-8FAC-3F022DA5981B}" xr6:coauthVersionLast="47" xr6:coauthVersionMax="47" xr10:uidLastSave="{00000000-0000-0000-0000-000000000000}"/>
  <bookViews>
    <workbookView xWindow="0" yWindow="0" windowWidth="51200" windowHeight="28800" activeTab="2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 B RUVY matrices (mat level)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B">'MCC B RUVY matrices (mat level)'!$E$148:$AM$157</definedName>
    <definedName name="r_eiou_B">'MCC B RUVY matrices (mat level)'!$BK$1:$BY$35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B">'MCC B RUVY matrices (mat level)'!$B$1:$C$35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B">'MCC B RUVY matrices (mat level)'!$AR$82:$BF$116</definedName>
    <definedName name="U_eiou_B">'MCC B RUVY matrices (mat level)'!$AR$1:$BF$35</definedName>
    <definedName name="U_eiou_M">'MCC M RUVY matrices (mat level)'!$AO$1:$BC$35</definedName>
    <definedName name="U_feed_B">'MCC B RUVY matrices (mat level)'!$AR$39:$BF$73</definedName>
    <definedName name="U_feed_M">'MCC M RUVY matrices (mat level)'!$AO$39:$BC$73</definedName>
    <definedName name="U_M">'MCC M RUVY matrices (mat level)'!$AO$78:$BC$112</definedName>
    <definedName name="V_B">'MCC B RUVY matrices (mat level)'!$E$120:$AM$134</definedName>
    <definedName name="V_M">'MCC M RUVY matrices (mat level)'!$B$116:$AJ$130</definedName>
    <definedName name="Y_B">'MCC B RUVY matrices (mat level)'!$BK$82:$BM$116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" i="21" l="1"/>
  <c r="D18" i="21"/>
  <c r="V7" i="21"/>
  <c r="V5" i="21"/>
  <c r="P21" i="21"/>
  <c r="O21" i="21"/>
  <c r="N21" i="21"/>
  <c r="O11" i="21"/>
  <c r="J5" i="21"/>
  <c r="C2" i="21"/>
  <c r="L21" i="21"/>
  <c r="M11" i="21"/>
  <c r="M21" i="21"/>
  <c r="K21" i="21"/>
  <c r="J21" i="21"/>
  <c r="I21" i="21"/>
  <c r="H21" i="21"/>
  <c r="F21" i="21"/>
  <c r="G21" i="21"/>
  <c r="E21" i="21"/>
  <c r="D21" i="21"/>
  <c r="E18" i="21"/>
  <c r="G18" i="21"/>
  <c r="H18" i="21" s="1"/>
  <c r="V6" i="21" s="1"/>
  <c r="K5" i="21"/>
  <c r="U5" i="21" s="1"/>
  <c r="I5" i="21"/>
  <c r="H5" i="21"/>
  <c r="F5" i="21"/>
  <c r="E5" i="21"/>
  <c r="D15" i="21"/>
  <c r="J15" i="21"/>
  <c r="E15" i="21"/>
  <c r="F15" i="21" s="1"/>
  <c r="I15" i="21" s="1"/>
  <c r="K15" i="21" s="1"/>
  <c r="U6" i="21"/>
  <c r="H8" i="21"/>
  <c r="Q11" i="21"/>
  <c r="U7" i="21" s="1"/>
  <c r="P11" i="21"/>
  <c r="N11" i="21"/>
  <c r="L11" i="21"/>
  <c r="K11" i="21"/>
  <c r="J11" i="21"/>
  <c r="I11" i="21"/>
  <c r="E11" i="21"/>
  <c r="F11" i="21" s="1"/>
  <c r="D11" i="2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83" i="20"/>
  <c r="BG84" i="20"/>
  <c r="BG85" i="20"/>
  <c r="BG86" i="20"/>
  <c r="BG88" i="20"/>
  <c r="BG89" i="20"/>
  <c r="BG90" i="20"/>
  <c r="BG91" i="20"/>
  <c r="BG92" i="20"/>
  <c r="BG93" i="20"/>
  <c r="BG94" i="20"/>
  <c r="BG95" i="20"/>
  <c r="BG96" i="20"/>
  <c r="BG97" i="20"/>
  <c r="J181" i="20" s="1"/>
  <c r="BG98" i="20"/>
  <c r="BG99" i="20"/>
  <c r="BG100" i="20"/>
  <c r="BG101" i="20"/>
  <c r="BG102" i="20"/>
  <c r="J186" i="20" s="1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91" i="11" l="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123" i="15" l="1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BE62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P130" i="9" l="1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AS40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J167" i="20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AY55" i="20" s="1"/>
  <c r="BW48" i="9"/>
  <c r="BW42" i="9" s="1"/>
  <c r="CF211" i="9"/>
  <c r="CO206" i="9" s="1"/>
  <c r="AR48" i="9" l="1"/>
  <c r="AV92" i="20"/>
  <c r="AV49" i="20" s="1"/>
  <c r="X127" i="20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AT41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F67" i="9" l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J176" i="20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AS45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T249" i="9" l="1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s="1"/>
  <c r="CT248" i="9" l="1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BD66" i="20" s="1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AR219" i="9" l="1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AU48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CT247" i="9" l="1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AW48" i="20" s="1"/>
  <c r="V46" i="9"/>
  <c r="L6" i="13" s="1"/>
  <c r="P121" i="20"/>
  <c r="AN121" i="20" s="1"/>
  <c r="H207" i="20" s="1"/>
  <c r="BM93" i="20"/>
  <c r="BN93" i="20" s="1"/>
  <c r="F28" i="17"/>
  <c r="H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C44" i="20" l="1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AW51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X142" i="9" l="1"/>
  <c r="X139" i="9"/>
  <c r="AZ99" i="20"/>
  <c r="AZ56" i="20" s="1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Y139" i="9" l="1"/>
  <c r="Y141" i="9"/>
  <c r="Z139" i="9"/>
  <c r="Z141" i="9"/>
  <c r="Z142" i="9"/>
  <c r="BD84" i="15"/>
  <c r="G168" i="15" s="1"/>
  <c r="BF87" i="20"/>
  <c r="BF44" i="20" s="1"/>
  <c r="BF90" i="20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L155" i="20"/>
  <c r="L159" i="20" s="1"/>
  <c r="F173" i="20" s="1"/>
  <c r="J183" i="20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B60" i="20" s="1"/>
  <c r="BH130" i="9"/>
  <c r="J197" i="20"/>
  <c r="BF70" i="20"/>
  <c r="J173" i="20"/>
  <c r="AT46" i="20"/>
  <c r="J174" i="20"/>
  <c r="BF47" i="20"/>
  <c r="J187" i="20"/>
  <c r="BK131" i="9"/>
  <c r="G17" i="14" s="1"/>
  <c r="Z128" i="20"/>
  <c r="J211" i="20"/>
  <c r="AT88" i="20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C61" i="11" l="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H15" i="17" s="1"/>
  <c r="J175" i="20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Q132" i="15"/>
  <c r="AE234" i="9"/>
  <c r="BK101" i="15"/>
  <c r="CI146" i="9" l="1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J188" i="20" l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BC69" i="20" s="1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N248" i="9" l="1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Z210" i="9" l="1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<sst xmlns="http://schemas.openxmlformats.org/spreadsheetml/2006/main" count="5014" uniqueCount="648">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</sst>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2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G3" sqref="G3:H4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94" t="s">
        <v>103</v>
      </c>
      <c r="Q2" s="295"/>
      <c r="R2" s="294" t="s">
        <v>109</v>
      </c>
      <c r="S2" s="295"/>
      <c r="U2" s="296" t="s">
        <v>234</v>
      </c>
      <c r="V2" s="296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464</v>
      </c>
      <c r="Y5" s="61" t="s">
        <v>496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521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507</v>
      </c>
      <c r="R11" s="3" t="s">
        <v>502</v>
      </c>
      <c r="S11" s="3" t="s">
        <v>513</v>
      </c>
      <c r="T11" s="3" t="s">
        <v>514</v>
      </c>
      <c r="U11" s="3" t="s">
        <v>512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508</v>
      </c>
      <c r="R12" s="3" t="s">
        <v>510</v>
      </c>
      <c r="S12" s="3" t="s">
        <v>509</v>
      </c>
      <c r="T12" s="3" t="s">
        <v>509</v>
      </c>
      <c r="U12" s="3" t="s">
        <v>509</v>
      </c>
      <c r="V12" s="3" t="s">
        <v>509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497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509</v>
      </c>
      <c r="R15" s="3" t="s">
        <v>511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571</v>
      </c>
      <c r="P17" s="222" t="s">
        <v>40</v>
      </c>
      <c r="Q17" s="3" t="s">
        <v>507</v>
      </c>
      <c r="R17" s="3" t="s">
        <v>502</v>
      </c>
      <c r="S17" s="3" t="s">
        <v>513</v>
      </c>
      <c r="T17" s="3" t="s">
        <v>514</v>
      </c>
      <c r="U17" s="3" t="s">
        <v>512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508</v>
      </c>
      <c r="R18" s="3" t="s">
        <v>510</v>
      </c>
      <c r="S18" s="3" t="s">
        <v>509</v>
      </c>
      <c r="T18" s="3" t="s">
        <v>509</v>
      </c>
      <c r="U18" s="3" t="s">
        <v>509</v>
      </c>
      <c r="V18" s="3" t="s">
        <v>509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521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509</v>
      </c>
      <c r="R21" s="3" t="s">
        <v>511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97" t="s">
        <v>393</v>
      </c>
      <c r="P24" s="297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496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497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521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515</v>
      </c>
      <c r="C55" s="3" t="s">
        <v>516</v>
      </c>
    </row>
    <row r="56" spans="2:3" ht="17" x14ac:dyDescent="0.25">
      <c r="B56" s="13" t="s">
        <v>501</v>
      </c>
      <c r="C56" s="3" t="s">
        <v>500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96" t="s">
        <v>126</v>
      </c>
      <c r="P10" s="296"/>
      <c r="Q10" s="296"/>
      <c r="R10" s="296"/>
      <c r="S10" s="296"/>
      <c r="T10" s="296"/>
      <c r="U10" s="296"/>
      <c r="V10" s="296" t="s">
        <v>126</v>
      </c>
      <c r="W10" s="296"/>
      <c r="X10" s="296"/>
      <c r="Y10" s="296"/>
      <c r="Z10" s="296"/>
      <c r="AA10" s="296"/>
      <c r="AB10" s="296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96" t="s">
        <v>307</v>
      </c>
      <c r="P11" s="296"/>
      <c r="Q11" s="296"/>
      <c r="R11" s="294"/>
      <c r="S11" s="295"/>
      <c r="T11" s="309" t="s">
        <v>306</v>
      </c>
      <c r="U11" s="310"/>
      <c r="V11" s="296" t="str">
        <f>_xlfn.CONCAT(E19," ",C19," ","+"," ",E21," ",C21," ","--&gt;"," ",E22," ",C22," ","+"," ",E20*E21," ",C20)</f>
        <v>1.5 C + 1.5 O2 --&gt; 1.5 CO2 + 5.64 N2</v>
      </c>
      <c r="W11" s="296"/>
      <c r="X11" s="296"/>
      <c r="Y11" s="296"/>
      <c r="Z11" s="296"/>
      <c r="AA11" s="296"/>
      <c r="AB11" s="296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96" t="s">
        <v>226</v>
      </c>
      <c r="P12" s="296"/>
      <c r="Q12" s="296"/>
      <c r="R12" s="294"/>
      <c r="S12" s="295"/>
      <c r="T12" s="296" t="s">
        <v>225</v>
      </c>
      <c r="U12" s="296"/>
      <c r="V12" s="296" t="str">
        <f>_xlfn.CONCAT(E25," ",C25," ","+"," ",E26," ",C26," ","--&gt;"," ",E27," ",C27)</f>
        <v>1.5 CO2 + 1.5 C --&gt; 3 CO</v>
      </c>
      <c r="W12" s="296"/>
      <c r="X12" s="296"/>
      <c r="Y12" s="296"/>
      <c r="Z12" s="296"/>
      <c r="AA12" s="296"/>
      <c r="AB12" s="296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96" t="s">
        <v>227</v>
      </c>
      <c r="P13" s="296"/>
      <c r="Q13" s="296"/>
      <c r="R13" s="294"/>
      <c r="S13" s="295"/>
      <c r="T13" s="309" t="s">
        <v>228</v>
      </c>
      <c r="U13" s="310"/>
      <c r="V13" s="296" t="str">
        <f>_xlfn.CONCAT(E29," ",C29," ","+"," ",E30," ",C30," ","--&gt;"," ",E31," ",C31," ","+"," ",E32," ",C32)</f>
        <v>1 Fe2O3 + 3 CO --&gt; 2 Fe + 3 CO2</v>
      </c>
      <c r="W13" s="296"/>
      <c r="X13" s="296"/>
      <c r="Y13" s="296"/>
      <c r="Z13" s="296"/>
      <c r="AA13" s="296"/>
      <c r="AB13" s="296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96"/>
      <c r="P14" s="296"/>
      <c r="Q14" s="296"/>
      <c r="R14" s="294"/>
      <c r="S14" s="295"/>
      <c r="T14" s="296"/>
      <c r="U14" s="296"/>
      <c r="V14" s="296" t="str">
        <f>_xlfn.CONCAT(E36," ",C36," ","--&gt;"," ",E37," ",C37," ","+"," ",E39," ",C39)</f>
        <v>1 CaCO3 --&gt; 1 CaO + 0.0624775822865075 MgO</v>
      </c>
      <c r="W14" s="296"/>
      <c r="X14" s="296"/>
      <c r="Y14" s="296"/>
      <c r="Z14" s="296"/>
      <c r="AA14" s="296"/>
      <c r="AB14" s="296"/>
    </row>
    <row r="15" spans="1:28" ht="17" x14ac:dyDescent="0.25">
      <c r="O15" s="296" t="s">
        <v>229</v>
      </c>
      <c r="P15" s="296"/>
      <c r="Q15" s="296"/>
      <c r="R15" s="294"/>
      <c r="S15" s="295"/>
      <c r="T15" s="296" t="s">
        <v>230</v>
      </c>
      <c r="U15" s="296"/>
      <c r="V15" s="296" t="str">
        <f>_xlfn.CONCAT(E41," ",C41," ","+"," ",E42," ",C42," ","--&gt;"," ",E43," ",C43)</f>
        <v>1 CaO + 1 SiO2 --&gt; 1 CaSiO3</v>
      </c>
      <c r="W15" s="296"/>
      <c r="X15" s="296"/>
      <c r="Y15" s="296"/>
      <c r="Z15" s="296"/>
      <c r="AA15" s="296"/>
      <c r="AB15" s="296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96" t="s">
        <v>335</v>
      </c>
      <c r="P17" s="296"/>
      <c r="Q17" s="296"/>
      <c r="R17" s="296"/>
      <c r="S17" s="296"/>
      <c r="T17" s="296"/>
      <c r="U17" s="296"/>
      <c r="V17" s="296" t="s">
        <v>126</v>
      </c>
      <c r="W17" s="296"/>
      <c r="X17" s="296"/>
      <c r="Y17" s="296"/>
      <c r="Z17" s="296"/>
      <c r="AA17" s="296"/>
      <c r="AB17" s="296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96" t="s">
        <v>336</v>
      </c>
      <c r="P18" s="296"/>
      <c r="Q18" s="296"/>
      <c r="R18" s="296"/>
      <c r="S18" s="296"/>
      <c r="T18" s="296" t="s">
        <v>337</v>
      </c>
      <c r="U18" s="294"/>
      <c r="V18" s="31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4"/>
      <c r="X18" s="314"/>
      <c r="Y18" s="314"/>
      <c r="Z18" s="314"/>
      <c r="AA18" s="314"/>
      <c r="AB18" s="314"/>
    </row>
    <row r="19" spans="1:28" ht="16" x14ac:dyDescent="0.2">
      <c r="B19" s="304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4"/>
      <c r="W19" s="314"/>
      <c r="X19" s="314"/>
      <c r="Y19" s="314"/>
      <c r="Z19" s="314"/>
      <c r="AA19" s="314"/>
      <c r="AB19" s="314"/>
    </row>
    <row r="20" spans="1:28" ht="18" x14ac:dyDescent="0.25">
      <c r="A20" s="1"/>
      <c r="B20" s="305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06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7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8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1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1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1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1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2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3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0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1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1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04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04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1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1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299" t="s">
        <v>19</v>
      </c>
      <c r="C44" s="29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2" t="s">
        <v>352</v>
      </c>
      <c r="D47" s="302"/>
      <c r="E47" s="302"/>
      <c r="F47" s="302"/>
    </row>
    <row r="48" spans="2:23" x14ac:dyDescent="0.2">
      <c r="C48" s="303"/>
      <c r="D48" s="303"/>
      <c r="E48" s="303"/>
      <c r="F48" s="303"/>
      <c r="H48" s="296" t="s">
        <v>70</v>
      </c>
      <c r="I48" s="296"/>
      <c r="J48" s="296"/>
      <c r="K48" s="296"/>
      <c r="L48" s="296"/>
      <c r="M48" s="296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96" t="s">
        <v>74</v>
      </c>
      <c r="I49" s="296"/>
      <c r="J49" s="296"/>
      <c r="K49" s="13"/>
      <c r="L49" s="309" t="s">
        <v>359</v>
      </c>
      <c r="M49" s="310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298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298"/>
      <c r="J51" s="298"/>
      <c r="K51" s="298"/>
      <c r="L51" s="298"/>
      <c r="M51" s="298"/>
    </row>
    <row r="52" spans="2:17" ht="16.25" customHeight="1" x14ac:dyDescent="0.25">
      <c r="C52" s="20" t="s">
        <v>24</v>
      </c>
      <c r="D52" s="13" t="s">
        <v>432</v>
      </c>
      <c r="H52" s="298"/>
      <c r="I52" s="298"/>
      <c r="J52" s="298"/>
      <c r="K52" s="298"/>
      <c r="L52" s="298"/>
      <c r="M52" s="298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607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2" t="s">
        <v>380</v>
      </c>
      <c r="C69" s="302"/>
      <c r="D69" s="302"/>
      <c r="E69" s="302"/>
      <c r="F69" s="302"/>
      <c r="G69" s="302"/>
      <c r="W69" s="157"/>
      <c r="Y69" s="316" t="s">
        <v>498</v>
      </c>
      <c r="Z69" s="316"/>
      <c r="AA69" s="316"/>
      <c r="AB69" s="316"/>
      <c r="AC69" s="316"/>
      <c r="AD69" s="316"/>
      <c r="AE69" s="316"/>
      <c r="AF69" s="316"/>
    </row>
    <row r="70" spans="2:41" x14ac:dyDescent="0.2">
      <c r="B70" s="318"/>
      <c r="C70" s="318"/>
      <c r="D70" s="318"/>
      <c r="E70" s="318"/>
      <c r="F70" s="318"/>
      <c r="G70" s="318"/>
      <c r="W70" s="155"/>
      <c r="Y70" s="316"/>
      <c r="Z70" s="316"/>
      <c r="AA70" s="316"/>
      <c r="AB70" s="316"/>
      <c r="AC70" s="316"/>
      <c r="AD70" s="316"/>
      <c r="AE70" s="316"/>
      <c r="AF70" s="316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16"/>
      <c r="Z71" s="316"/>
      <c r="AA71" s="316"/>
      <c r="AB71" s="316"/>
      <c r="AC71" s="316"/>
      <c r="AD71" s="316"/>
      <c r="AE71" s="316"/>
      <c r="AF71" s="316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297" t="s">
        <v>114</v>
      </c>
      <c r="I77" s="297"/>
      <c r="J77" s="297"/>
      <c r="K77" s="297"/>
      <c r="L77" s="297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492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487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499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462</v>
      </c>
      <c r="D147" s="315"/>
      <c r="E147" s="315"/>
      <c r="F147" s="315"/>
      <c r="G147" s="315"/>
    </row>
    <row r="148" spans="1:30" x14ac:dyDescent="0.2">
      <c r="B148" s="171" t="s">
        <v>454</v>
      </c>
      <c r="C148" s="316"/>
      <c r="D148" s="316"/>
      <c r="E148" s="316"/>
      <c r="F148" s="316"/>
      <c r="G148" s="316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486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6" t="s">
        <v>603</v>
      </c>
      <c r="C176" s="316"/>
      <c r="D176" s="316"/>
      <c r="E176" s="316"/>
      <c r="F176" s="316"/>
      <c r="G176" s="316"/>
    </row>
    <row r="177" spans="2:17" x14ac:dyDescent="0.2">
      <c r="B177" s="316"/>
      <c r="C177" s="316"/>
      <c r="D177" s="316"/>
      <c r="E177" s="316"/>
      <c r="F177" s="316"/>
      <c r="G177" s="316"/>
    </row>
    <row r="178" spans="2:17" x14ac:dyDescent="0.2">
      <c r="B178" s="316"/>
      <c r="C178" s="316"/>
      <c r="D178" s="316"/>
      <c r="E178" s="316"/>
      <c r="F178" s="316"/>
      <c r="G178" s="316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485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6" t="s">
        <v>503</v>
      </c>
      <c r="C215" s="316"/>
      <c r="D215" s="316"/>
      <c r="E215" s="316"/>
      <c r="G215" s="20" t="s">
        <v>67</v>
      </c>
      <c r="H215" s="237" t="s">
        <v>24</v>
      </c>
      <c r="J215" s="296" t="s">
        <v>70</v>
      </c>
      <c r="K215" s="296"/>
      <c r="L215" s="296"/>
      <c r="M215" s="296"/>
      <c r="N215" s="296"/>
      <c r="O215" s="296"/>
    </row>
    <row r="216" spans="2:20" ht="18" x14ac:dyDescent="0.25">
      <c r="B216" s="316"/>
      <c r="C216" s="316"/>
      <c r="D216" s="316"/>
      <c r="E216" s="316"/>
      <c r="G216" s="13">
        <v>3.76</v>
      </c>
      <c r="H216" s="13">
        <v>2</v>
      </c>
      <c r="J216" s="296" t="s">
        <v>505</v>
      </c>
      <c r="K216" s="296"/>
      <c r="L216" s="296"/>
      <c r="M216" s="13"/>
      <c r="N216" s="317" t="s">
        <v>75</v>
      </c>
      <c r="O216" s="310"/>
    </row>
    <row r="217" spans="2:20" x14ac:dyDescent="0.2">
      <c r="B217" s="316"/>
      <c r="C217" s="316"/>
      <c r="D217" s="316"/>
      <c r="E217" s="316"/>
      <c r="J217" s="296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96"/>
      <c r="L217" s="296"/>
      <c r="M217" s="296"/>
      <c r="N217" s="296"/>
      <c r="O217" s="296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504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497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497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6" t="s">
        <v>518</v>
      </c>
      <c r="C240" s="316"/>
      <c r="D240" s="316"/>
      <c r="E240" s="316"/>
      <c r="J240" s="296" t="s">
        <v>70</v>
      </c>
      <c r="K240" s="296"/>
      <c r="L240" s="296"/>
      <c r="M240" s="296"/>
      <c r="N240" s="296"/>
      <c r="O240" s="296"/>
    </row>
    <row r="241" spans="2:21" ht="18" x14ac:dyDescent="0.25">
      <c r="B241" s="316"/>
      <c r="C241" s="316"/>
      <c r="D241" s="316"/>
      <c r="E241" s="316"/>
      <c r="J241" s="296" t="s">
        <v>520</v>
      </c>
      <c r="K241" s="296"/>
      <c r="L241" s="296"/>
      <c r="M241" s="13"/>
      <c r="N241" s="317" t="s">
        <v>75</v>
      </c>
      <c r="O241" s="310"/>
    </row>
    <row r="242" spans="2:21" x14ac:dyDescent="0.2">
      <c r="B242" s="316"/>
      <c r="C242" s="316"/>
      <c r="D242" s="316"/>
      <c r="E242" s="316"/>
      <c r="J242" s="296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96"/>
      <c r="L242" s="296"/>
      <c r="M242" s="296"/>
      <c r="N242" s="296"/>
      <c r="O242" s="296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519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496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16" t="s">
        <v>523</v>
      </c>
      <c r="C257" s="316"/>
      <c r="D257" s="316"/>
      <c r="E257" s="316"/>
      <c r="J257" s="296" t="s">
        <v>70</v>
      </c>
      <c r="K257" s="296"/>
      <c r="L257" s="296"/>
      <c r="M257" s="296"/>
      <c r="N257" s="296"/>
      <c r="O257" s="296"/>
    </row>
    <row r="258" spans="2:18" ht="18" x14ac:dyDescent="0.25">
      <c r="B258" s="316"/>
      <c r="C258" s="316"/>
      <c r="D258" s="316"/>
      <c r="E258" s="316"/>
      <c r="J258" s="296" t="s">
        <v>525</v>
      </c>
      <c r="K258" s="296"/>
      <c r="L258" s="296"/>
      <c r="M258" s="13"/>
      <c r="N258" s="317" t="s">
        <v>75</v>
      </c>
      <c r="O258" s="310"/>
    </row>
    <row r="259" spans="2:18" x14ac:dyDescent="0.2">
      <c r="B259" s="316"/>
      <c r="C259" s="316"/>
      <c r="D259" s="316"/>
      <c r="E259" s="316"/>
      <c r="J259" s="296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96"/>
      <c r="L259" s="296"/>
      <c r="M259" s="296"/>
      <c r="N259" s="296"/>
      <c r="O259" s="296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521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16" t="s">
        <v>522</v>
      </c>
      <c r="C273" s="316"/>
      <c r="D273" s="316"/>
      <c r="E273" s="316"/>
      <c r="J273" s="296" t="s">
        <v>70</v>
      </c>
      <c r="K273" s="296"/>
      <c r="L273" s="296"/>
      <c r="M273" s="296"/>
      <c r="N273" s="296"/>
      <c r="O273" s="296"/>
    </row>
    <row r="274" spans="2:15" ht="18" x14ac:dyDescent="0.25">
      <c r="B274" s="316"/>
      <c r="C274" s="316"/>
      <c r="D274" s="316"/>
      <c r="E274" s="316"/>
      <c r="J274" s="296" t="s">
        <v>74</v>
      </c>
      <c r="K274" s="296"/>
      <c r="L274" s="296"/>
      <c r="M274" s="13"/>
      <c r="N274" s="317" t="s">
        <v>75</v>
      </c>
      <c r="O274" s="310"/>
    </row>
    <row r="275" spans="2:15" x14ac:dyDescent="0.2">
      <c r="B275" s="316"/>
      <c r="C275" s="316"/>
      <c r="D275" s="316"/>
      <c r="E275" s="316"/>
      <c r="J275" s="296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96"/>
      <c r="L275" s="296"/>
      <c r="M275" s="296"/>
      <c r="N275" s="296"/>
      <c r="O275" s="296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524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611</v>
      </c>
      <c r="H285" s="3" t="s">
        <v>611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609</v>
      </c>
      <c r="C290" s="3">
        <f>C287/C288</f>
        <v>0.33567230039130802</v>
      </c>
    </row>
    <row r="291" spans="2:7" x14ac:dyDescent="0.2">
      <c r="B291" s="3" t="s">
        <v>610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abSelected="1" topLeftCell="D1" zoomScale="212" workbookViewId="0">
      <selection activeCell="Z13" sqref="Z13"/>
    </sheetView>
  </sheetViews>
  <sheetFormatPr baseColWidth="10" defaultRowHeight="15" x14ac:dyDescent="0.2"/>
  <sheetData>
    <row r="1" spans="2:22" x14ac:dyDescent="0.2">
      <c r="C1" s="3" t="s">
        <v>645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408" t="s">
        <v>635</v>
      </c>
      <c r="E3" s="3" t="s">
        <v>634</v>
      </c>
      <c r="F3" s="408" t="s">
        <v>629</v>
      </c>
      <c r="G3" s="408" t="s">
        <v>637</v>
      </c>
      <c r="H3" s="3" t="s">
        <v>638</v>
      </c>
      <c r="I3" s="408" t="s">
        <v>639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646</v>
      </c>
      <c r="V3" s="3" t="s">
        <v>647</v>
      </c>
    </row>
    <row r="4" spans="2:22" x14ac:dyDescent="0.2">
      <c r="B4" s="3"/>
      <c r="C4" s="171" t="s">
        <v>618</v>
      </c>
      <c r="D4" s="13" t="s">
        <v>636</v>
      </c>
      <c r="E4" s="13" t="s">
        <v>63</v>
      </c>
      <c r="F4" s="13" t="s">
        <v>347</v>
      </c>
      <c r="G4" s="13" t="s">
        <v>636</v>
      </c>
      <c r="H4" s="13" t="s">
        <v>99</v>
      </c>
      <c r="I4" s="13" t="s">
        <v>636</v>
      </c>
      <c r="J4" s="404" t="s">
        <v>347</v>
      </c>
      <c r="K4" s="404" t="s">
        <v>58</v>
      </c>
      <c r="L4" s="3"/>
      <c r="M4" s="3"/>
      <c r="N4" s="3"/>
      <c r="O4" s="3"/>
      <c r="P4" s="3"/>
      <c r="Q4" s="3"/>
      <c r="T4" s="171" t="s">
        <v>618</v>
      </c>
      <c r="U4" s="13" t="s">
        <v>58</v>
      </c>
      <c r="V4" s="13" t="s">
        <v>58</v>
      </c>
    </row>
    <row r="5" spans="2:22" ht="15" customHeight="1" x14ac:dyDescent="0.2">
      <c r="B5" s="409" t="s">
        <v>612</v>
      </c>
      <c r="C5" s="3" t="s">
        <v>617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617</v>
      </c>
      <c r="U5" s="3">
        <f>K5</f>
        <v>-9.8484726160779719</v>
      </c>
      <c r="V5">
        <f>K15</f>
        <v>880.83108552905367</v>
      </c>
    </row>
    <row r="6" spans="2:22" ht="18" x14ac:dyDescent="0.25">
      <c r="B6" s="409"/>
      <c r="C6" s="3"/>
      <c r="D6" s="405" t="s">
        <v>54</v>
      </c>
      <c r="E6" s="406" t="s">
        <v>622</v>
      </c>
      <c r="F6" s="406" t="s">
        <v>623</v>
      </c>
      <c r="G6" s="406" t="s">
        <v>624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620</v>
      </c>
      <c r="U6" s="3">
        <f>H8</f>
        <v>831.8</v>
      </c>
      <c r="V6" s="3">
        <f>H18</f>
        <v>831.8</v>
      </c>
    </row>
    <row r="7" spans="2:22" ht="16" x14ac:dyDescent="0.2">
      <c r="B7" s="409"/>
      <c r="C7" s="3"/>
      <c r="D7" s="13" t="s">
        <v>58</v>
      </c>
      <c r="E7" s="19" t="s">
        <v>61</v>
      </c>
      <c r="F7" s="19" t="s">
        <v>61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619</v>
      </c>
      <c r="U7" s="3">
        <f>Q11</f>
        <v>-293.51452993154504</v>
      </c>
      <c r="V7">
        <f>P21</f>
        <v>-2118.3349766265301</v>
      </c>
    </row>
    <row r="8" spans="2:22" x14ac:dyDescent="0.2">
      <c r="B8" s="409"/>
      <c r="C8" s="3" t="s">
        <v>620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409"/>
      <c r="C9" s="3"/>
      <c r="D9" s="403" t="s">
        <v>40</v>
      </c>
      <c r="E9" s="405" t="s">
        <v>614</v>
      </c>
      <c r="F9" s="405" t="s">
        <v>615</v>
      </c>
      <c r="G9" s="408" t="s">
        <v>626</v>
      </c>
      <c r="H9" s="408" t="s">
        <v>627</v>
      </c>
      <c r="I9" s="403" t="s">
        <v>628</v>
      </c>
      <c r="J9" s="408" t="s">
        <v>629</v>
      </c>
      <c r="K9" s="407" t="s">
        <v>630</v>
      </c>
      <c r="L9" s="407" t="s">
        <v>102</v>
      </c>
      <c r="M9" s="407" t="s">
        <v>631</v>
      </c>
      <c r="N9" s="407" t="s">
        <v>632</v>
      </c>
      <c r="O9" s="405" t="s">
        <v>54</v>
      </c>
      <c r="P9" s="407" t="s">
        <v>633</v>
      </c>
      <c r="Q9" s="407" t="s">
        <v>34</v>
      </c>
    </row>
    <row r="10" spans="2:22" x14ac:dyDescent="0.2">
      <c r="B10" s="409"/>
      <c r="C10" s="3"/>
      <c r="D10" s="404" t="s">
        <v>625</v>
      </c>
      <c r="E10" s="13" t="s">
        <v>241</v>
      </c>
      <c r="F10" s="13" t="s">
        <v>241</v>
      </c>
      <c r="G10" s="13" t="s">
        <v>508</v>
      </c>
      <c r="H10" s="13" t="s">
        <v>508</v>
      </c>
      <c r="I10" s="13" t="s">
        <v>241</v>
      </c>
      <c r="J10" s="13" t="s">
        <v>508</v>
      </c>
      <c r="K10" s="13" t="s">
        <v>510</v>
      </c>
      <c r="L10" s="13" t="s">
        <v>510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</row>
    <row r="11" spans="2:22" x14ac:dyDescent="0.2">
      <c r="B11" s="409"/>
      <c r="C11" s="3" t="s">
        <v>619</v>
      </c>
      <c r="D11" s="405">
        <f>(12.011*4)/1.008</f>
        <v>47.662698412698411</v>
      </c>
      <c r="E11" s="405">
        <f>((MW_C*D11)/MW_CH4)/D11</f>
        <v>0.74868663496804777</v>
      </c>
      <c r="F11" s="405">
        <f>1-E11</f>
        <v>0.25131336503195223</v>
      </c>
      <c r="G11" s="405">
        <v>94052</v>
      </c>
      <c r="H11" s="405">
        <v>28898</v>
      </c>
      <c r="I11" s="405">
        <f>E11</f>
        <v>0.74868663496804777</v>
      </c>
      <c r="J11" s="405">
        <f>((E11*G11)+(F11*H11))/I11</f>
        <v>103752.25813670803</v>
      </c>
      <c r="K11" s="405">
        <f>Constants!K5*((2.928*LN(Constants!L5))+(0.002569*Constants!L5)+((0.000007844)*((Constants!L5^2)/2))+((-0.00000000491)*((Constants!L5^3)/3))+((0.000000000000204)*((Constants!L5^4)/4))+4.634)</f>
        <v>0.18308605958078478</v>
      </c>
      <c r="L11" s="405">
        <f>((E11*('Fuel Exergy'!K11-(Constants!K5*LN(1))))+(F11*('Fuel Exergy'!K11-(Constants!K5*LN(1)))))/I11</f>
        <v>0.24454297836984693</v>
      </c>
      <c r="M11" s="405">
        <f>(4*F11)/E11</f>
        <v>1.3426892015652327</v>
      </c>
      <c r="N11" s="405">
        <f>(1*E11)/E11</f>
        <v>1</v>
      </c>
      <c r="O11" s="405">
        <f>(J11-(C2*'Fuel Exergy'!L11))*cal_to_kJ</f>
        <v>433.79439055800634</v>
      </c>
      <c r="P11" s="405">
        <f>(M11*E8)+(F8*N11)</f>
        <v>727.30892048955138</v>
      </c>
      <c r="Q11" s="405">
        <f>O11-P11</f>
        <v>-293.51452993154504</v>
      </c>
    </row>
    <row r="13" spans="2:22" x14ac:dyDescent="0.2">
      <c r="D13" s="3" t="s">
        <v>616</v>
      </c>
      <c r="E13" s="3" t="s">
        <v>614</v>
      </c>
      <c r="F13" s="3" t="s">
        <v>615</v>
      </c>
      <c r="G13" s="3" t="s">
        <v>33</v>
      </c>
      <c r="H13" s="3" t="s">
        <v>34</v>
      </c>
      <c r="I13" s="132" t="s">
        <v>323</v>
      </c>
      <c r="J13" s="132" t="s">
        <v>346</v>
      </c>
      <c r="K13" s="132" t="s">
        <v>34</v>
      </c>
    </row>
    <row r="14" spans="2:22" x14ac:dyDescent="0.2">
      <c r="D14" s="13" t="s">
        <v>11</v>
      </c>
      <c r="E14" s="13" t="s">
        <v>241</v>
      </c>
      <c r="F14" s="13" t="s">
        <v>241</v>
      </c>
      <c r="G14" s="13" t="s">
        <v>621</v>
      </c>
      <c r="H14" s="13" t="s">
        <v>621</v>
      </c>
      <c r="I14" s="13" t="s">
        <v>99</v>
      </c>
      <c r="J14" s="404" t="s">
        <v>347</v>
      </c>
      <c r="K14" s="404" t="s">
        <v>58</v>
      </c>
    </row>
    <row r="15" spans="2:22" x14ac:dyDescent="0.2">
      <c r="B15" s="409" t="s">
        <v>613</v>
      </c>
      <c r="C15" s="3" t="s">
        <v>617</v>
      </c>
      <c r="D15" s="3">
        <f>'Ore-&gt;PI'!BO156</f>
        <v>20798.316475388398</v>
      </c>
      <c r="E15" s="3">
        <f>((MW_C*D15)/MW_CH4)/D15</f>
        <v>0.74868663496804777</v>
      </c>
      <c r="F15" s="3">
        <f>1-E15</f>
        <v>0.25131336503195223</v>
      </c>
      <c r="G15" s="3">
        <v>1.0401</v>
      </c>
      <c r="H15" s="3">
        <v>0.17280000000000001</v>
      </c>
      <c r="I15" s="3">
        <f>G15+(H15*(F15/E15))</f>
        <v>1.098104173507618</v>
      </c>
      <c r="J15" s="3">
        <f>LHV_CH4</f>
        <v>50000</v>
      </c>
      <c r="K15" s="3">
        <f>I15*J15*MW_CH4</f>
        <v>880.83108552905367</v>
      </c>
    </row>
    <row r="16" spans="2:22" ht="18" x14ac:dyDescent="0.25">
      <c r="B16" s="409"/>
      <c r="D16" s="405" t="s">
        <v>54</v>
      </c>
      <c r="E16" s="406" t="s">
        <v>622</v>
      </c>
      <c r="F16" s="406" t="s">
        <v>623</v>
      </c>
      <c r="G16" s="406" t="s">
        <v>624</v>
      </c>
      <c r="H16" s="3" t="s">
        <v>34</v>
      </c>
    </row>
    <row r="17" spans="2:16" ht="16" x14ac:dyDescent="0.2">
      <c r="B17" s="409"/>
      <c r="D17" s="13" t="s">
        <v>58</v>
      </c>
      <c r="E17" s="19" t="s">
        <v>61</v>
      </c>
      <c r="F17" s="19" t="s">
        <v>61</v>
      </c>
      <c r="G17" s="19" t="s">
        <v>58</v>
      </c>
      <c r="H17" s="19" t="s">
        <v>58</v>
      </c>
    </row>
    <row r="18" spans="2:16" x14ac:dyDescent="0.2">
      <c r="B18" s="409"/>
      <c r="C18" s="3" t="s">
        <v>620</v>
      </c>
      <c r="D18" s="3">
        <f>D8</f>
        <v>-50.7</v>
      </c>
      <c r="E18" s="3">
        <f>b_ch_H2</f>
        <v>236.1</v>
      </c>
      <c r="F18" s="3">
        <f>F8</f>
        <v>410.3</v>
      </c>
      <c r="G18" s="3">
        <f>D18+(2*E18)+F18</f>
        <v>831.8</v>
      </c>
      <c r="H18" s="3">
        <f>G18</f>
        <v>831.8</v>
      </c>
    </row>
    <row r="19" spans="2:16" ht="19" x14ac:dyDescent="0.25">
      <c r="B19" s="409"/>
      <c r="D19" s="403" t="s">
        <v>507</v>
      </c>
      <c r="E19" s="403" t="s">
        <v>507</v>
      </c>
      <c r="F19" s="408" t="s">
        <v>641</v>
      </c>
      <c r="G19" s="408" t="s">
        <v>642</v>
      </c>
      <c r="H19" s="408" t="s">
        <v>629</v>
      </c>
      <c r="I19" s="408" t="s">
        <v>639</v>
      </c>
      <c r="J19" s="408" t="s">
        <v>639</v>
      </c>
      <c r="K19" s="403" t="s">
        <v>40</v>
      </c>
      <c r="L19" s="407" t="s">
        <v>631</v>
      </c>
      <c r="M19" s="407" t="s">
        <v>632</v>
      </c>
      <c r="N19" s="407" t="s">
        <v>643</v>
      </c>
      <c r="O19" s="407" t="s">
        <v>644</v>
      </c>
      <c r="P19" s="407" t="s">
        <v>34</v>
      </c>
    </row>
    <row r="20" spans="2:16" x14ac:dyDescent="0.2">
      <c r="B20" s="409"/>
      <c r="D20" s="403" t="s">
        <v>508</v>
      </c>
      <c r="E20" s="404" t="s">
        <v>58</v>
      </c>
      <c r="F20" t="s">
        <v>58</v>
      </c>
      <c r="G20" t="s">
        <v>58</v>
      </c>
      <c r="H20" t="s">
        <v>58</v>
      </c>
      <c r="I20" t="s">
        <v>510</v>
      </c>
      <c r="J20" s="13" t="s">
        <v>640</v>
      </c>
      <c r="K20" s="404" t="s">
        <v>625</v>
      </c>
      <c r="L20" s="13" t="s">
        <v>99</v>
      </c>
      <c r="M20" s="13" t="s">
        <v>99</v>
      </c>
      <c r="N20" s="411" t="s">
        <v>58</v>
      </c>
      <c r="O20" s="410" t="s">
        <v>58</v>
      </c>
      <c r="P20" s="410" t="s">
        <v>58</v>
      </c>
    </row>
    <row r="21" spans="2:16" x14ac:dyDescent="0.2">
      <c r="B21" s="409"/>
      <c r="C21" s="3" t="s">
        <v>619</v>
      </c>
      <c r="D21">
        <f>102720+(27360*D11)</f>
        <v>1406771.4285714286</v>
      </c>
      <c r="E21">
        <f>D21*cal_to_kJ</f>
        <v>5885.9316571428581</v>
      </c>
      <c r="F21">
        <f>-393.52</f>
        <v>-393.52</v>
      </c>
      <c r="G21">
        <f>-285830/1000</f>
        <v>-285.83</v>
      </c>
      <c r="H21">
        <f>E21+F21+((D11/2)*G21)</f>
        <v>-1319.3028865079341</v>
      </c>
      <c r="I21">
        <f>1.12+(4.4*D11)</f>
        <v>210.83587301587303</v>
      </c>
      <c r="J21">
        <f>I21*cal_to_kJ</f>
        <v>0.88213729269841279</v>
      </c>
      <c r="K21" s="405">
        <f>(12.011*4)/1.008</f>
        <v>47.662698412698411</v>
      </c>
      <c r="L21" s="405">
        <f>(4*F11)/E11</f>
        <v>1.3426892015652327</v>
      </c>
      <c r="M21" s="405">
        <f>(1*D21)/D21</f>
        <v>1</v>
      </c>
      <c r="N21">
        <f>(28898-(C2*10.3))*cal_to_kJ</f>
        <v>108.06039812</v>
      </c>
      <c r="O21">
        <f>(94052-(C2*2.07))*cal_to_kJ</f>
        <v>390.93132662800002</v>
      </c>
      <c r="P21">
        <f>H21-(J21*C2)-((L21*N21)+(M21*O21))</f>
        <v>-2118.3349766265301</v>
      </c>
    </row>
    <row r="31" spans="2:16" x14ac:dyDescent="0.2">
      <c r="C31" s="3" t="s">
        <v>613</v>
      </c>
    </row>
    <row r="32" spans="2:16" x14ac:dyDescent="0.2">
      <c r="C32" s="3" t="s">
        <v>586</v>
      </c>
    </row>
    <row r="33" spans="3:3" x14ac:dyDescent="0.2">
      <c r="C33" s="3" t="s">
        <v>587</v>
      </c>
    </row>
    <row r="34" spans="3:3" x14ac:dyDescent="0.2">
      <c r="C34" s="3" t="s">
        <v>571</v>
      </c>
    </row>
  </sheetData>
  <mergeCells count="2">
    <mergeCell ref="B5:B11"/>
    <mergeCell ref="B15:B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BL122" zoomScale="120" zoomScaleNormal="120" workbookViewId="0">
      <selection activeCell="CA128" sqref="CA128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9" t="s">
        <v>365</v>
      </c>
      <c r="O23" s="339"/>
      <c r="P23" s="339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0"/>
      <c r="O24" s="340"/>
      <c r="P24" s="340"/>
    </row>
    <row r="25" spans="14:63" ht="18" x14ac:dyDescent="0.25">
      <c r="N25" s="100" t="s">
        <v>82</v>
      </c>
      <c r="O25" s="330" t="s">
        <v>345</v>
      </c>
      <c r="P25" s="138" t="s">
        <v>318</v>
      </c>
      <c r="AM25" s="332" t="s">
        <v>441</v>
      </c>
      <c r="AN25" s="332"/>
      <c r="AO25" s="332"/>
      <c r="AP25" s="332"/>
      <c r="AQ25" s="332"/>
      <c r="AR25" s="332"/>
      <c r="AS25" s="332"/>
      <c r="BE25" s="332" t="s">
        <v>445</v>
      </c>
      <c r="BF25" s="332"/>
      <c r="BG25" s="332"/>
      <c r="BH25" s="332"/>
      <c r="BI25" s="332"/>
      <c r="BJ25" s="332"/>
      <c r="BK25" s="332"/>
    </row>
    <row r="26" spans="14:63" ht="16" x14ac:dyDescent="0.2">
      <c r="N26" s="75" t="s">
        <v>48</v>
      </c>
      <c r="O26" s="331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8" t="s">
        <v>425</v>
      </c>
      <c r="F42" s="348"/>
      <c r="G42" s="348"/>
      <c r="H42" s="348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33" t="s">
        <v>418</v>
      </c>
      <c r="W42" s="333"/>
      <c r="X42" s="333"/>
      <c r="Y42" s="333"/>
      <c r="Z42" s="333"/>
      <c r="AA42" s="4"/>
      <c r="AB42" s="4"/>
      <c r="AC42" s="4"/>
      <c r="AD42" s="4"/>
      <c r="AE42" s="4"/>
      <c r="AF42" s="4"/>
      <c r="AG42" s="97"/>
      <c r="AH42" s="4" t="s">
        <v>565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33" t="s">
        <v>579</v>
      </c>
      <c r="AO42" s="333"/>
      <c r="AP42" s="333"/>
      <c r="AQ42" s="333"/>
      <c r="AR42" s="333"/>
      <c r="AT42" s="4"/>
      <c r="AU42" s="4"/>
      <c r="AV42" s="4"/>
      <c r="AW42" s="4"/>
      <c r="AX42" s="4"/>
      <c r="AY42" s="4"/>
      <c r="AZ42" s="4" t="s">
        <v>564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33" t="s">
        <v>446</v>
      </c>
      <c r="BG42" s="333"/>
      <c r="BH42" s="333"/>
      <c r="BI42" s="333"/>
      <c r="BJ42" s="333"/>
      <c r="BR42" s="3" t="s">
        <v>562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8"/>
      <c r="F43" s="348"/>
      <c r="G43" s="348"/>
      <c r="H43" s="348"/>
      <c r="J43" s="4"/>
      <c r="K43" s="4"/>
      <c r="L43" s="4"/>
      <c r="M43" s="4"/>
      <c r="N43" s="4"/>
      <c r="O43" s="4"/>
      <c r="P43" s="4"/>
      <c r="Q43" s="4"/>
      <c r="R43" s="4"/>
      <c r="V43" s="341"/>
      <c r="W43" s="341"/>
      <c r="X43" s="341"/>
      <c r="Y43" s="341"/>
      <c r="Z43" s="341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33"/>
      <c r="AO43" s="333"/>
      <c r="AP43" s="333"/>
      <c r="AQ43" s="333"/>
      <c r="AR43" s="333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33"/>
      <c r="BG43" s="333"/>
      <c r="BH43" s="333"/>
      <c r="BI43" s="333"/>
      <c r="BJ43" s="333"/>
    </row>
    <row r="44" spans="5:76" ht="19.25" customHeight="1" x14ac:dyDescent="0.25">
      <c r="J44" s="4"/>
      <c r="K44" s="1" t="s">
        <v>572</v>
      </c>
      <c r="L44" s="1" t="s">
        <v>573</v>
      </c>
      <c r="M44" s="1" t="s">
        <v>575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574</v>
      </c>
      <c r="U44" s="1" t="s">
        <v>50</v>
      </c>
      <c r="V44" s="22" t="s">
        <v>434</v>
      </c>
      <c r="W44" s="100" t="s">
        <v>484</v>
      </c>
      <c r="X44" s="192" t="s">
        <v>338</v>
      </c>
      <c r="Y44" s="337" t="s">
        <v>345</v>
      </c>
      <c r="Z44" s="138" t="s">
        <v>318</v>
      </c>
      <c r="AA44" s="4"/>
      <c r="AB44" s="4"/>
      <c r="AC44" s="1" t="s">
        <v>572</v>
      </c>
      <c r="AD44" s="1" t="s">
        <v>573</v>
      </c>
      <c r="AE44" s="1" t="s">
        <v>575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574</v>
      </c>
      <c r="AM44" s="1" t="s">
        <v>50</v>
      </c>
      <c r="AN44" s="22" t="s">
        <v>434</v>
      </c>
      <c r="AO44" s="22" t="s">
        <v>484</v>
      </c>
      <c r="AP44" s="161" t="s">
        <v>338</v>
      </c>
      <c r="AQ44" s="330" t="s">
        <v>345</v>
      </c>
      <c r="AR44" s="138" t="s">
        <v>318</v>
      </c>
      <c r="AS44" s="4"/>
      <c r="AT44" s="4"/>
      <c r="AU44" s="1" t="s">
        <v>572</v>
      </c>
      <c r="AV44" s="1" t="s">
        <v>573</v>
      </c>
      <c r="AW44" s="1" t="s">
        <v>575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574</v>
      </c>
      <c r="BE44" s="1" t="s">
        <v>50</v>
      </c>
      <c r="BF44" s="22" t="s">
        <v>434</v>
      </c>
      <c r="BG44" s="22" t="s">
        <v>484</v>
      </c>
      <c r="BH44" s="192" t="s">
        <v>338</v>
      </c>
      <c r="BI44" s="330" t="s">
        <v>345</v>
      </c>
      <c r="BJ44" s="138" t="s">
        <v>318</v>
      </c>
      <c r="BK44" s="1"/>
      <c r="BL44" s="4"/>
      <c r="BM44" s="1" t="s">
        <v>572</v>
      </c>
      <c r="BN44" s="1" t="s">
        <v>573</v>
      </c>
      <c r="BO44" s="1" t="s">
        <v>575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574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38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31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31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26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26" t="s">
        <v>565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26" t="s">
        <v>564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26" t="s">
        <v>562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26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26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26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26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26" t="s">
        <v>567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26" t="s">
        <v>566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26" t="s">
        <v>563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26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26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26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26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26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26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26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26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26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602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602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602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605</v>
      </c>
      <c r="Y53" s="1" t="s">
        <v>605</v>
      </c>
      <c r="Z53" s="1" t="s">
        <v>605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605</v>
      </c>
      <c r="AQ53" s="1" t="s">
        <v>605</v>
      </c>
      <c r="AR53" s="1" t="s">
        <v>605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605</v>
      </c>
      <c r="BH53" s="1" t="s">
        <v>605</v>
      </c>
      <c r="BI53" s="1" t="s">
        <v>605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604</v>
      </c>
      <c r="Y54" s="3" t="s">
        <v>604</v>
      </c>
      <c r="Z54" s="3" t="s">
        <v>604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604</v>
      </c>
      <c r="AQ54" s="3" t="s">
        <v>604</v>
      </c>
      <c r="AR54" s="3" t="s">
        <v>604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604</v>
      </c>
      <c r="BH54" s="3" t="s">
        <v>604</v>
      </c>
      <c r="BI54" s="3" t="s">
        <v>604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561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572</v>
      </c>
      <c r="BN57" s="1" t="s">
        <v>573</v>
      </c>
      <c r="BO57" s="1" t="s">
        <v>575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574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593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26" t="s">
        <v>561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26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0" t="s">
        <v>494</v>
      </c>
      <c r="C61" s="320"/>
      <c r="D61" s="320"/>
      <c r="E61" s="320"/>
      <c r="F61" s="320"/>
      <c r="G61" s="320"/>
      <c r="H61" s="320"/>
      <c r="J61" s="4"/>
      <c r="K61" s="3" t="s">
        <v>578</v>
      </c>
      <c r="L61" s="1" t="s">
        <v>572</v>
      </c>
      <c r="M61" s="1" t="s">
        <v>575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574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26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21"/>
      <c r="C62" s="321"/>
      <c r="D62" s="321"/>
      <c r="E62" s="321"/>
      <c r="F62" s="321"/>
      <c r="G62" s="321"/>
      <c r="H62" s="321"/>
      <c r="J62" s="4" t="s">
        <v>41</v>
      </c>
      <c r="K62" s="3" t="s">
        <v>577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26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593</v>
      </c>
      <c r="J63" s="62" t="s">
        <v>497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528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572</v>
      </c>
      <c r="AD65" s="1" t="s">
        <v>573</v>
      </c>
      <c r="AE65" s="1" t="s">
        <v>575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574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26" t="s">
        <v>528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26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26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26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539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0" t="s">
        <v>533</v>
      </c>
      <c r="F74" s="320"/>
      <c r="G74" s="320"/>
      <c r="H74" s="320"/>
      <c r="K74" s="1" t="s">
        <v>572</v>
      </c>
      <c r="L74" s="1" t="s">
        <v>573</v>
      </c>
      <c r="M74" s="1" t="s">
        <v>575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574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0"/>
      <c r="F75" s="320"/>
      <c r="G75" s="320"/>
      <c r="H75" s="320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26" t="s">
        <v>539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26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530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0" t="s">
        <v>529</v>
      </c>
      <c r="DP103" s="320"/>
      <c r="DQ103" s="320"/>
      <c r="DR103" s="320"/>
      <c r="DS103" s="320"/>
      <c r="DT103" s="320"/>
      <c r="DV103" s="4"/>
      <c r="DW103" s="3" t="s">
        <v>578</v>
      </c>
      <c r="DX103" s="1" t="s">
        <v>572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574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1"/>
      <c r="DP104" s="321"/>
      <c r="DQ104" s="321"/>
      <c r="DR104" s="321"/>
      <c r="DS104" s="321"/>
      <c r="DT104" s="321"/>
      <c r="DV104" s="4" t="s">
        <v>41</v>
      </c>
      <c r="DW104" s="3" t="s">
        <v>577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581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530</v>
      </c>
      <c r="DV105" s="96" t="s">
        <v>521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573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574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571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576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581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34" t="s">
        <v>441</v>
      </c>
      <c r="AN110" s="319"/>
      <c r="AO110" s="319"/>
      <c r="AP110" s="319"/>
      <c r="AQ110" s="319"/>
      <c r="AR110" s="319"/>
      <c r="AS110" s="319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19" t="s">
        <v>445</v>
      </c>
      <c r="BE110" s="319"/>
      <c r="BF110" s="319"/>
      <c r="BG110" s="319"/>
      <c r="BH110" s="319"/>
      <c r="BI110" s="319"/>
      <c r="BJ110" s="319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35" t="s">
        <v>365</v>
      </c>
      <c r="O111" s="335"/>
      <c r="P111" s="335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36"/>
      <c r="O112" s="336"/>
      <c r="P112" s="336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484</v>
      </c>
      <c r="O113" s="330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31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547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482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19" t="s">
        <v>447</v>
      </c>
      <c r="EK114" s="319"/>
      <c r="EL114" s="319"/>
      <c r="EM114" s="319"/>
      <c r="EN114" s="319"/>
      <c r="EO114" s="319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572</v>
      </c>
      <c r="CI116" s="1" t="s">
        <v>573</v>
      </c>
      <c r="CJ116" s="1" t="s">
        <v>575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574</v>
      </c>
      <c r="CR116" s="1" t="s">
        <v>50</v>
      </c>
      <c r="CS116" s="6"/>
      <c r="CT116" s="4"/>
      <c r="CW116" s="4"/>
      <c r="CX116" s="4"/>
      <c r="DO116" s="320" t="s">
        <v>481</v>
      </c>
      <c r="DP116" s="320"/>
      <c r="DQ116" s="320"/>
      <c r="DR116" s="320"/>
      <c r="DS116" s="320"/>
      <c r="DT116" s="320"/>
      <c r="DV116" s="4"/>
      <c r="DW116" s="3" t="s">
        <v>578</v>
      </c>
      <c r="DX116" s="1" t="s">
        <v>572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574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1"/>
      <c r="DP117" s="321"/>
      <c r="DQ117" s="321"/>
      <c r="DR117" s="321"/>
      <c r="DS117" s="321"/>
      <c r="DT117" s="321"/>
      <c r="DV117" s="4" t="s">
        <v>41</v>
      </c>
      <c r="DW117" s="3" t="s">
        <v>577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547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482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545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8" t="s">
        <v>532</v>
      </c>
      <c r="F126" s="348"/>
      <c r="G126" s="348"/>
      <c r="H126" s="348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27" t="s">
        <v>419</v>
      </c>
      <c r="W126" s="327"/>
      <c r="X126" s="327"/>
      <c r="Y126" s="327"/>
      <c r="Z126" s="327"/>
      <c r="AA126" s="6"/>
      <c r="AB126" s="6"/>
      <c r="AC126" s="6"/>
      <c r="AD126" s="121"/>
      <c r="AE126" s="6"/>
      <c r="AF126" s="6"/>
      <c r="AG126" s="6"/>
      <c r="AH126" s="6"/>
      <c r="AI126" s="6" t="s">
        <v>531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27" t="s">
        <v>558</v>
      </c>
      <c r="AP126" s="327"/>
      <c r="AQ126" s="327"/>
      <c r="AR126" s="327"/>
      <c r="AS126" s="327"/>
      <c r="AT126" s="6"/>
      <c r="AU126" s="6"/>
      <c r="AV126" s="121"/>
      <c r="AW126" s="6"/>
      <c r="AX126" s="6"/>
      <c r="AY126" s="6"/>
      <c r="AZ126" s="6"/>
      <c r="BA126" s="6" t="s">
        <v>559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27" t="s">
        <v>443</v>
      </c>
      <c r="BH126" s="327"/>
      <c r="BI126" s="327"/>
      <c r="BJ126" s="327"/>
      <c r="BK126" s="327"/>
      <c r="BL126" s="6"/>
      <c r="BM126" s="6"/>
      <c r="BN126" s="121"/>
      <c r="BO126" s="6"/>
      <c r="BP126" s="6"/>
      <c r="BQ126" s="6"/>
      <c r="BR126" s="6"/>
      <c r="BS126" s="6" t="s">
        <v>490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27" t="s">
        <v>444</v>
      </c>
      <c r="BZ126" s="327"/>
      <c r="CA126" s="327"/>
      <c r="CB126" s="327"/>
      <c r="CC126" s="327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29" t="s">
        <v>81</v>
      </c>
      <c r="DO126" s="329"/>
      <c r="DP126" s="329"/>
      <c r="DQ126" s="329"/>
      <c r="DR126" s="329"/>
      <c r="DS126" s="329"/>
      <c r="DT126" s="329"/>
      <c r="EA126" s="3" t="s">
        <v>568</v>
      </c>
      <c r="EF126" s="173">
        <f>DW134</f>
        <v>1309.8157778632656</v>
      </c>
      <c r="EG126" s="174">
        <f>EG134</f>
        <v>7072531.8830895294</v>
      </c>
      <c r="EH126" s="325" t="s">
        <v>430</v>
      </c>
      <c r="EI126" s="325"/>
      <c r="EJ126" s="325"/>
      <c r="EK126" s="325"/>
      <c r="EL126" s="325"/>
      <c r="EM126" s="325"/>
      <c r="EN126" s="325"/>
      <c r="ES126" s="1"/>
      <c r="ET126" s="1"/>
      <c r="EU126" s="1"/>
      <c r="EV126" s="1"/>
      <c r="EW126" s="1"/>
      <c r="EX126" s="1"/>
      <c r="EY126" s="3" t="s">
        <v>569</v>
      </c>
      <c r="FE126" s="50">
        <f>EV131</f>
        <v>616.23583583508366</v>
      </c>
      <c r="FF126" s="48">
        <f>FF131</f>
        <v>4157895.2984628798</v>
      </c>
      <c r="FG126" s="325" t="s">
        <v>424</v>
      </c>
      <c r="FH126" s="325"/>
      <c r="FI126" s="325"/>
      <c r="FJ126" s="325"/>
      <c r="FK126" s="325"/>
      <c r="FL126" s="325"/>
      <c r="FM126" s="325"/>
    </row>
    <row r="127" spans="5:169" ht="16.25" customHeight="1" thickBot="1" x14ac:dyDescent="0.25">
      <c r="E127" s="348"/>
      <c r="F127" s="348"/>
      <c r="G127" s="348"/>
      <c r="H127" s="34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43"/>
      <c r="W127" s="343"/>
      <c r="X127" s="343"/>
      <c r="Y127" s="343"/>
      <c r="Z127" s="34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27"/>
      <c r="AP127" s="327"/>
      <c r="AQ127" s="327"/>
      <c r="AR127" s="327"/>
      <c r="AS127" s="327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27"/>
      <c r="BH127" s="327"/>
      <c r="BI127" s="327"/>
      <c r="BJ127" s="327"/>
      <c r="BK127" s="327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27"/>
      <c r="BZ127" s="327"/>
      <c r="CA127" s="327"/>
      <c r="CB127" s="327"/>
      <c r="CC127" s="327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29"/>
      <c r="DO127" s="329"/>
      <c r="DP127" s="329"/>
      <c r="DQ127" s="329"/>
      <c r="DR127" s="329"/>
      <c r="DS127" s="329"/>
      <c r="DT127" s="329"/>
      <c r="EH127" s="325"/>
      <c r="EI127" s="325"/>
      <c r="EJ127" s="325"/>
      <c r="EK127" s="325"/>
      <c r="EL127" s="325"/>
      <c r="EM127" s="325"/>
      <c r="EN127" s="325"/>
      <c r="ES127" s="1"/>
      <c r="ET127" s="1"/>
      <c r="EU127" s="1"/>
      <c r="EV127" s="1"/>
      <c r="EW127" s="1"/>
      <c r="EX127" s="1"/>
      <c r="EY127" s="1"/>
      <c r="EZ127" s="1"/>
      <c r="FG127" s="325"/>
      <c r="FH127" s="325"/>
      <c r="FI127" s="325"/>
      <c r="FJ127" s="325"/>
      <c r="FK127" s="325"/>
      <c r="FL127" s="325"/>
      <c r="FM127" s="325"/>
    </row>
    <row r="128" spans="5:169" ht="19.75" customHeight="1" thickBot="1" x14ac:dyDescent="0.3">
      <c r="J128" s="4"/>
      <c r="K128" s="1" t="s">
        <v>572</v>
      </c>
      <c r="L128" s="1" t="s">
        <v>573</v>
      </c>
      <c r="M128" s="1" t="s">
        <v>575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574</v>
      </c>
      <c r="U128" s="1" t="s">
        <v>50</v>
      </c>
      <c r="V128" s="22" t="s">
        <v>434</v>
      </c>
      <c r="W128" s="100" t="s">
        <v>484</v>
      </c>
      <c r="X128" s="135" t="s">
        <v>349</v>
      </c>
      <c r="Y128" s="330" t="s">
        <v>345</v>
      </c>
      <c r="Z128" s="138" t="s">
        <v>318</v>
      </c>
      <c r="AA128" s="1"/>
      <c r="AB128" s="6"/>
      <c r="AC128" s="4"/>
      <c r="AD128" s="1" t="s">
        <v>572</v>
      </c>
      <c r="AE128" s="1" t="s">
        <v>573</v>
      </c>
      <c r="AF128" s="1" t="s">
        <v>575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574</v>
      </c>
      <c r="AN128" s="1" t="s">
        <v>50</v>
      </c>
      <c r="AO128" s="22" t="s">
        <v>434</v>
      </c>
      <c r="AP128" s="100" t="s">
        <v>484</v>
      </c>
      <c r="AQ128" s="135" t="s">
        <v>349</v>
      </c>
      <c r="AR128" s="330" t="s">
        <v>345</v>
      </c>
      <c r="AS128" s="138" t="s">
        <v>318</v>
      </c>
      <c r="AT128" s="1"/>
      <c r="AU128" s="4"/>
      <c r="AV128" s="1" t="s">
        <v>572</v>
      </c>
      <c r="AW128" s="1" t="s">
        <v>573</v>
      </c>
      <c r="AX128" s="1" t="s">
        <v>575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574</v>
      </c>
      <c r="BF128" s="1" t="s">
        <v>50</v>
      </c>
      <c r="BG128" s="22" t="s">
        <v>434</v>
      </c>
      <c r="BH128" s="100" t="s">
        <v>484</v>
      </c>
      <c r="BI128" s="135" t="s">
        <v>349</v>
      </c>
      <c r="BJ128" s="330" t="s">
        <v>345</v>
      </c>
      <c r="BK128" s="138" t="s">
        <v>318</v>
      </c>
      <c r="BL128" s="1"/>
      <c r="BM128" s="4"/>
      <c r="BN128" s="1" t="s">
        <v>572</v>
      </c>
      <c r="BO128" s="1" t="s">
        <v>573</v>
      </c>
      <c r="BP128" s="1" t="s">
        <v>575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574</v>
      </c>
      <c r="BX128" s="1" t="s">
        <v>50</v>
      </c>
      <c r="BY128" s="22" t="s">
        <v>434</v>
      </c>
      <c r="BZ128" s="100" t="s">
        <v>484</v>
      </c>
      <c r="CA128" s="135" t="s">
        <v>349</v>
      </c>
      <c r="CB128" s="330" t="s">
        <v>345</v>
      </c>
      <c r="CC128" s="138" t="s">
        <v>318</v>
      </c>
      <c r="CD128" s="113"/>
      <c r="CE128" s="113"/>
      <c r="CF128" s="113"/>
      <c r="CG128" s="4"/>
      <c r="CH128" s="1" t="s">
        <v>572</v>
      </c>
      <c r="CI128" s="1" t="s">
        <v>573</v>
      </c>
      <c r="CJ128" s="1" t="s">
        <v>575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574</v>
      </c>
      <c r="CR128" s="1" t="s">
        <v>50</v>
      </c>
      <c r="DN128" s="329"/>
      <c r="DO128" s="329"/>
      <c r="DP128" s="329"/>
      <c r="DQ128" s="329"/>
      <c r="DR128" s="329"/>
      <c r="DS128" s="329"/>
      <c r="DT128" s="329"/>
      <c r="DV128" s="4"/>
      <c r="DW128" s="1" t="s">
        <v>572</v>
      </c>
      <c r="DX128" s="1" t="s">
        <v>573</v>
      </c>
      <c r="DY128" s="1" t="s">
        <v>575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574</v>
      </c>
      <c r="EG128" s="1" t="s">
        <v>50</v>
      </c>
      <c r="EH128" s="325"/>
      <c r="EI128" s="325"/>
      <c r="EJ128" s="325"/>
      <c r="EK128" s="325"/>
      <c r="EL128" s="325"/>
      <c r="EM128" s="325"/>
      <c r="EN128" s="325"/>
      <c r="ET128" s="1"/>
      <c r="EU128" s="1"/>
      <c r="EV128" s="1" t="s">
        <v>572</v>
      </c>
      <c r="EW128" s="1" t="s">
        <v>573</v>
      </c>
      <c r="EX128" s="1" t="s">
        <v>575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574</v>
      </c>
      <c r="FF128" s="1" t="s">
        <v>50</v>
      </c>
      <c r="FG128" s="325"/>
      <c r="FH128" s="325"/>
      <c r="FI128" s="325"/>
      <c r="FJ128" s="325"/>
      <c r="FK128" s="325"/>
      <c r="FL128" s="325"/>
      <c r="FM128" s="325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31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31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31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31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484</v>
      </c>
      <c r="DQ129" s="161" t="s">
        <v>338</v>
      </c>
      <c r="DR129" s="32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576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484</v>
      </c>
      <c r="EK129" s="192" t="s">
        <v>338</v>
      </c>
      <c r="EL129" s="351" t="s">
        <v>345</v>
      </c>
      <c r="EM129" s="102" t="s">
        <v>318</v>
      </c>
      <c r="EU129" s="2" t="s">
        <v>41</v>
      </c>
      <c r="EV129" s="1" t="s">
        <v>89</v>
      </c>
      <c r="EW129" s="1" t="s">
        <v>576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28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28" t="s">
        <v>531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7" t="s">
        <v>559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28" t="s">
        <v>544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545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24"/>
      <c r="DS130" s="136" t="s">
        <v>83</v>
      </c>
      <c r="DT130" s="4"/>
      <c r="DU130" s="328" t="s">
        <v>568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52"/>
      <c r="EM130" s="136" t="s">
        <v>83</v>
      </c>
      <c r="ET130" s="222" t="s">
        <v>569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28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28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47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28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28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28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28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602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602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602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605</v>
      </c>
      <c r="AQ135" s="1" t="s">
        <v>605</v>
      </c>
      <c r="AR135" s="1" t="s">
        <v>605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605</v>
      </c>
      <c r="BI135" s="1" t="s">
        <v>605</v>
      </c>
      <c r="BJ135" s="1" t="s">
        <v>605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605</v>
      </c>
      <c r="Y136" s="1" t="s">
        <v>605</v>
      </c>
      <c r="Z136" s="1" t="s">
        <v>605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604</v>
      </c>
      <c r="AQ136" s="3" t="s">
        <v>604</v>
      </c>
      <c r="AR136" s="3" t="s">
        <v>604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604</v>
      </c>
      <c r="BI136" s="3" t="s">
        <v>604</v>
      </c>
      <c r="BJ136" s="3" t="s">
        <v>604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602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0" t="s">
        <v>494</v>
      </c>
      <c r="C137" s="320"/>
      <c r="D137" s="320"/>
      <c r="E137" s="320"/>
      <c r="F137" s="320"/>
      <c r="G137" s="320"/>
      <c r="H137" s="320"/>
      <c r="S137" s="4"/>
      <c r="T137" s="4"/>
      <c r="U137" s="4"/>
      <c r="V137" s="4"/>
      <c r="W137" s="4" t="s">
        <v>60</v>
      </c>
      <c r="X137" s="3" t="s">
        <v>604</v>
      </c>
      <c r="Y137" s="3" t="s">
        <v>604</v>
      </c>
      <c r="Z137" s="3" t="s">
        <v>604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605</v>
      </c>
      <c r="CB137" s="1" t="s">
        <v>605</v>
      </c>
      <c r="CC137" s="1" t="s">
        <v>605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602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21"/>
      <c r="C138" s="321"/>
      <c r="D138" s="321"/>
      <c r="E138" s="321"/>
      <c r="F138" s="321"/>
      <c r="G138" s="321"/>
      <c r="H138" s="32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604</v>
      </c>
      <c r="CB138" s="3" t="s">
        <v>604</v>
      </c>
      <c r="CC138" s="3" t="s">
        <v>604</v>
      </c>
      <c r="CD138" s="1"/>
      <c r="CE138" s="1"/>
      <c r="CF138" s="1"/>
      <c r="CG138" s="1"/>
      <c r="CH138" s="1"/>
      <c r="CK138" s="4"/>
      <c r="CL138" s="4"/>
      <c r="CM138" s="3" t="s">
        <v>546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605</v>
      </c>
      <c r="EL138" s="1" t="s">
        <v>605</v>
      </c>
      <c r="EM138" s="1" t="s">
        <v>605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604</v>
      </c>
      <c r="EL139" s="3" t="s">
        <v>604</v>
      </c>
      <c r="EM139" s="3" t="s">
        <v>604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593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539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572</v>
      </c>
      <c r="CI140" s="1" t="s">
        <v>573</v>
      </c>
      <c r="CJ140" s="1" t="s">
        <v>575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574</v>
      </c>
      <c r="CR140" s="1" t="s">
        <v>50</v>
      </c>
      <c r="DW140" s="178"/>
      <c r="DX140" s="178"/>
      <c r="DY140" s="167"/>
      <c r="DZ140" s="167"/>
      <c r="EA140" s="167"/>
      <c r="EB140" s="167" t="s">
        <v>539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570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578</v>
      </c>
      <c r="L142" s="1" t="s">
        <v>572</v>
      </c>
      <c r="M142" s="1" t="s">
        <v>575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574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560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0" t="s">
        <v>533</v>
      </c>
      <c r="BI142" s="320"/>
      <c r="BJ142" s="320"/>
      <c r="BK142" s="320"/>
      <c r="BM142" s="4"/>
      <c r="BN142" s="1" t="s">
        <v>572</v>
      </c>
      <c r="BO142" s="1" t="s">
        <v>573</v>
      </c>
      <c r="BP142" s="1" t="s">
        <v>575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574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26" t="s">
        <v>546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0" t="s">
        <v>533</v>
      </c>
      <c r="DR142" s="320"/>
      <c r="DS142" s="320"/>
      <c r="DT142" s="320"/>
      <c r="DV142" s="4"/>
      <c r="DW142" s="1" t="s">
        <v>572</v>
      </c>
      <c r="DX142" s="1" t="s">
        <v>573</v>
      </c>
      <c r="DY142" s="1" t="s">
        <v>575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574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577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0"/>
      <c r="BI143" s="320"/>
      <c r="BJ143" s="320"/>
      <c r="BK143" s="320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26"/>
      <c r="CG143" s="3" t="s">
        <v>608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0"/>
      <c r="DR143" s="320"/>
      <c r="DS143" s="320"/>
      <c r="DT143" s="320"/>
      <c r="DV143" s="94" t="s">
        <v>41</v>
      </c>
      <c r="DW143" s="186" t="s">
        <v>89</v>
      </c>
      <c r="DX143" s="1" t="s">
        <v>576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572</v>
      </c>
      <c r="EW143" s="1" t="s">
        <v>573</v>
      </c>
      <c r="EX143" s="1" t="s">
        <v>575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574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593</v>
      </c>
      <c r="J144" s="62" t="s">
        <v>497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572</v>
      </c>
      <c r="AE144" s="1" t="s">
        <v>573</v>
      </c>
      <c r="AF144" s="1" t="s">
        <v>575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574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26" t="s">
        <v>539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26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26" t="s">
        <v>539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576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26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26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26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26" t="s">
        <v>570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26" t="s">
        <v>506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26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26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26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26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26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594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482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538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0" t="s">
        <v>495</v>
      </c>
      <c r="C153" s="320"/>
      <c r="D153" s="320"/>
      <c r="E153" s="320"/>
      <c r="F153" s="320"/>
      <c r="G153" s="320"/>
      <c r="H153" s="320"/>
      <c r="J153" s="4"/>
      <c r="K153" s="3" t="s">
        <v>578</v>
      </c>
      <c r="L153" s="1" t="s">
        <v>572</v>
      </c>
      <c r="M153" s="1" t="s">
        <v>575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574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21"/>
      <c r="C154" s="321"/>
      <c r="D154" s="321"/>
      <c r="E154" s="321"/>
      <c r="F154" s="321"/>
      <c r="G154" s="321"/>
      <c r="H154" s="321"/>
      <c r="J154" s="4" t="s">
        <v>41</v>
      </c>
      <c r="K154" s="3" t="s">
        <v>577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0" t="s">
        <v>481</v>
      </c>
      <c r="BI154" s="320"/>
      <c r="BJ154" s="320"/>
      <c r="BK154" s="320"/>
      <c r="BM154" s="4"/>
      <c r="BN154" s="3" t="s">
        <v>578</v>
      </c>
      <c r="BO154" s="1" t="s">
        <v>572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572</v>
      </c>
      <c r="DX154" s="1" t="s">
        <v>573</v>
      </c>
      <c r="DY154" s="1" t="s">
        <v>575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574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594</v>
      </c>
      <c r="J155" s="62" t="s">
        <v>496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0"/>
      <c r="BI155" s="320"/>
      <c r="BJ155" s="320"/>
      <c r="BK155" s="320"/>
      <c r="BM155" s="4"/>
      <c r="BN155" s="3" t="s">
        <v>577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576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482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53" t="s">
        <v>538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493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53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53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53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539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0" t="s">
        <v>533</v>
      </c>
      <c r="F165" s="320"/>
      <c r="G165" s="320"/>
      <c r="H165" s="320"/>
      <c r="J165" s="4"/>
      <c r="K165" s="1" t="s">
        <v>572</v>
      </c>
      <c r="L165" s="1" t="s">
        <v>573</v>
      </c>
      <c r="M165" s="1" t="s">
        <v>575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574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0"/>
      <c r="F166" s="320"/>
      <c r="G166" s="320"/>
      <c r="H166" s="320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26" t="s">
        <v>539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26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2" t="s">
        <v>440</v>
      </c>
      <c r="W182" s="332"/>
      <c r="X182" s="332"/>
      <c r="Y182" s="332"/>
      <c r="Z182" s="332"/>
      <c r="AA182" s="332"/>
      <c r="AB182" s="332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2" t="s">
        <v>441</v>
      </c>
      <c r="AN187" s="332"/>
      <c r="AO187" s="332"/>
      <c r="AP187" s="332"/>
      <c r="AQ187" s="332"/>
      <c r="AR187" s="332"/>
      <c r="AS187" s="332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2" t="s">
        <v>442</v>
      </c>
      <c r="BE187" s="332"/>
      <c r="BF187" s="332"/>
      <c r="BG187" s="332"/>
      <c r="BH187" s="332"/>
      <c r="BI187" s="332"/>
      <c r="BJ187" s="332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0" t="s">
        <v>365</v>
      </c>
      <c r="O190" s="350"/>
      <c r="P190" s="350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484</v>
      </c>
      <c r="O191" s="330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31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4" t="s">
        <v>517</v>
      </c>
      <c r="W195" s="345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536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556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9" t="s">
        <v>429</v>
      </c>
      <c r="P206" s="349"/>
      <c r="Q206" s="349"/>
      <c r="R206" s="4"/>
      <c r="S206" s="4"/>
      <c r="T206" s="50">
        <f>K217</f>
        <v>286.88405520213911</v>
      </c>
      <c r="U206" s="48">
        <f>U217</f>
        <v>8753719.7068998404</v>
      </c>
      <c r="V206" s="322" t="s">
        <v>420</v>
      </c>
      <c r="W206" s="322"/>
      <c r="X206" s="322"/>
      <c r="Y206" s="322"/>
      <c r="Z206" s="322"/>
      <c r="AA206" s="322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22" t="s">
        <v>557</v>
      </c>
      <c r="AP206" s="322"/>
      <c r="AQ206" s="322"/>
      <c r="AR206" s="322"/>
      <c r="AS206" s="322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22" t="s">
        <v>463</v>
      </c>
      <c r="BH206" s="322"/>
      <c r="BI206" s="322"/>
      <c r="BJ206" s="322"/>
      <c r="BK206" s="322"/>
      <c r="BL206" s="4"/>
      <c r="BM206" s="4"/>
      <c r="BN206" s="4"/>
      <c r="BO206" s="4"/>
      <c r="BP206" s="4"/>
      <c r="BQ206" s="4"/>
      <c r="BR206" s="4"/>
      <c r="BS206" s="4" t="s">
        <v>537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22" t="s">
        <v>439</v>
      </c>
      <c r="BZ206" s="322"/>
      <c r="CA206" s="322"/>
      <c r="CB206" s="322"/>
      <c r="CC206" s="322"/>
      <c r="CK206" s="3" t="s">
        <v>540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22"/>
      <c r="W207" s="322"/>
      <c r="X207" s="322"/>
      <c r="Y207" s="322"/>
      <c r="Z207" s="322"/>
      <c r="AA207" s="322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22"/>
      <c r="AP207" s="322"/>
      <c r="AQ207" s="322"/>
      <c r="AR207" s="322"/>
      <c r="AS207" s="322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22"/>
      <c r="BH207" s="322"/>
      <c r="BI207" s="322"/>
      <c r="BJ207" s="322"/>
      <c r="BK207" s="322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22"/>
      <c r="BZ207" s="322"/>
      <c r="CA207" s="322"/>
      <c r="CB207" s="322"/>
      <c r="CC207" s="322"/>
      <c r="CN207" s="4"/>
      <c r="CO207" s="4"/>
    </row>
    <row r="208" spans="5:94" ht="19.25" customHeight="1" x14ac:dyDescent="0.25">
      <c r="E208" s="320" t="s">
        <v>451</v>
      </c>
      <c r="F208" s="320"/>
      <c r="G208" s="320"/>
      <c r="H208" s="320"/>
      <c r="J208" s="4"/>
      <c r="K208" s="1" t="s">
        <v>572</v>
      </c>
      <c r="L208" s="1" t="s">
        <v>573</v>
      </c>
      <c r="M208" s="1" t="s">
        <v>575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574</v>
      </c>
      <c r="U208" s="1" t="s">
        <v>50</v>
      </c>
      <c r="V208" s="4"/>
      <c r="W208" s="22" t="s">
        <v>434</v>
      </c>
      <c r="X208" s="22" t="s">
        <v>484</v>
      </c>
      <c r="Y208" s="257" t="s">
        <v>338</v>
      </c>
      <c r="Z208" s="330" t="s">
        <v>345</v>
      </c>
      <c r="AA208" s="102" t="s">
        <v>318</v>
      </c>
      <c r="AB208" s="1"/>
      <c r="AC208" s="4"/>
      <c r="AD208" s="1" t="s">
        <v>572</v>
      </c>
      <c r="AE208" s="1" t="s">
        <v>573</v>
      </c>
      <c r="AF208" s="1" t="s">
        <v>575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574</v>
      </c>
      <c r="AN208" s="1" t="s">
        <v>50</v>
      </c>
      <c r="AO208" s="22" t="s">
        <v>434</v>
      </c>
      <c r="AP208" s="22" t="s">
        <v>484</v>
      </c>
      <c r="AQ208" s="161" t="s">
        <v>338</v>
      </c>
      <c r="AR208" s="330" t="s">
        <v>345</v>
      </c>
      <c r="AS208" s="138" t="s">
        <v>318</v>
      </c>
      <c r="AT208" s="1"/>
      <c r="AU208" s="4"/>
      <c r="AV208" s="1" t="s">
        <v>572</v>
      </c>
      <c r="AW208" s="1" t="s">
        <v>573</v>
      </c>
      <c r="AX208" s="1" t="s">
        <v>575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574</v>
      </c>
      <c r="BF208" s="1" t="s">
        <v>50</v>
      </c>
      <c r="BG208" s="22" t="s">
        <v>434</v>
      </c>
      <c r="BH208" s="22" t="s">
        <v>484</v>
      </c>
      <c r="BI208" s="161" t="s">
        <v>338</v>
      </c>
      <c r="BJ208" s="330" t="s">
        <v>345</v>
      </c>
      <c r="BK208" s="138" t="s">
        <v>318</v>
      </c>
      <c r="BL208" s="1"/>
      <c r="BM208" s="4"/>
      <c r="BN208" s="1" t="s">
        <v>572</v>
      </c>
      <c r="BO208" s="1" t="s">
        <v>573</v>
      </c>
      <c r="BP208" s="1" t="s">
        <v>575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574</v>
      </c>
      <c r="BX208" s="1" t="s">
        <v>50</v>
      </c>
      <c r="BY208" s="22" t="s">
        <v>434</v>
      </c>
      <c r="BZ208" s="22" t="s">
        <v>484</v>
      </c>
      <c r="CA208" s="192" t="s">
        <v>338</v>
      </c>
      <c r="CB208" s="330" t="s">
        <v>345</v>
      </c>
      <c r="CC208" s="138" t="s">
        <v>318</v>
      </c>
      <c r="CD208" s="1"/>
      <c r="CE208" s="4"/>
      <c r="CF208" s="1" t="s">
        <v>572</v>
      </c>
      <c r="CG208" s="1" t="s">
        <v>573</v>
      </c>
      <c r="CH208" s="1" t="s">
        <v>575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574</v>
      </c>
      <c r="CP208" s="1" t="s">
        <v>50</v>
      </c>
    </row>
    <row r="209" spans="2:94" ht="18" x14ac:dyDescent="0.25">
      <c r="E209" s="320"/>
      <c r="F209" s="320"/>
      <c r="G209" s="320"/>
      <c r="H209" s="320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31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31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31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31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552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556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491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548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6" t="s">
        <v>554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46" t="s">
        <v>553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46" t="s">
        <v>551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46" t="s">
        <v>550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6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6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6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6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6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6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6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6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6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6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6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6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6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6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602</v>
      </c>
      <c r="AS215" s="4"/>
      <c r="AT215" s="346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602</v>
      </c>
      <c r="BK215" s="4"/>
      <c r="BL215" s="346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602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6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6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6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605</v>
      </c>
      <c r="AQ216" s="1" t="s">
        <v>605</v>
      </c>
      <c r="AR216" s="1" t="s">
        <v>605</v>
      </c>
      <c r="AS216" s="4"/>
      <c r="AT216" s="346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605</v>
      </c>
      <c r="BI216" s="1" t="s">
        <v>605</v>
      </c>
      <c r="BJ216" s="1" t="s">
        <v>605</v>
      </c>
      <c r="BK216" s="4"/>
      <c r="BL216" s="346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605</v>
      </c>
      <c r="CB216" s="1" t="s">
        <v>605</v>
      </c>
      <c r="CC216" s="1" t="s">
        <v>605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6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604</v>
      </c>
      <c r="AQ217" s="3" t="s">
        <v>604</v>
      </c>
      <c r="AR217" s="3" t="s">
        <v>604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604</v>
      </c>
      <c r="BI217" s="3" t="s">
        <v>604</v>
      </c>
      <c r="BJ217" s="3" t="s">
        <v>604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604</v>
      </c>
      <c r="CB217" s="3" t="s">
        <v>604</v>
      </c>
      <c r="CC217" s="3" t="s">
        <v>604</v>
      </c>
      <c r="CK217" s="3" t="s">
        <v>541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6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6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572</v>
      </c>
      <c r="CG219" s="1" t="s">
        <v>573</v>
      </c>
      <c r="CH219" s="1" t="s">
        <v>575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574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6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6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2" t="s">
        <v>541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0" t="s">
        <v>494</v>
      </c>
      <c r="C222" s="320"/>
      <c r="D222" s="320"/>
      <c r="E222" s="320"/>
      <c r="F222" s="320"/>
      <c r="G222" s="320"/>
      <c r="H222" s="320"/>
      <c r="J222" s="4"/>
      <c r="K222" s="4"/>
      <c r="L222" s="4"/>
      <c r="M222" s="4"/>
      <c r="N222" s="4"/>
      <c r="O222" s="4"/>
      <c r="P222" s="204" t="s">
        <v>593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2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21"/>
      <c r="C223" s="321"/>
      <c r="D223" s="321"/>
      <c r="E223" s="321"/>
      <c r="F223" s="321"/>
      <c r="G223" s="321"/>
      <c r="H223" s="32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2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578</v>
      </c>
      <c r="L224" s="1" t="s">
        <v>572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574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2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577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538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2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3" t="s">
        <v>461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593</v>
      </c>
      <c r="J226" s="96" t="s">
        <v>497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2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2" t="s">
        <v>442</v>
      </c>
      <c r="CS226" s="332"/>
      <c r="CT226" s="332"/>
      <c r="CU226" s="332"/>
      <c r="CV226" s="332"/>
      <c r="CW226" s="332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535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572</v>
      </c>
      <c r="BO227" s="1" t="s">
        <v>573</v>
      </c>
      <c r="BP227" s="1" t="s">
        <v>575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574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584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572</v>
      </c>
      <c r="AE229" s="1" t="s">
        <v>573</v>
      </c>
      <c r="AF229" s="1" t="s">
        <v>575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574</v>
      </c>
      <c r="AN229" s="1" t="s">
        <v>50</v>
      </c>
      <c r="BL229" s="326" t="s">
        <v>549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602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26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605</v>
      </c>
      <c r="Y231" s="1" t="s">
        <v>605</v>
      </c>
      <c r="Z231" s="1" t="s">
        <v>605</v>
      </c>
      <c r="AB231" s="326" t="s">
        <v>535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26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604</v>
      </c>
      <c r="Y232" s="3" t="s">
        <v>604</v>
      </c>
      <c r="Z232" s="3" t="s">
        <v>604</v>
      </c>
      <c r="AB232" s="326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26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26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542</v>
      </c>
      <c r="CO233" s="50">
        <f>CF243</f>
        <v>69.582675758133661</v>
      </c>
      <c r="CP233" s="48">
        <f>CP243</f>
        <v>5935408.0537775028</v>
      </c>
      <c r="CR233" s="322" t="s">
        <v>459</v>
      </c>
      <c r="CS233" s="322"/>
      <c r="CT233" s="322"/>
      <c r="CU233" s="322"/>
      <c r="CV233" s="322"/>
      <c r="DD233" s="3" t="s">
        <v>538</v>
      </c>
      <c r="DH233" s="50">
        <f>CY241</f>
        <v>69.582675758133661</v>
      </c>
      <c r="DI233" s="48">
        <f>DI241</f>
        <v>5944558.1059355522</v>
      </c>
      <c r="EH233" s="3" t="s">
        <v>538</v>
      </c>
      <c r="EM233" s="50">
        <f>ED241</f>
        <v>10.437401363720047</v>
      </c>
      <c r="EN233" s="48">
        <f>EN241</f>
        <v>891683.71589033271</v>
      </c>
      <c r="EP233" s="354" t="s">
        <v>424</v>
      </c>
      <c r="EQ233" s="355"/>
      <c r="ER233" s="355"/>
      <c r="ES233" s="355"/>
      <c r="ET233" s="355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26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22"/>
      <c r="CS234" s="322"/>
      <c r="CT234" s="322"/>
      <c r="CU234" s="322"/>
      <c r="CV234" s="322"/>
      <c r="EP234" s="355"/>
      <c r="EQ234" s="355"/>
      <c r="ER234" s="355"/>
      <c r="ES234" s="355"/>
      <c r="ET234" s="355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572</v>
      </c>
      <c r="CG235" s="1" t="s">
        <v>573</v>
      </c>
      <c r="CH235" s="1" t="s">
        <v>575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574</v>
      </c>
      <c r="CP235" s="1" t="s">
        <v>50</v>
      </c>
      <c r="CR235" s="22" t="s">
        <v>434</v>
      </c>
      <c r="CS235" s="22" t="s">
        <v>484</v>
      </c>
      <c r="CT235" s="161" t="s">
        <v>338</v>
      </c>
      <c r="CU235" s="323" t="s">
        <v>345</v>
      </c>
      <c r="CV235" s="138" t="s">
        <v>318</v>
      </c>
      <c r="CX235" s="4"/>
      <c r="CY235" s="1" t="s">
        <v>572</v>
      </c>
      <c r="CZ235" s="1" t="s">
        <v>573</v>
      </c>
      <c r="DA235" s="1" t="s">
        <v>575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574</v>
      </c>
      <c r="DI235" s="1" t="s">
        <v>50</v>
      </c>
      <c r="EC235" s="4"/>
      <c r="ED235" s="1" t="s">
        <v>572</v>
      </c>
      <c r="EE235" s="1" t="s">
        <v>573</v>
      </c>
      <c r="EF235" s="1" t="s">
        <v>575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574</v>
      </c>
      <c r="EN235" s="1" t="s">
        <v>50</v>
      </c>
      <c r="EP235" s="355"/>
      <c r="EQ235" s="355"/>
      <c r="ER235" s="355"/>
      <c r="ES235" s="355"/>
      <c r="ET235" s="355"/>
    </row>
    <row r="236" spans="2:150" ht="19" thickBot="1" x14ac:dyDescent="0.3">
      <c r="P236" s="3" t="s">
        <v>555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2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26" t="s">
        <v>542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28" t="s">
        <v>538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53" t="s">
        <v>538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0" t="s">
        <v>533</v>
      </c>
      <c r="F238" s="320"/>
      <c r="G238" s="320"/>
      <c r="H238" s="320"/>
      <c r="J238" s="4"/>
      <c r="K238" s="1" t="s">
        <v>572</v>
      </c>
      <c r="L238" s="1" t="s">
        <v>573</v>
      </c>
      <c r="M238" s="1" t="s">
        <v>575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574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26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28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602</v>
      </c>
      <c r="EB238" s="353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0"/>
      <c r="F239" s="320"/>
      <c r="G239" s="320"/>
      <c r="H239" s="320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26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28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605</v>
      </c>
      <c r="DQ239" s="1" t="s">
        <v>605</v>
      </c>
      <c r="DR239" s="1" t="s">
        <v>605</v>
      </c>
      <c r="EB239" s="353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26" t="s">
        <v>539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26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28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604</v>
      </c>
      <c r="DQ240" s="3" t="s">
        <v>604</v>
      </c>
      <c r="DR240" s="3" t="s">
        <v>604</v>
      </c>
      <c r="EB240" s="353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26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26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539</v>
      </c>
      <c r="BW242" s="50">
        <f>BN248</f>
        <v>556.96479760636817</v>
      </c>
      <c r="BX242" s="48">
        <f>BX248</f>
        <v>4359.9448543333856</v>
      </c>
      <c r="CD242" s="326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602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0" t="s">
        <v>533</v>
      </c>
      <c r="BI244" s="320"/>
      <c r="BJ244" s="320"/>
      <c r="BK244" s="320"/>
      <c r="BM244" s="4"/>
      <c r="BN244" s="1" t="s">
        <v>572</v>
      </c>
      <c r="BO244" s="1" t="s">
        <v>573</v>
      </c>
      <c r="BP244" s="1" t="s">
        <v>575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574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605</v>
      </c>
      <c r="CT244" s="1" t="s">
        <v>605</v>
      </c>
      <c r="CU244" s="1" t="s">
        <v>605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0"/>
      <c r="BI245" s="320"/>
      <c r="BJ245" s="320"/>
      <c r="BK245" s="320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604</v>
      </c>
      <c r="CT245" s="3" t="s">
        <v>604</v>
      </c>
      <c r="CU245" s="3" t="s">
        <v>604</v>
      </c>
    </row>
    <row r="246" spans="9:144" ht="18" customHeight="1" x14ac:dyDescent="0.25">
      <c r="BL246" s="342" t="s">
        <v>534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2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543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572</v>
      </c>
      <c r="CG252" s="1" t="s">
        <v>573</v>
      </c>
      <c r="CH252" s="1" t="s">
        <v>575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574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482</v>
      </c>
      <c r="BW254" s="50">
        <f>BO259</f>
        <v>16.963528773956838</v>
      </c>
      <c r="BX254" s="48">
        <f>BX259</f>
        <v>879540.87913658854</v>
      </c>
      <c r="CD254" s="326" t="s">
        <v>543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468</v>
      </c>
      <c r="BL255" s="4"/>
      <c r="CD255" s="326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0" t="s">
        <v>481</v>
      </c>
      <c r="BG256" s="320"/>
      <c r="BH256" s="320"/>
      <c r="BI256" s="320"/>
      <c r="BJ256" s="320"/>
      <c r="BK256" s="320"/>
      <c r="BL256" s="320"/>
      <c r="BM256" s="1"/>
      <c r="BN256" s="3" t="s">
        <v>578</v>
      </c>
      <c r="BO256" s="1" t="s">
        <v>572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574</v>
      </c>
      <c r="BX256" s="1" t="s">
        <v>50</v>
      </c>
      <c r="CD256" s="326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21"/>
      <c r="BG257" s="321"/>
      <c r="BH257" s="321"/>
      <c r="BI257" s="321"/>
      <c r="BJ257" s="321"/>
      <c r="BK257" s="321"/>
      <c r="BL257" s="321"/>
      <c r="BM257" s="1"/>
      <c r="BN257" s="3" t="s">
        <v>577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465</v>
      </c>
      <c r="BH259" s="13" t="s">
        <v>466</v>
      </c>
      <c r="BI259" s="13" t="s">
        <v>467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K11" sqref="K11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56" t="s">
        <v>435</v>
      </c>
      <c r="E7" s="217" t="s">
        <v>586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5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58" t="s">
        <v>20</v>
      </c>
      <c r="E9" s="217" t="s">
        <v>586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59"/>
      <c r="E10" s="217" t="s">
        <v>587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5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61" t="s">
        <v>354</v>
      </c>
      <c r="E13" s="217" t="s">
        <v>586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6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6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6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6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65"/>
      <c r="E18" s="216" t="s">
        <v>571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23" spans="4:9" x14ac:dyDescent="0.2">
      <c r="E23" s="204" t="s">
        <v>592</v>
      </c>
      <c r="F23" s="3" t="s">
        <v>588</v>
      </c>
      <c r="G23" s="3" t="s">
        <v>589</v>
      </c>
      <c r="H23" s="3" t="s">
        <v>590</v>
      </c>
      <c r="I23" s="3" t="s">
        <v>591</v>
      </c>
    </row>
    <row r="24" spans="4:9" x14ac:dyDescent="0.2">
      <c r="E24" s="204" t="s">
        <v>586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587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571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B143" zoomScale="69" zoomScaleNormal="20" workbookViewId="0">
      <selection activeCell="E153" sqref="E153:E15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601</v>
      </c>
      <c r="AR1" s="260"/>
      <c r="AS1" s="207" t="s">
        <v>418</v>
      </c>
      <c r="AT1" s="207" t="s">
        <v>419</v>
      </c>
      <c r="AU1" s="207" t="s">
        <v>420</v>
      </c>
      <c r="AV1" s="207" t="s">
        <v>579</v>
      </c>
      <c r="AW1" s="207" t="s">
        <v>558</v>
      </c>
      <c r="AX1" s="207" t="s">
        <v>557</v>
      </c>
      <c r="AY1" s="207" t="s">
        <v>446</v>
      </c>
      <c r="AZ1" s="207" t="s">
        <v>443</v>
      </c>
      <c r="BA1" s="207" t="s">
        <v>463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579</v>
      </c>
      <c r="BP1" s="207" t="s">
        <v>558</v>
      </c>
      <c r="BQ1" s="207" t="s">
        <v>557</v>
      </c>
      <c r="BR1" s="207" t="s">
        <v>446</v>
      </c>
      <c r="BS1" s="207" t="s">
        <v>443</v>
      </c>
      <c r="BT1" s="207" t="s">
        <v>463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482</v>
      </c>
      <c r="C6" s="284">
        <v>1</v>
      </c>
      <c r="AR6" s="204" t="s">
        <v>482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482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593</v>
      </c>
      <c r="C7" s="284">
        <v>1</v>
      </c>
      <c r="AR7" s="204" t="s">
        <v>593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593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594</v>
      </c>
      <c r="C8" s="284">
        <v>1</v>
      </c>
      <c r="AR8" s="204" t="s">
        <v>594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594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530</v>
      </c>
      <c r="C9" s="284">
        <v>1</v>
      </c>
      <c r="AR9" s="204" t="s">
        <v>530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530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583</v>
      </c>
      <c r="C10" s="284">
        <v>1</v>
      </c>
      <c r="AR10" s="204" t="s">
        <v>583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583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565</v>
      </c>
      <c r="C11" s="284">
        <v>1</v>
      </c>
      <c r="AR11" s="205" t="s">
        <v>565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565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528</v>
      </c>
      <c r="C12" s="284">
        <v>1</v>
      </c>
      <c r="AR12" s="204" t="s">
        <v>528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528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531</v>
      </c>
      <c r="C13" s="284">
        <v>1</v>
      </c>
      <c r="AR13" s="205" t="s">
        <v>531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531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560</v>
      </c>
      <c r="C14" s="284">
        <v>1</v>
      </c>
      <c r="AR14" s="204" t="s">
        <v>560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560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552</v>
      </c>
      <c r="C15" s="284">
        <v>1</v>
      </c>
      <c r="AR15" s="206" t="s">
        <v>552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552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535</v>
      </c>
      <c r="C16" s="284">
        <v>1</v>
      </c>
      <c r="AR16" s="204" t="s">
        <v>535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535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564</v>
      </c>
      <c r="C17" s="284">
        <v>1</v>
      </c>
      <c r="AR17" s="205" t="s">
        <v>564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564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559</v>
      </c>
      <c r="C18" s="284">
        <v>1</v>
      </c>
      <c r="AR18" s="205" t="s">
        <v>559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559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556</v>
      </c>
      <c r="C19" s="284">
        <v>1</v>
      </c>
      <c r="AR19" s="205" t="s">
        <v>556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556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562</v>
      </c>
      <c r="C20" s="284">
        <v>1</v>
      </c>
      <c r="AR20" s="205" t="s">
        <v>562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562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561</v>
      </c>
      <c r="C21" s="284">
        <v>1</v>
      </c>
      <c r="AR21" s="206" t="s">
        <v>561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561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544</v>
      </c>
      <c r="C22" s="284">
        <v>1</v>
      </c>
      <c r="AR22" s="206" t="s">
        <v>544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544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580</v>
      </c>
      <c r="C23" s="284">
        <v>1</v>
      </c>
      <c r="AR23" s="206" t="s">
        <v>580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580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545</v>
      </c>
      <c r="C24" s="284">
        <v>1</v>
      </c>
      <c r="AR24" s="206" t="s">
        <v>545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545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547</v>
      </c>
      <c r="C25" s="284">
        <v>1</v>
      </c>
      <c r="AR25" s="206" t="s">
        <v>547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547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546</v>
      </c>
      <c r="C26" s="284">
        <v>1</v>
      </c>
      <c r="AR26" s="206" t="s">
        <v>546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546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540</v>
      </c>
      <c r="C27" s="284">
        <v>1</v>
      </c>
      <c r="AR27" s="206" t="s">
        <v>540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540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542</v>
      </c>
      <c r="C28" s="284">
        <v>1</v>
      </c>
      <c r="AR28" s="253" t="s">
        <v>542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542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541</v>
      </c>
      <c r="C29" s="284">
        <v>1</v>
      </c>
      <c r="AR29" s="206" t="s">
        <v>541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541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543</v>
      </c>
      <c r="C30" s="284">
        <v>1</v>
      </c>
      <c r="AR30" s="204" t="s">
        <v>543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543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538</v>
      </c>
      <c r="C31" s="284">
        <v>1</v>
      </c>
      <c r="AR31" s="206" t="s">
        <v>538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538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568</v>
      </c>
      <c r="C32" s="284">
        <v>1</v>
      </c>
      <c r="AR32" s="206" t="s">
        <v>568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568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569</v>
      </c>
      <c r="C33" s="284">
        <v>1</v>
      </c>
      <c r="AR33" s="206" t="s">
        <v>569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569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570</v>
      </c>
      <c r="C34" s="284">
        <v>1</v>
      </c>
      <c r="AR34" s="206" t="s">
        <v>570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570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581</v>
      </c>
      <c r="C35" s="284">
        <v>1</v>
      </c>
      <c r="AR35" s="206" t="s">
        <v>581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581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600</v>
      </c>
      <c r="AR36" s="206"/>
      <c r="AS36" s="366" t="s">
        <v>597</v>
      </c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D36" s="366"/>
      <c r="BE36" s="366"/>
      <c r="BF36" s="366"/>
      <c r="BK36" s="206"/>
      <c r="BL36" s="366" t="s">
        <v>598</v>
      </c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  <c r="BW36" s="366"/>
      <c r="BX36" s="366"/>
      <c r="BY36" s="36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579</v>
      </c>
      <c r="AW39" s="207" t="s">
        <v>558</v>
      </c>
      <c r="AX39" s="207" t="s">
        <v>557</v>
      </c>
      <c r="AY39" s="207" t="s">
        <v>446</v>
      </c>
      <c r="AZ39" s="207" t="s">
        <v>443</v>
      </c>
      <c r="BA39" s="207" t="s">
        <v>463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482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593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594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530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583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565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528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531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560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552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535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564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559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556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562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561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544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580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545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547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546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540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542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541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543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538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568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569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570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581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66" t="s">
        <v>599</v>
      </c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  <c r="BD74" s="366"/>
      <c r="BE74" s="366"/>
      <c r="BF74" s="36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579</v>
      </c>
      <c r="AW82" s="207" t="s">
        <v>558</v>
      </c>
      <c r="AX82" s="207" t="s">
        <v>557</v>
      </c>
      <c r="AY82" s="207" t="s">
        <v>446</v>
      </c>
      <c r="AZ82" s="207" t="s">
        <v>443</v>
      </c>
      <c r="BA82" s="207" t="s">
        <v>463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482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482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593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593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594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594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530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530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583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583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565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565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528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528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531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531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560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560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552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552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535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535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564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564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559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559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556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556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562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562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561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561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544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544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580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580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545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545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547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547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546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546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540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540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542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542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541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541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543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543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538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538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568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568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569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569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570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570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581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581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66" t="s">
        <v>421</v>
      </c>
      <c r="AT117" s="366"/>
      <c r="AU117" s="366"/>
      <c r="AV117" s="366"/>
      <c r="AW117" s="366"/>
      <c r="AX117" s="366"/>
      <c r="AY117" s="366"/>
      <c r="AZ117" s="366"/>
      <c r="BA117" s="366"/>
      <c r="BB117" s="366"/>
      <c r="BC117" s="366"/>
      <c r="BD117" s="366"/>
      <c r="BE117" s="366"/>
      <c r="BF117" s="366"/>
      <c r="BG117" s="25" t="s">
        <v>474</v>
      </c>
      <c r="BL117" s="366" t="s">
        <v>423</v>
      </c>
      <c r="BM117" s="366"/>
      <c r="BN117" s="25" t="s">
        <v>489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67"/>
      <c r="G119" s="36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66" t="s">
        <v>473</v>
      </c>
      <c r="AT119" s="366"/>
      <c r="AU119" s="366"/>
      <c r="AV119" s="366"/>
      <c r="AW119" s="366"/>
      <c r="AX119" s="366"/>
      <c r="AY119" s="366"/>
      <c r="AZ119" s="366"/>
      <c r="BA119" s="366"/>
      <c r="BB119" s="366"/>
      <c r="BC119" s="366"/>
      <c r="BD119" s="366"/>
      <c r="BE119" s="366"/>
      <c r="BF119" s="366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482</v>
      </c>
      <c r="K120" s="207" t="s">
        <v>593</v>
      </c>
      <c r="L120" s="207" t="s">
        <v>594</v>
      </c>
      <c r="M120" s="207" t="s">
        <v>530</v>
      </c>
      <c r="N120" s="207" t="s">
        <v>583</v>
      </c>
      <c r="O120" s="209" t="s">
        <v>565</v>
      </c>
      <c r="P120" s="207" t="s">
        <v>528</v>
      </c>
      <c r="Q120" s="209" t="s">
        <v>531</v>
      </c>
      <c r="R120" s="207" t="s">
        <v>560</v>
      </c>
      <c r="S120" s="210" t="s">
        <v>552</v>
      </c>
      <c r="T120" s="207" t="s">
        <v>535</v>
      </c>
      <c r="U120" s="209" t="s">
        <v>564</v>
      </c>
      <c r="V120" s="209" t="s">
        <v>559</v>
      </c>
      <c r="W120" s="209" t="s">
        <v>556</v>
      </c>
      <c r="X120" s="209" t="s">
        <v>562</v>
      </c>
      <c r="Y120" s="210" t="s">
        <v>561</v>
      </c>
      <c r="Z120" s="210" t="s">
        <v>544</v>
      </c>
      <c r="AA120" s="210" t="s">
        <v>580</v>
      </c>
      <c r="AB120" s="210" t="s">
        <v>545</v>
      </c>
      <c r="AC120" s="210" t="s">
        <v>547</v>
      </c>
      <c r="AD120" s="210" t="s">
        <v>546</v>
      </c>
      <c r="AE120" s="210" t="s">
        <v>540</v>
      </c>
      <c r="AF120" s="232" t="s">
        <v>542</v>
      </c>
      <c r="AG120" s="210" t="s">
        <v>541</v>
      </c>
      <c r="AH120" s="207" t="s">
        <v>543</v>
      </c>
      <c r="AI120" s="210" t="s">
        <v>538</v>
      </c>
      <c r="AJ120" s="210" t="s">
        <v>568</v>
      </c>
      <c r="AK120" s="210" t="s">
        <v>569</v>
      </c>
      <c r="AL120" s="210" t="s">
        <v>570</v>
      </c>
      <c r="AM120" s="210" t="s">
        <v>581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579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558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66" t="s">
        <v>422</v>
      </c>
      <c r="G135" s="366"/>
      <c r="H135" s="366"/>
      <c r="I135" s="366"/>
      <c r="J135" s="366"/>
      <c r="K135" s="366"/>
      <c r="L135" s="366"/>
      <c r="M135" s="366"/>
      <c r="N135" s="366"/>
      <c r="O135" s="366"/>
      <c r="P135" s="366"/>
      <c r="Q135" s="366"/>
      <c r="R135" s="366"/>
      <c r="S135" s="366"/>
      <c r="T135" s="366"/>
      <c r="U135" s="366"/>
      <c r="V135" s="366"/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366"/>
      <c r="AH135" s="366"/>
      <c r="AI135" s="366"/>
      <c r="AJ135" s="366"/>
      <c r="AK135" s="366"/>
      <c r="AL135" s="366"/>
      <c r="AM135" s="366"/>
      <c r="AN135" s="25" t="s">
        <v>470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66" t="s">
        <v>471</v>
      </c>
      <c r="G137" s="366"/>
      <c r="H137" s="366"/>
      <c r="I137" s="366"/>
      <c r="J137" s="366"/>
      <c r="K137" s="366"/>
      <c r="L137" s="366"/>
      <c r="M137" s="366"/>
      <c r="N137" s="366"/>
      <c r="O137" s="366"/>
      <c r="P137" s="366"/>
      <c r="Q137" s="366"/>
      <c r="R137" s="366"/>
      <c r="S137" s="366"/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482</v>
      </c>
      <c r="K148" s="207" t="s">
        <v>593</v>
      </c>
      <c r="L148" s="207" t="s">
        <v>594</v>
      </c>
      <c r="M148" s="207" t="s">
        <v>530</v>
      </c>
      <c r="N148" s="207" t="s">
        <v>583</v>
      </c>
      <c r="O148" s="209" t="s">
        <v>565</v>
      </c>
      <c r="P148" s="207" t="s">
        <v>528</v>
      </c>
      <c r="Q148" s="209" t="s">
        <v>531</v>
      </c>
      <c r="R148" s="207" t="s">
        <v>560</v>
      </c>
      <c r="S148" s="210" t="s">
        <v>552</v>
      </c>
      <c r="T148" s="207" t="s">
        <v>535</v>
      </c>
      <c r="U148" s="209" t="s">
        <v>564</v>
      </c>
      <c r="V148" s="209" t="s">
        <v>559</v>
      </c>
      <c r="W148" s="209" t="s">
        <v>556</v>
      </c>
      <c r="X148" s="209" t="s">
        <v>562</v>
      </c>
      <c r="Y148" s="210" t="s">
        <v>561</v>
      </c>
      <c r="Z148" s="210" t="s">
        <v>544</v>
      </c>
      <c r="AA148" s="210" t="s">
        <v>580</v>
      </c>
      <c r="AB148" s="210" t="s">
        <v>545</v>
      </c>
      <c r="AC148" s="210" t="s">
        <v>547</v>
      </c>
      <c r="AD148" s="210" t="s">
        <v>546</v>
      </c>
      <c r="AE148" s="210" t="s">
        <v>540</v>
      </c>
      <c r="AF148" s="232" t="s">
        <v>542</v>
      </c>
      <c r="AG148" s="210" t="s">
        <v>541</v>
      </c>
      <c r="AH148" s="207" t="s">
        <v>543</v>
      </c>
      <c r="AI148" s="210" t="s">
        <v>538</v>
      </c>
      <c r="AJ148" s="210" t="s">
        <v>568</v>
      </c>
      <c r="AK148" s="210" t="s">
        <v>569</v>
      </c>
      <c r="AL148" s="210" t="s">
        <v>570</v>
      </c>
      <c r="AM148" s="210" t="s">
        <v>581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488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481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596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595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529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582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66" t="s">
        <v>57</v>
      </c>
      <c r="G158" s="366"/>
      <c r="H158" s="366"/>
      <c r="I158" s="366"/>
      <c r="J158" s="366"/>
      <c r="K158" s="366"/>
      <c r="L158" s="366"/>
      <c r="M158" s="366"/>
      <c r="N158" s="366"/>
      <c r="O158" s="366"/>
      <c r="P158" s="366"/>
      <c r="Q158" s="366"/>
      <c r="R158" s="366"/>
      <c r="S158" s="366"/>
      <c r="T158" s="366"/>
      <c r="U158" s="366"/>
      <c r="V158" s="366"/>
      <c r="W158" s="366"/>
      <c r="X158" s="366"/>
      <c r="Y158" s="366"/>
      <c r="Z158" s="366"/>
      <c r="AA158" s="366"/>
      <c r="AB158" s="366"/>
      <c r="AC158" s="366"/>
      <c r="AD158" s="366"/>
      <c r="AE158" s="366"/>
      <c r="AF158" s="366"/>
      <c r="AG158" s="366"/>
      <c r="AH158" s="366"/>
      <c r="AI158" s="366"/>
      <c r="AJ158" s="366"/>
      <c r="AK158" s="366"/>
      <c r="AL158" s="366"/>
      <c r="AM158" s="36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66" t="s">
        <v>472</v>
      </c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366"/>
      <c r="R160" s="366"/>
      <c r="S160" s="366"/>
      <c r="T160" s="366"/>
      <c r="U160" s="366"/>
      <c r="V160" s="366"/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366"/>
      <c r="AH160" s="366"/>
      <c r="AI160" s="366"/>
      <c r="AJ160" s="366"/>
      <c r="AK160" s="366"/>
      <c r="AL160" s="366"/>
      <c r="AM160" s="366"/>
      <c r="AN160" s="25"/>
      <c r="AO160" s="25"/>
    </row>
    <row r="164" spans="5:25" x14ac:dyDescent="0.2">
      <c r="F164" s="366" t="s">
        <v>585</v>
      </c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366"/>
      <c r="S164" s="366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482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526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527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530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583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565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528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531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560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552</v>
      </c>
      <c r="F180" s="252">
        <f>S159</f>
        <v>0</v>
      </c>
      <c r="G180" s="259" t="s">
        <v>476</v>
      </c>
      <c r="H180" s="252">
        <v>8753719.7068998404</v>
      </c>
      <c r="I180" s="171" t="s">
        <v>478</v>
      </c>
      <c r="J180" s="252">
        <f t="shared" si="42"/>
        <v>8753719.7068998404</v>
      </c>
      <c r="K180" s="171" t="s">
        <v>478</v>
      </c>
      <c r="L180" s="252">
        <v>0</v>
      </c>
      <c r="M180" s="259" t="s">
        <v>479</v>
      </c>
      <c r="N180" s="252">
        <f t="shared" si="43"/>
        <v>0</v>
      </c>
    </row>
    <row r="181" spans="5:21" x14ac:dyDescent="0.2">
      <c r="E181" s="204" t="s">
        <v>535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564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559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556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562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561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544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580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545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547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546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540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542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541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543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538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568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569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570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581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475</v>
      </c>
      <c r="H201" s="3" t="s">
        <v>477</v>
      </c>
      <c r="J201" s="25" t="s">
        <v>474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66" t="s">
        <v>480</v>
      </c>
      <c r="G204" s="366"/>
      <c r="H204" s="366"/>
      <c r="I204" s="366"/>
      <c r="J204" s="366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579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558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557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483</v>
      </c>
      <c r="H214" s="252">
        <f t="shared" si="47"/>
        <v>25394.240916408646</v>
      </c>
      <c r="I214" s="171" t="s">
        <v>479</v>
      </c>
      <c r="J214" s="252">
        <f t="shared" si="48"/>
        <v>34.678095164115803</v>
      </c>
    </row>
    <row r="215" spans="5:14" x14ac:dyDescent="0.2">
      <c r="E215" s="204" t="s">
        <v>463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473</v>
      </c>
      <c r="G221" s="171"/>
      <c r="H221" s="171" t="s">
        <v>470</v>
      </c>
      <c r="I221" s="171"/>
      <c r="J221" s="171" t="s">
        <v>484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24" zoomScale="50" workbookViewId="0">
      <selection activeCell="B1" sqref="B1:C35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606</v>
      </c>
      <c r="AO1" s="260"/>
      <c r="AP1" s="207" t="s">
        <v>418</v>
      </c>
      <c r="AQ1" s="207" t="s">
        <v>419</v>
      </c>
      <c r="AR1" s="207" t="s">
        <v>420</v>
      </c>
      <c r="AS1" s="207" t="s">
        <v>579</v>
      </c>
      <c r="AT1" s="207" t="s">
        <v>558</v>
      </c>
      <c r="AU1" s="207" t="s">
        <v>557</v>
      </c>
      <c r="AV1" s="207" t="s">
        <v>446</v>
      </c>
      <c r="AW1" s="207" t="s">
        <v>443</v>
      </c>
      <c r="AX1" s="207" t="s">
        <v>463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579</v>
      </c>
      <c r="BM1" s="207" t="s">
        <v>558</v>
      </c>
      <c r="BN1" s="207" t="s">
        <v>557</v>
      </c>
      <c r="BO1" s="207" t="s">
        <v>446</v>
      </c>
      <c r="BP1" s="207" t="s">
        <v>443</v>
      </c>
      <c r="BQ1" s="207" t="s">
        <v>463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482</v>
      </c>
      <c r="C6" s="284">
        <v>1</v>
      </c>
      <c r="AO6" s="204" t="s">
        <v>482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482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593</v>
      </c>
      <c r="C7" s="284">
        <v>1</v>
      </c>
      <c r="AO7" s="204" t="s">
        <v>593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593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594</v>
      </c>
      <c r="C8" s="284">
        <v>1</v>
      </c>
      <c r="AO8" s="204" t="s">
        <v>594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594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530</v>
      </c>
      <c r="C9" s="284">
        <v>1</v>
      </c>
      <c r="AO9" s="204" t="s">
        <v>530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530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583</v>
      </c>
      <c r="C10" s="284">
        <v>1</v>
      </c>
      <c r="AO10" s="204" t="s">
        <v>583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583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565</v>
      </c>
      <c r="C11" s="284">
        <v>1</v>
      </c>
      <c r="AO11" s="205" t="s">
        <v>565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565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528</v>
      </c>
      <c r="C12" s="284">
        <v>1</v>
      </c>
      <c r="AO12" s="204" t="s">
        <v>528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531</v>
      </c>
      <c r="C13" s="284">
        <v>1</v>
      </c>
      <c r="AO13" s="205" t="s">
        <v>531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560</v>
      </c>
      <c r="C14" s="284">
        <v>1</v>
      </c>
      <c r="AO14" s="204" t="s">
        <v>560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560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552</v>
      </c>
      <c r="C15" s="284">
        <v>1</v>
      </c>
      <c r="AO15" s="206" t="s">
        <v>552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552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535</v>
      </c>
      <c r="C16" s="284">
        <v>1</v>
      </c>
      <c r="AO16" s="204" t="s">
        <v>535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564</v>
      </c>
      <c r="C17" s="284">
        <v>1</v>
      </c>
      <c r="AO17" s="205" t="s">
        <v>564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564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559</v>
      </c>
      <c r="C18" s="284">
        <v>1</v>
      </c>
      <c r="AO18" s="205" t="s">
        <v>559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559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556</v>
      </c>
      <c r="C19" s="284">
        <v>1</v>
      </c>
      <c r="AO19" s="205" t="s">
        <v>556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556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562</v>
      </c>
      <c r="C20" s="284">
        <v>1</v>
      </c>
      <c r="AO20" s="205" t="s">
        <v>562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562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561</v>
      </c>
      <c r="C21" s="284">
        <v>1</v>
      </c>
      <c r="AO21" s="206" t="s">
        <v>561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561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544</v>
      </c>
      <c r="C22" s="284">
        <v>1</v>
      </c>
      <c r="AO22" s="206" t="s">
        <v>544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544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580</v>
      </c>
      <c r="C23" s="284">
        <v>1</v>
      </c>
      <c r="AO23" s="206" t="s">
        <v>580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580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545</v>
      </c>
      <c r="C24" s="284">
        <v>1</v>
      </c>
      <c r="AO24" s="206" t="s">
        <v>545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545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547</v>
      </c>
      <c r="C25" s="284">
        <v>1</v>
      </c>
      <c r="AO25" s="206" t="s">
        <v>547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547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546</v>
      </c>
      <c r="C26" s="284">
        <v>1</v>
      </c>
      <c r="AO26" s="206" t="s">
        <v>546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546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540</v>
      </c>
      <c r="C27" s="284">
        <v>1</v>
      </c>
      <c r="AO27" s="206" t="s">
        <v>540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540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542</v>
      </c>
      <c r="C28" s="284">
        <v>1</v>
      </c>
      <c r="AO28" s="253" t="s">
        <v>542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542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541</v>
      </c>
      <c r="C29" s="284">
        <v>1</v>
      </c>
      <c r="AO29" s="206" t="s">
        <v>541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541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543</v>
      </c>
      <c r="C30" s="284">
        <v>1</v>
      </c>
      <c r="AO30" s="204" t="s">
        <v>543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543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538</v>
      </c>
      <c r="C31" s="284">
        <v>1</v>
      </c>
      <c r="AO31" s="206" t="s">
        <v>538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568</v>
      </c>
      <c r="C32" s="284">
        <v>1</v>
      </c>
      <c r="AO32" s="206" t="s">
        <v>568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568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569</v>
      </c>
      <c r="C33" s="284">
        <v>1</v>
      </c>
      <c r="AO33" s="206" t="s">
        <v>569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569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570</v>
      </c>
      <c r="C34" s="284">
        <v>1</v>
      </c>
      <c r="AO34" s="206" t="s">
        <v>570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570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581</v>
      </c>
      <c r="C35" s="284">
        <v>1</v>
      </c>
      <c r="AO35" s="206" t="s">
        <v>581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581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600</v>
      </c>
      <c r="AO36" s="206"/>
      <c r="AP36" s="366" t="s">
        <v>597</v>
      </c>
      <c r="AQ36" s="366"/>
      <c r="AR36" s="366"/>
      <c r="AS36" s="366"/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H36" s="206"/>
      <c r="BI36" s="366" t="s">
        <v>598</v>
      </c>
      <c r="BJ36" s="366"/>
      <c r="BK36" s="366"/>
      <c r="BL36" s="366"/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579</v>
      </c>
      <c r="AT39" s="207" t="s">
        <v>558</v>
      </c>
      <c r="AU39" s="207" t="s">
        <v>557</v>
      </c>
      <c r="AV39" s="207" t="s">
        <v>446</v>
      </c>
      <c r="AW39" s="207" t="s">
        <v>443</v>
      </c>
      <c r="AX39" s="207" t="s">
        <v>463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482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593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594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530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583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565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528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531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560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552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535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564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559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556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562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561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544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580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545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547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546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540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542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541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543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538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568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569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570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581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66" t="s">
        <v>599</v>
      </c>
      <c r="AQ74" s="366"/>
      <c r="AR74" s="366"/>
      <c r="AS74" s="366"/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579</v>
      </c>
      <c r="AT78" s="207" t="s">
        <v>558</v>
      </c>
      <c r="AU78" s="207" t="s">
        <v>557</v>
      </c>
      <c r="AV78" s="207" t="s">
        <v>446</v>
      </c>
      <c r="AW78" s="207" t="s">
        <v>443</v>
      </c>
      <c r="AX78" s="207" t="s">
        <v>463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482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482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593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593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594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594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530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530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583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583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565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565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528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531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531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560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560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552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552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535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564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564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559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559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556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556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562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562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561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561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544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544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580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580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545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545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547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547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546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546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540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540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542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542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541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541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543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543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538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568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568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569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569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570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570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581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581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66" t="s">
        <v>421</v>
      </c>
      <c r="AQ113" s="366"/>
      <c r="AR113" s="366"/>
      <c r="AS113" s="366"/>
      <c r="AT113" s="366"/>
      <c r="AU113" s="366"/>
      <c r="AV113" s="366"/>
      <c r="AW113" s="366"/>
      <c r="AX113" s="366"/>
      <c r="AY113" s="366"/>
      <c r="AZ113" s="366"/>
      <c r="BA113" s="366"/>
      <c r="BB113" s="366"/>
      <c r="BC113" s="366"/>
      <c r="BD113" s="25" t="s">
        <v>474</v>
      </c>
      <c r="BI113" s="366" t="s">
        <v>423</v>
      </c>
      <c r="BJ113" s="366"/>
      <c r="BK113" s="25" t="s">
        <v>489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67"/>
      <c r="D115" s="36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66" t="s">
        <v>473</v>
      </c>
      <c r="AQ115" s="366"/>
      <c r="AR115" s="366"/>
      <c r="AS115" s="366"/>
      <c r="AT115" s="366"/>
      <c r="AU115" s="366"/>
      <c r="AV115" s="366"/>
      <c r="AW115" s="366"/>
      <c r="AX115" s="366"/>
      <c r="AY115" s="366"/>
      <c r="AZ115" s="366"/>
      <c r="BA115" s="366"/>
      <c r="BB115" s="366"/>
      <c r="BC115" s="366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482</v>
      </c>
      <c r="H116" s="207" t="s">
        <v>526</v>
      </c>
      <c r="I116" s="207" t="s">
        <v>593</v>
      </c>
      <c r="J116" s="207" t="s">
        <v>594</v>
      </c>
      <c r="K116" s="207" t="s">
        <v>583</v>
      </c>
      <c r="L116" s="209" t="s">
        <v>565</v>
      </c>
      <c r="M116" s="207" t="s">
        <v>528</v>
      </c>
      <c r="N116" s="209" t="s">
        <v>531</v>
      </c>
      <c r="O116" s="207" t="s">
        <v>560</v>
      </c>
      <c r="P116" s="210" t="s">
        <v>552</v>
      </c>
      <c r="Q116" s="207" t="s">
        <v>535</v>
      </c>
      <c r="R116" s="209" t="s">
        <v>564</v>
      </c>
      <c r="S116" s="209" t="s">
        <v>559</v>
      </c>
      <c r="T116" s="209" t="s">
        <v>556</v>
      </c>
      <c r="U116" s="209" t="s">
        <v>562</v>
      </c>
      <c r="V116" s="210" t="s">
        <v>561</v>
      </c>
      <c r="W116" s="210" t="s">
        <v>544</v>
      </c>
      <c r="X116" s="210" t="s">
        <v>580</v>
      </c>
      <c r="Y116" s="210" t="s">
        <v>545</v>
      </c>
      <c r="Z116" s="210" t="s">
        <v>547</v>
      </c>
      <c r="AA116" s="210" t="s">
        <v>546</v>
      </c>
      <c r="AB116" s="210" t="s">
        <v>540</v>
      </c>
      <c r="AC116" s="232" t="s">
        <v>542</v>
      </c>
      <c r="AD116" s="210" t="s">
        <v>541</v>
      </c>
      <c r="AE116" s="207" t="s">
        <v>543</v>
      </c>
      <c r="AF116" s="210" t="s">
        <v>538</v>
      </c>
      <c r="AG116" s="210" t="s">
        <v>568</v>
      </c>
      <c r="AH116" s="210" t="s">
        <v>569</v>
      </c>
      <c r="AI116" s="210" t="s">
        <v>570</v>
      </c>
      <c r="AJ116" s="210" t="s">
        <v>581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579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558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66" t="s">
        <v>422</v>
      </c>
      <c r="D131" s="366"/>
      <c r="E131" s="366"/>
      <c r="F131" s="36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366"/>
      <c r="S131" s="366"/>
      <c r="T131" s="366"/>
      <c r="U131" s="366"/>
      <c r="V131" s="366"/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25" t="s">
        <v>470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66" t="s">
        <v>471</v>
      </c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6"/>
      <c r="T133" s="366"/>
      <c r="U133" s="366"/>
      <c r="V133" s="366"/>
      <c r="W133" s="366"/>
      <c r="X133" s="366"/>
      <c r="Y133" s="366"/>
      <c r="Z133" s="366"/>
      <c r="AA133" s="366"/>
      <c r="AB133" s="366"/>
      <c r="AC133" s="366"/>
      <c r="AD133" s="366"/>
      <c r="AE133" s="366"/>
      <c r="AF133" s="366"/>
      <c r="AG133" s="366"/>
      <c r="AH133" s="366"/>
      <c r="AI133" s="366"/>
      <c r="AJ133" s="36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482</v>
      </c>
      <c r="H144" s="207" t="s">
        <v>526</v>
      </c>
      <c r="I144" s="207" t="s">
        <v>593</v>
      </c>
      <c r="J144" s="207" t="s">
        <v>594</v>
      </c>
      <c r="K144" s="207" t="s">
        <v>583</v>
      </c>
      <c r="L144" s="209" t="s">
        <v>565</v>
      </c>
      <c r="M144" s="207" t="s">
        <v>528</v>
      </c>
      <c r="N144" s="209" t="s">
        <v>531</v>
      </c>
      <c r="O144" s="207" t="s">
        <v>560</v>
      </c>
      <c r="P144" s="210" t="s">
        <v>552</v>
      </c>
      <c r="Q144" s="207" t="s">
        <v>535</v>
      </c>
      <c r="R144" s="209" t="s">
        <v>564</v>
      </c>
      <c r="S144" s="209" t="s">
        <v>559</v>
      </c>
      <c r="T144" s="209" t="s">
        <v>556</v>
      </c>
      <c r="U144" s="209" t="s">
        <v>562</v>
      </c>
      <c r="V144" s="210" t="s">
        <v>561</v>
      </c>
      <c r="W144" s="210" t="s">
        <v>544</v>
      </c>
      <c r="X144" s="210" t="s">
        <v>580</v>
      </c>
      <c r="Y144" s="210" t="s">
        <v>545</v>
      </c>
      <c r="Z144" s="210" t="s">
        <v>547</v>
      </c>
      <c r="AA144" s="210" t="s">
        <v>546</v>
      </c>
      <c r="AB144" s="210" t="s">
        <v>540</v>
      </c>
      <c r="AC144" s="232" t="s">
        <v>542</v>
      </c>
      <c r="AD144" s="210" t="s">
        <v>541</v>
      </c>
      <c r="AE144" s="207" t="s">
        <v>543</v>
      </c>
      <c r="AF144" s="210" t="s">
        <v>538</v>
      </c>
      <c r="AG144" s="210" t="s">
        <v>568</v>
      </c>
      <c r="AH144" s="210" t="s">
        <v>569</v>
      </c>
      <c r="AI144" s="210" t="s">
        <v>570</v>
      </c>
      <c r="AJ144" s="210" t="s">
        <v>581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488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481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596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595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529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582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66" t="s">
        <v>57</v>
      </c>
      <c r="D154" s="366"/>
      <c r="E154" s="366"/>
      <c r="F154" s="36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366"/>
      <c r="S154" s="366"/>
      <c r="T154" s="366"/>
      <c r="U154" s="366"/>
      <c r="V154" s="366"/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66" t="s">
        <v>472</v>
      </c>
      <c r="D156" s="366"/>
      <c r="E156" s="366"/>
      <c r="F156" s="36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366"/>
      <c r="S156" s="366"/>
      <c r="T156" s="366"/>
      <c r="U156" s="366"/>
      <c r="V156" s="366"/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25"/>
      <c r="AL156" s="25"/>
    </row>
    <row r="160" spans="2:42" x14ac:dyDescent="0.2">
      <c r="C160" s="366" t="s">
        <v>469</v>
      </c>
      <c r="D160" s="366"/>
      <c r="E160" s="366"/>
      <c r="F160" s="366"/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482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526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527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530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583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565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528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531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560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552</v>
      </c>
      <c r="C176" s="252">
        <f>P155</f>
        <v>0</v>
      </c>
      <c r="D176" s="259" t="s">
        <v>476</v>
      </c>
      <c r="E176" s="252">
        <v>286.88405520213911</v>
      </c>
      <c r="F176" s="171" t="s">
        <v>478</v>
      </c>
      <c r="G176" s="252">
        <f t="shared" si="42"/>
        <v>286.88405520213911</v>
      </c>
      <c r="H176" s="171" t="s">
        <v>478</v>
      </c>
      <c r="I176" s="252">
        <v>0</v>
      </c>
      <c r="J176" s="259" t="s">
        <v>479</v>
      </c>
      <c r="K176" s="252">
        <f t="shared" si="43"/>
        <v>0</v>
      </c>
    </row>
    <row r="177" spans="2:18" x14ac:dyDescent="0.2">
      <c r="B177" s="204" t="s">
        <v>535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564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559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556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562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561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544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580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545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547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546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540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542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541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543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538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568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569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570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581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475</v>
      </c>
      <c r="E197" s="3" t="s">
        <v>477</v>
      </c>
      <c r="G197" s="25" t="s">
        <v>474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66" t="s">
        <v>480</v>
      </c>
      <c r="D200" s="366"/>
      <c r="E200" s="366"/>
      <c r="F200" s="366"/>
      <c r="G200" s="366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579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558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557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483</v>
      </c>
      <c r="E210" s="252">
        <f t="shared" si="47"/>
        <v>208.55560337725498</v>
      </c>
      <c r="F210" s="171" t="s">
        <v>479</v>
      </c>
      <c r="G210" s="252">
        <f t="shared" si="48"/>
        <v>0</v>
      </c>
    </row>
    <row r="211" spans="2:11" x14ac:dyDescent="0.2">
      <c r="B211" s="204" t="s">
        <v>463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473</v>
      </c>
      <c r="D217" s="171"/>
      <c r="E217" s="171" t="s">
        <v>470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66" t="s">
        <v>423</v>
      </c>
      <c r="AD50" s="366"/>
      <c r="AE50" s="36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66" t="s">
        <v>421</v>
      </c>
      <c r="L53" s="366"/>
      <c r="M53" s="366"/>
      <c r="N53" s="366"/>
      <c r="O53" s="366"/>
      <c r="P53" s="366"/>
      <c r="Q53" s="366"/>
      <c r="R53" s="366"/>
      <c r="S53" s="366"/>
      <c r="T53" s="366"/>
      <c r="U53" s="366"/>
      <c r="V53" s="366"/>
      <c r="W53" s="366"/>
      <c r="AD53" s="25"/>
      <c r="AE53" s="25"/>
      <c r="AF53" s="25"/>
      <c r="AG53" s="25"/>
      <c r="AH53" s="25"/>
      <c r="AI53" s="25"/>
    </row>
    <row r="58" spans="2:35" x14ac:dyDescent="0.2">
      <c r="C58" s="367"/>
      <c r="D58" s="36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66" t="s">
        <v>422</v>
      </c>
      <c r="D73" s="366"/>
      <c r="E73" s="366"/>
      <c r="F73" s="366"/>
      <c r="G73" s="366"/>
      <c r="H73" s="366"/>
      <c r="I73" s="366"/>
      <c r="J73" s="36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66" t="s">
        <v>57</v>
      </c>
      <c r="D92" s="366"/>
      <c r="E92" s="366"/>
      <c r="F92" s="366"/>
      <c r="G92" s="36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97" t="s">
        <v>318</v>
      </c>
      <c r="E2" s="297"/>
      <c r="F2" s="297"/>
      <c r="G2" s="297"/>
      <c r="V2" s="166"/>
    </row>
    <row r="3" spans="2:22" x14ac:dyDescent="0.2">
      <c r="B3" s="3"/>
      <c r="C3" s="3"/>
      <c r="D3" s="369" t="s">
        <v>83</v>
      </c>
      <c r="E3" s="369"/>
      <c r="F3" s="369"/>
      <c r="G3" s="36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74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1" t="s">
        <v>356</v>
      </c>
      <c r="S4" s="371"/>
      <c r="T4" s="371"/>
      <c r="U4" s="371"/>
      <c r="V4" s="166"/>
    </row>
    <row r="5" spans="2:22" ht="14.5" customHeight="1" x14ac:dyDescent="0.2">
      <c r="B5" s="374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1"/>
      <c r="S5" s="371"/>
      <c r="T5" s="371"/>
      <c r="U5" s="371"/>
      <c r="V5" s="166"/>
    </row>
    <row r="6" spans="2:22" x14ac:dyDescent="0.2">
      <c r="B6" s="374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1"/>
      <c r="S6" s="371"/>
      <c r="T6" s="371"/>
      <c r="U6" s="371"/>
      <c r="V6" s="166"/>
    </row>
    <row r="7" spans="2:22" ht="16" thickBot="1" x14ac:dyDescent="0.25">
      <c r="B7" s="374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2"/>
      <c r="S7" s="372"/>
      <c r="T7" s="372"/>
      <c r="U7" s="372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1" t="s">
        <v>355</v>
      </c>
      <c r="Q8" s="387"/>
      <c r="R8" s="389" t="s">
        <v>342</v>
      </c>
      <c r="S8" s="390"/>
      <c r="T8" s="375" t="s">
        <v>409</v>
      </c>
      <c r="U8" s="376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1"/>
      <c r="Q9" s="387"/>
      <c r="R9" s="391"/>
      <c r="S9" s="392"/>
      <c r="T9" s="377"/>
      <c r="U9" s="378"/>
      <c r="V9" s="166"/>
    </row>
    <row r="10" spans="2:22" x14ac:dyDescent="0.2">
      <c r="L10" s="3"/>
      <c r="M10" s="3"/>
      <c r="O10" s="166"/>
      <c r="P10" s="371"/>
      <c r="Q10" s="387"/>
      <c r="R10" s="391"/>
      <c r="S10" s="392"/>
      <c r="T10" s="377"/>
      <c r="U10" s="378"/>
      <c r="V10" s="166"/>
    </row>
    <row r="11" spans="2:22" x14ac:dyDescent="0.2">
      <c r="B11" s="3"/>
      <c r="C11" s="3"/>
      <c r="D11" s="297" t="s">
        <v>318</v>
      </c>
      <c r="E11" s="297"/>
      <c r="F11" s="297"/>
      <c r="G11" s="297"/>
      <c r="H11" s="297"/>
      <c r="L11" s="3"/>
      <c r="M11" s="3"/>
      <c r="O11" s="166"/>
      <c r="P11" s="371"/>
      <c r="Q11" s="387"/>
      <c r="R11" s="391"/>
      <c r="S11" s="392"/>
      <c r="T11" s="377"/>
      <c r="U11" s="378"/>
      <c r="V11" s="166"/>
    </row>
    <row r="12" spans="2:22" x14ac:dyDescent="0.2">
      <c r="B12" s="3"/>
      <c r="C12" s="3"/>
      <c r="D12" s="369" t="s">
        <v>83</v>
      </c>
      <c r="E12" s="369"/>
      <c r="F12" s="369"/>
      <c r="G12" s="369"/>
      <c r="H12" s="369"/>
      <c r="L12" s="3"/>
      <c r="M12" s="3"/>
      <c r="O12" s="166"/>
      <c r="P12" s="388" t="s">
        <v>408</v>
      </c>
      <c r="Q12" s="387"/>
      <c r="R12" s="383" t="s">
        <v>317</v>
      </c>
      <c r="S12" s="384"/>
      <c r="T12" s="379" t="s">
        <v>343</v>
      </c>
      <c r="U12" s="380"/>
      <c r="V12" s="166"/>
    </row>
    <row r="13" spans="2:22" ht="14.5" customHeight="1" x14ac:dyDescent="0.2">
      <c r="B13" s="373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1"/>
      <c r="Q13" s="387"/>
      <c r="R13" s="383"/>
      <c r="S13" s="384"/>
      <c r="T13" s="379"/>
      <c r="U13" s="380"/>
      <c r="V13" s="166"/>
    </row>
    <row r="14" spans="2:22" x14ac:dyDescent="0.2">
      <c r="B14" s="373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1"/>
      <c r="Q14" s="387"/>
      <c r="R14" s="383"/>
      <c r="S14" s="384"/>
      <c r="T14" s="379"/>
      <c r="U14" s="380"/>
      <c r="V14" s="166"/>
    </row>
    <row r="15" spans="2:22" ht="16" thickBot="1" x14ac:dyDescent="0.25">
      <c r="B15" s="373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1"/>
      <c r="Q15" s="387"/>
      <c r="R15" s="385"/>
      <c r="S15" s="386"/>
      <c r="T15" s="381"/>
      <c r="U15" s="382"/>
      <c r="V15" s="166"/>
    </row>
    <row r="16" spans="2:22" x14ac:dyDescent="0.2">
      <c r="B16" s="373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97" t="s">
        <v>318</v>
      </c>
      <c r="E19" s="297"/>
      <c r="F19" s="297"/>
      <c r="G19" s="297"/>
      <c r="L19" s="3"/>
      <c r="M19" s="3"/>
    </row>
    <row r="20" spans="2:13" x14ac:dyDescent="0.2">
      <c r="B20" s="3"/>
      <c r="C20" s="3"/>
      <c r="D20" s="369" t="s">
        <v>83</v>
      </c>
      <c r="E20" s="369"/>
      <c r="F20" s="369"/>
      <c r="G20" s="369"/>
      <c r="K20" s="3"/>
      <c r="L20" s="3"/>
    </row>
    <row r="21" spans="2:13" x14ac:dyDescent="0.2">
      <c r="B21" s="370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70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70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70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68" t="s">
        <v>405</v>
      </c>
      <c r="D30" s="195" t="s">
        <v>81</v>
      </c>
      <c r="E30" s="195" t="s">
        <v>353</v>
      </c>
    </row>
    <row r="31" spans="2:13" x14ac:dyDescent="0.2">
      <c r="B31" s="368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68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68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93" t="s">
        <v>357</v>
      </c>
      <c r="F3" s="393"/>
      <c r="G3" s="393"/>
      <c r="H3"/>
      <c r="I3"/>
      <c r="L3" s="366" t="s">
        <v>449</v>
      </c>
      <c r="M3" s="366"/>
      <c r="N3" s="366"/>
      <c r="P3"/>
      <c r="T3" s="171" t="s">
        <v>448</v>
      </c>
    </row>
    <row r="4" spans="3:20" ht="16" thickBot="1" x14ac:dyDescent="0.25">
      <c r="E4" s="369" t="s">
        <v>11</v>
      </c>
      <c r="F4" s="369"/>
      <c r="G4" s="369"/>
      <c r="H4"/>
      <c r="I4"/>
      <c r="L4" s="369" t="s">
        <v>48</v>
      </c>
      <c r="M4" s="369"/>
      <c r="N4" s="369"/>
      <c r="P4"/>
      <c r="T4" s="3" t="s">
        <v>48</v>
      </c>
    </row>
    <row r="5" spans="3:20" ht="14.5" customHeight="1" thickBot="1" x14ac:dyDescent="0.25">
      <c r="C5" s="374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74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74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66" t="s">
        <v>449</v>
      </c>
      <c r="M9" s="366"/>
      <c r="N9" s="366"/>
      <c r="O9" s="366"/>
    </row>
    <row r="10" spans="3:20" x14ac:dyDescent="0.2">
      <c r="E10" s="393" t="s">
        <v>357</v>
      </c>
      <c r="F10" s="393"/>
      <c r="L10" s="369" t="s">
        <v>48</v>
      </c>
      <c r="M10" s="369"/>
      <c r="N10" s="369"/>
      <c r="O10" s="369"/>
    </row>
    <row r="11" spans="3:20" x14ac:dyDescent="0.2">
      <c r="E11" s="369" t="s">
        <v>11</v>
      </c>
      <c r="F11" s="369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3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3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3"/>
      <c r="D14" s="155" t="s">
        <v>23</v>
      </c>
      <c r="E14" s="3" t="s">
        <v>99</v>
      </c>
      <c r="F14" s="3">
        <f>Kiln_CO2Waste</f>
        <v>478.57864826468187</v>
      </c>
      <c r="L14" s="366" t="s">
        <v>449</v>
      </c>
      <c r="M14" s="366"/>
      <c r="N14" s="366"/>
    </row>
    <row r="15" spans="3:20" x14ac:dyDescent="0.2">
      <c r="C15" s="373"/>
      <c r="D15" s="3" t="s">
        <v>19</v>
      </c>
      <c r="E15" s="17">
        <f>SUM(E13:E14)</f>
        <v>0</v>
      </c>
      <c r="F15" s="17">
        <f>SUM(F13:F14)</f>
        <v>483.56340080977998</v>
      </c>
      <c r="L15" s="369" t="s">
        <v>48</v>
      </c>
      <c r="M15" s="369"/>
      <c r="N15" s="369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66" t="s">
        <v>449</v>
      </c>
      <c r="M19" s="366"/>
    </row>
    <row r="20" spans="3:16" x14ac:dyDescent="0.2">
      <c r="C20" s="370" t="s">
        <v>354</v>
      </c>
      <c r="E20" s="156" t="s">
        <v>351</v>
      </c>
      <c r="L20" s="369" t="s">
        <v>48</v>
      </c>
      <c r="M20" s="369"/>
    </row>
    <row r="21" spans="3:16" ht="14.5" customHeight="1" x14ac:dyDescent="0.2">
      <c r="C21" s="370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70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7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96" t="s">
        <v>70</v>
      </c>
      <c r="I2" s="296"/>
      <c r="J2" s="296"/>
      <c r="K2" s="296"/>
      <c r="L2" s="296"/>
      <c r="M2" s="296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96" t="s">
        <v>74</v>
      </c>
      <c r="I3" s="296"/>
      <c r="J3" s="296"/>
      <c r="K3" s="13"/>
      <c r="L3" s="310" t="s">
        <v>75</v>
      </c>
      <c r="M3" s="310"/>
      <c r="N3" s="7"/>
      <c r="AN3" s="395" t="s">
        <v>78</v>
      </c>
      <c r="AO3" s="395"/>
      <c r="AP3" s="395"/>
      <c r="AQ3" s="395"/>
      <c r="AR3" s="395"/>
      <c r="AS3" s="395"/>
      <c r="AT3" s="395"/>
      <c r="AU3" s="395"/>
      <c r="AV3" s="395"/>
      <c r="AW3" s="395"/>
      <c r="AX3" s="395"/>
      <c r="AY3" s="395"/>
      <c r="AZ3" s="395"/>
      <c r="BA3" s="395"/>
      <c r="BB3" s="395"/>
      <c r="BC3" s="395"/>
      <c r="BD3" s="395"/>
      <c r="BE3" s="395"/>
      <c r="BF3" s="395"/>
      <c r="BG3" s="395"/>
      <c r="BH3" s="395"/>
      <c r="BI3" s="395"/>
      <c r="BJ3" s="395"/>
      <c r="BK3" s="395"/>
    </row>
    <row r="4" spans="3:69" ht="17" x14ac:dyDescent="0.25">
      <c r="C4" s="13" t="s">
        <v>11</v>
      </c>
      <c r="D4" s="13" t="s">
        <v>76</v>
      </c>
      <c r="E4" s="13"/>
      <c r="F4" s="13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96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96"/>
      <c r="J5" s="296"/>
      <c r="K5" s="296"/>
      <c r="L5" s="296"/>
      <c r="M5" s="296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95"/>
      <c r="BF5" s="395"/>
      <c r="BG5" s="395"/>
      <c r="BH5" s="395"/>
      <c r="BI5" s="395"/>
      <c r="BJ5" s="395"/>
      <c r="BK5" s="39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94">
        <v>6</v>
      </c>
      <c r="BJ10" s="394"/>
      <c r="BK10" s="394"/>
      <c r="BL10" s="394"/>
      <c r="BM10" s="394"/>
      <c r="BN10" s="394"/>
      <c r="BO10" s="394"/>
      <c r="BP10" s="394"/>
      <c r="BQ10" s="394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94"/>
      <c r="BJ11" s="394"/>
      <c r="BK11" s="394"/>
      <c r="BL11" s="394"/>
      <c r="BM11" s="394"/>
      <c r="BN11" s="394"/>
      <c r="BO11" s="394"/>
      <c r="BP11" s="394"/>
      <c r="BQ11" s="39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96" t="s">
        <v>113</v>
      </c>
    </row>
    <row r="18" spans="3:87" ht="18.5" customHeight="1" x14ac:dyDescent="0.25">
      <c r="BI18" s="39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9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9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9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9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0">
        <v>1</v>
      </c>
      <c r="D28" s="400"/>
      <c r="E28" s="400"/>
      <c r="F28" s="400"/>
      <c r="G28" s="400"/>
      <c r="H28" s="400"/>
      <c r="I28" s="400"/>
      <c r="J28" s="400"/>
      <c r="K28" s="400"/>
      <c r="L28" s="400"/>
      <c r="M28" s="400"/>
      <c r="N28" s="400"/>
      <c r="O28" s="400"/>
      <c r="P28" s="1"/>
      <c r="Q28" s="1"/>
      <c r="R28" s="1"/>
      <c r="S28" s="1"/>
      <c r="T28" s="1"/>
      <c r="U28" s="1"/>
      <c r="V28" s="1"/>
      <c r="W28" s="399">
        <v>3</v>
      </c>
      <c r="X28" s="399"/>
      <c r="Y28" s="399"/>
      <c r="Z28" s="399"/>
      <c r="AA28" s="399"/>
      <c r="AB28" s="399"/>
      <c r="AC28" s="399"/>
      <c r="AD28" s="399"/>
      <c r="AE28" s="399"/>
      <c r="AF28" s="399"/>
      <c r="AG28" s="39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0">
        <v>4</v>
      </c>
      <c r="AU28" s="400"/>
      <c r="AV28" s="400"/>
      <c r="AW28" s="400"/>
      <c r="AX28" s="400"/>
      <c r="AY28" s="400"/>
      <c r="AZ28" s="400"/>
      <c r="BA28" s="400"/>
      <c r="BB28" s="400"/>
      <c r="BC28" s="400"/>
      <c r="BD28" s="400"/>
      <c r="BE28" s="400"/>
      <c r="BF28" s="400"/>
      <c r="BG28" s="400"/>
      <c r="BH28" s="400"/>
      <c r="BI28" s="400"/>
      <c r="BT28" s="400">
        <v>5</v>
      </c>
      <c r="BU28" s="400"/>
      <c r="BV28" s="400"/>
      <c r="BW28" s="400"/>
      <c r="BX28" s="400"/>
      <c r="BY28" s="400"/>
      <c r="BZ28" s="400"/>
      <c r="CA28" s="400"/>
      <c r="CB28" s="400"/>
      <c r="CC28" s="400"/>
      <c r="CD28" s="400"/>
      <c r="CE28" s="400"/>
      <c r="CF28" s="400"/>
      <c r="CG28" s="400"/>
      <c r="CH28" s="400"/>
      <c r="CI28" s="40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9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9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9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9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97" t="s">
        <v>80</v>
      </c>
      <c r="AK37" s="397"/>
      <c r="AL37" s="397"/>
      <c r="AM37" s="397"/>
      <c r="AN37" s="397"/>
      <c r="AO37" s="39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97" t="s">
        <v>81</v>
      </c>
      <c r="S38" s="397"/>
      <c r="T38" s="397"/>
      <c r="U38" s="39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97"/>
      <c r="AK38" s="397"/>
      <c r="AL38" s="397"/>
      <c r="AM38" s="397"/>
      <c r="AN38" s="397"/>
      <c r="AO38" s="39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97" t="s">
        <v>98</v>
      </c>
      <c r="BM38" s="397"/>
      <c r="BN38" s="397"/>
      <c r="BO38" s="39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97"/>
      <c r="S39" s="397"/>
      <c r="T39" s="397"/>
      <c r="U39" s="39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97"/>
      <c r="AK39" s="397"/>
      <c r="AL39" s="397"/>
      <c r="AM39" s="397"/>
      <c r="AN39" s="397"/>
      <c r="AO39" s="397"/>
      <c r="AP39" s="51"/>
      <c r="AQ39" s="51"/>
      <c r="AR39" s="1"/>
      <c r="AS39" s="1"/>
      <c r="AT39" s="1"/>
      <c r="AU39" s="1"/>
      <c r="AV39" s="1"/>
      <c r="AW39" s="1"/>
      <c r="AX39" s="1"/>
      <c r="BL39" s="397"/>
      <c r="BM39" s="397"/>
      <c r="BN39" s="397"/>
      <c r="BO39" s="39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97"/>
      <c r="S40" s="397"/>
      <c r="T40" s="397"/>
      <c r="U40" s="39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97"/>
      <c r="AK40" s="397"/>
      <c r="AL40" s="397"/>
      <c r="AM40" s="397"/>
      <c r="AN40" s="397"/>
      <c r="AO40" s="397"/>
      <c r="AP40" s="51"/>
      <c r="AQ40" s="51"/>
      <c r="AR40" s="1"/>
      <c r="AS40" s="56"/>
      <c r="AT40" s="1"/>
      <c r="AU40" s="1"/>
      <c r="AV40" s="1"/>
      <c r="AW40" s="1"/>
      <c r="AX40" s="1"/>
      <c r="BL40" s="397"/>
      <c r="BM40" s="397"/>
      <c r="BN40" s="397"/>
      <c r="BO40" s="39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97"/>
      <c r="AK41" s="397"/>
      <c r="AL41" s="397"/>
      <c r="AM41" s="397"/>
      <c r="AN41" s="397"/>
      <c r="AO41" s="39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2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97"/>
      <c r="AK42" s="397"/>
      <c r="AL42" s="397"/>
      <c r="AM42" s="397"/>
      <c r="AN42" s="397"/>
      <c r="AO42" s="39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0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2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3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0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3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1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1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1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99">
        <v>2</v>
      </c>
      <c r="D57" s="399"/>
      <c r="E57" s="399"/>
      <c r="F57" s="399"/>
      <c r="G57" s="399"/>
      <c r="H57" s="399"/>
      <c r="I57" s="399"/>
      <c r="J57" s="399"/>
      <c r="K57" s="399"/>
      <c r="L57" s="399"/>
      <c r="M57" s="399"/>
      <c r="N57" s="399"/>
      <c r="O57" s="39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297" t="s">
        <v>318</v>
      </c>
      <c r="E4" s="297"/>
      <c r="F4" s="297"/>
      <c r="G4" s="297"/>
      <c r="H4" s="166"/>
      <c r="I4" s="166"/>
      <c r="P4" s="166"/>
      <c r="Q4" s="166"/>
      <c r="R4" s="166"/>
      <c r="S4" s="371" t="s">
        <v>356</v>
      </c>
      <c r="T4" s="371"/>
      <c r="U4" s="371"/>
      <c r="V4" s="371"/>
      <c r="W4" s="166"/>
    </row>
    <row r="5" spans="1:23" x14ac:dyDescent="0.2">
      <c r="A5" s="166"/>
      <c r="B5" s="168"/>
      <c r="C5" s="168"/>
      <c r="D5" s="369" t="s">
        <v>83</v>
      </c>
      <c r="E5" s="369"/>
      <c r="F5" s="369"/>
      <c r="G5" s="369"/>
      <c r="H5" s="166"/>
      <c r="I5" s="166"/>
      <c r="P5" s="166"/>
      <c r="Q5" s="166"/>
      <c r="R5" s="166"/>
      <c r="S5" s="371"/>
      <c r="T5" s="371"/>
      <c r="U5" s="371"/>
      <c r="V5" s="371"/>
      <c r="W5" s="166"/>
    </row>
    <row r="6" spans="1:23" ht="15" customHeight="1" x14ac:dyDescent="0.2">
      <c r="A6" s="166"/>
      <c r="B6" s="374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1"/>
      <c r="T6" s="371"/>
      <c r="U6" s="371"/>
      <c r="V6" s="371"/>
      <c r="W6" s="166"/>
    </row>
    <row r="7" spans="1:23" ht="16" thickBot="1" x14ac:dyDescent="0.25">
      <c r="A7" s="166"/>
      <c r="B7" s="374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2"/>
      <c r="T7" s="372"/>
      <c r="U7" s="372"/>
      <c r="V7" s="372"/>
      <c r="W7" s="166"/>
    </row>
    <row r="8" spans="1:23" x14ac:dyDescent="0.2">
      <c r="A8" s="166"/>
      <c r="B8" s="374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1" t="s">
        <v>355</v>
      </c>
      <c r="R8" s="387"/>
      <c r="S8" s="389" t="s">
        <v>342</v>
      </c>
      <c r="T8" s="390"/>
      <c r="U8" s="375" t="s">
        <v>409</v>
      </c>
      <c r="V8" s="376"/>
      <c r="W8" s="166"/>
    </row>
    <row r="9" spans="1:23" x14ac:dyDescent="0.2">
      <c r="A9" s="166"/>
      <c r="B9" s="374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1"/>
      <c r="R9" s="387"/>
      <c r="S9" s="391"/>
      <c r="T9" s="392"/>
      <c r="U9" s="377"/>
      <c r="V9" s="378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1"/>
      <c r="R10" s="387"/>
      <c r="S10" s="391"/>
      <c r="T10" s="392"/>
      <c r="U10" s="377"/>
      <c r="V10" s="378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1"/>
      <c r="R11" s="387"/>
      <c r="S11" s="391"/>
      <c r="T11" s="392"/>
      <c r="U11" s="377"/>
      <c r="V11" s="378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02" t="s">
        <v>408</v>
      </c>
      <c r="R12" s="387"/>
      <c r="S12" s="383" t="s">
        <v>317</v>
      </c>
      <c r="T12" s="384"/>
      <c r="U12" s="379" t="s">
        <v>343</v>
      </c>
      <c r="V12" s="380"/>
      <c r="W12" s="166"/>
    </row>
    <row r="13" spans="1:23" x14ac:dyDescent="0.2">
      <c r="A13" s="166"/>
      <c r="B13" s="168"/>
      <c r="C13" s="168"/>
      <c r="D13" s="297" t="s">
        <v>318</v>
      </c>
      <c r="E13" s="297"/>
      <c r="F13" s="297"/>
      <c r="G13" s="297"/>
      <c r="H13" s="297"/>
      <c r="I13" s="166"/>
      <c r="P13" s="166"/>
      <c r="Q13" s="371"/>
      <c r="R13" s="387"/>
      <c r="S13" s="383"/>
      <c r="T13" s="384"/>
      <c r="U13" s="379"/>
      <c r="V13" s="380"/>
      <c r="W13" s="166"/>
    </row>
    <row r="14" spans="1:23" ht="15" customHeight="1" x14ac:dyDescent="0.2">
      <c r="A14" s="166"/>
      <c r="B14" s="168"/>
      <c r="C14" s="168"/>
      <c r="D14" s="369" t="s">
        <v>83</v>
      </c>
      <c r="E14" s="369"/>
      <c r="F14" s="369"/>
      <c r="G14" s="369"/>
      <c r="H14" s="369"/>
      <c r="I14" s="166"/>
      <c r="P14" s="166"/>
      <c r="Q14" s="371"/>
      <c r="R14" s="387"/>
      <c r="S14" s="383"/>
      <c r="T14" s="384"/>
      <c r="U14" s="379"/>
      <c r="V14" s="380"/>
      <c r="W14" s="166"/>
    </row>
    <row r="15" spans="1:23" ht="16" thickBot="1" x14ac:dyDescent="0.25">
      <c r="A15" s="166"/>
      <c r="B15" s="373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1"/>
      <c r="R15" s="387"/>
      <c r="S15" s="385"/>
      <c r="T15" s="386"/>
      <c r="U15" s="381"/>
      <c r="V15" s="382"/>
      <c r="W15" s="166"/>
    </row>
    <row r="16" spans="1:23" x14ac:dyDescent="0.2">
      <c r="A16" s="166"/>
      <c r="B16" s="373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3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3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297" t="s">
        <v>318</v>
      </c>
      <c r="E21" s="297"/>
      <c r="F21" s="297"/>
      <c r="G21" s="297"/>
      <c r="H21" s="166"/>
      <c r="I21" s="166"/>
    </row>
    <row r="22" spans="1:12" ht="15" customHeight="1" x14ac:dyDescent="0.2">
      <c r="A22" s="166"/>
      <c r="B22" s="168"/>
      <c r="C22" s="168"/>
      <c r="D22" s="369" t="s">
        <v>83</v>
      </c>
      <c r="E22" s="369"/>
      <c r="F22" s="369"/>
      <c r="G22" s="369"/>
      <c r="H22" s="166"/>
      <c r="I22" s="166"/>
    </row>
    <row r="23" spans="1:12" x14ac:dyDescent="0.2">
      <c r="A23" s="166"/>
      <c r="B23" s="370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70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70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70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68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68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68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68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266</vt:i4>
      </vt:variant>
    </vt:vector>
  </HeadingPairs>
  <TitlesOfParts>
    <vt:vector size="278" baseType="lpstr">
      <vt:lpstr>Constants</vt:lpstr>
      <vt:lpstr>BF Calculator</vt:lpstr>
      <vt:lpstr>Fuel Exergy</vt:lpstr>
      <vt:lpstr>Ore-&gt;PI</vt:lpstr>
      <vt:lpstr>Energy X</vt:lpstr>
      <vt:lpstr>MCC B RUVY matrices (mat level)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R_B</vt:lpstr>
      <vt:lpstr>r_eiou_B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S_units_B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U_B</vt:lpstr>
      <vt:lpstr>U_eiou_B</vt:lpstr>
      <vt:lpstr>U_eiou_M</vt:lpstr>
      <vt:lpstr>U_feed_B</vt:lpstr>
      <vt:lpstr>U_feed_M</vt:lpstr>
      <vt:lpstr>U_M</vt:lpstr>
      <vt:lpstr>V_B</vt:lpstr>
      <vt:lpstr>V_M</vt:lpstr>
      <vt:lpstr>Y_B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2025-07-03T19:26:38Z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