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3ADD2621-2D02-FA46-A9CA-508D1EF0C6E6}" xr6:coauthVersionLast="47" xr6:coauthVersionMax="47" xr10:uidLastSave="{00000000-0000-0000-0000-000000000000}"/>
  <bookViews>
    <workbookView xWindow="0" yWindow="0" windowWidth="51200" windowHeight="28800" activeTab="5" xr2:uid="{B56C0490-30AA-4047-9BD3-68F16EDF25FC}"/>
  </bookViews>
  <sheets>
    <sheet name="Constants" sheetId="3" r:id="rId1"/>
    <sheet name="BF Calculator" sheetId="11" r:id="rId2"/>
    <sheet name="Ore-&gt;PI" sheetId="9" r:id="rId3"/>
    <sheet name="Energy X" sheetId="17" r:id="rId4"/>
    <sheet name="MCC B RUVY matrices (mat" sheetId="20" r:id="rId5"/>
    <sheet name="MCC m RUVY matrices (mat level)" sheetId="15" r:id="rId6"/>
    <sheet name="Energy RUVY matrices" sheetId="18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al_to_kJ">Constants!$U$6</definedName>
    <definedName name="CH4_into_Kiln">'BF Calculator'!$C$51</definedName>
    <definedName name="CH4_Kiln_out">'BF Calculator'!$L$62</definedName>
    <definedName name="CH4_out_COtreatment">'BF Calculator'!$Z$88</definedName>
    <definedName name="CH4_to_BF">'BF Calculator'!$Z$99</definedName>
    <definedName name="CH4_to_coke_oven">'BF Calculator'!$AH$99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Kiln_Out_ADD">'BF Calculator'!$L$59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Kiln_Out">'BF Calculator'!$L$60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'Ore-&gt;PI'!$BN$145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'Ore-&gt;PI'!$BN$144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B">'MCC B RUVY matrices (mat'!$F$149:$AM$157</definedName>
    <definedName name="r_eiou_B">'MCC B RUVY matrices (mat'!$BL$2:$BY$35</definedName>
    <definedName name="r_eiou_m">'MCC m RUVY matrices (mat level)'!$BI$2:$BV$35</definedName>
    <definedName name="R_m">'MCC m RUVY matrices (mat level)'!$C$145:$AJ$153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B">'MCC B RUVY matrices (mat'!$C$2:$C$35</definedName>
    <definedName name="S_units_m">'MCC m RUVY matrices (mat level)'!$C$2:$C$35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B">'MCC B RUVY matrices (mat'!$AS$83:$BF$116</definedName>
    <definedName name="U_eiou_B">'MCC B RUVY matrices (mat'!$AS$2:$BF$35</definedName>
    <definedName name="U_eiou_m">'MCC m RUVY matrices (mat level)'!$AP$2:$BC$35</definedName>
    <definedName name="U_feed_B">'MCC B RUVY matrices (mat'!$AS$40:$BF$73</definedName>
    <definedName name="U_feed_m">'MCC m RUVY matrices (mat level)'!$AP$40:$BC$73</definedName>
    <definedName name="U_m">'MCC m RUVY matrices (mat level)'!$AP$79:$BC$112</definedName>
    <definedName name="V_B">'MCC B RUVY matrices (mat'!$F$121:$AM$134</definedName>
    <definedName name="V_m">'MCC m RUVY matrices (mat level)'!$C$117:$AJ$130</definedName>
    <definedName name="Y_B">'MCC B RUVY matrices (mat'!$BL$83:$BM$116</definedName>
    <definedName name="Y_m">'MCC m RUVY matrices (mat level)'!$BI$79:$BJ$112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41" i="15" l="1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B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CS237" i="9"/>
  <c r="BZ210" i="9"/>
  <c r="AO75" i="11"/>
  <c r="AO79" i="11"/>
  <c r="AM79" i="11"/>
  <c r="CU247" i="9"/>
  <c r="CU248" i="9"/>
  <c r="CU249" i="9"/>
  <c r="CU246" i="9"/>
  <c r="CT249" i="9"/>
  <c r="CS249" i="9"/>
  <c r="CT248" i="9"/>
  <c r="CS248" i="9"/>
  <c r="CT247" i="9"/>
  <c r="CS247" i="9"/>
  <c r="CT246" i="9"/>
  <c r="CS246" i="9"/>
  <c r="CA219" i="9"/>
  <c r="CB219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S45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B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E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S40" i="20"/>
  <c r="BE105" i="20"/>
  <c r="BE62" i="20" s="1"/>
  <c r="BE108" i="20"/>
  <c r="BD109" i="20"/>
  <c r="BD66" i="20" s="1"/>
  <c r="BB103" i="20"/>
  <c r="AZ99" i="20"/>
  <c r="AZ56" i="20" s="1"/>
  <c r="AY98" i="20"/>
  <c r="AY55" i="20" s="1"/>
  <c r="AW94" i="20"/>
  <c r="AW51" i="20" s="1"/>
  <c r="AV92" i="20"/>
  <c r="AV49" i="20" s="1"/>
  <c r="AT84" i="20"/>
  <c r="AT41" i="20" s="1"/>
  <c r="AS83" i="20"/>
  <c r="BD91" i="20"/>
  <c r="BD48" i="20" s="1"/>
  <c r="AS88" i="20"/>
  <c r="K80" i="11"/>
  <c r="J80" i="11"/>
  <c r="I80" i="11"/>
  <c r="H80" i="11"/>
  <c r="AE104" i="11"/>
  <c r="Q77" i="11"/>
  <c r="Q76" i="11"/>
  <c r="S77" i="11"/>
  <c r="S76" i="11" s="1"/>
  <c r="Q81" i="11"/>
  <c r="Q85" i="11"/>
  <c r="Q89" i="11"/>
  <c r="AH101" i="11"/>
  <c r="AL98" i="11"/>
  <c r="AD98" i="11"/>
  <c r="Z98" i="11"/>
  <c r="AA91" i="11"/>
  <c r="Z91" i="11"/>
  <c r="AA87" i="11" s="1"/>
  <c r="AC87" i="11"/>
  <c r="AC88" i="11"/>
  <c r="AC90" i="11"/>
  <c r="AC89" i="11"/>
  <c r="AM84" i="11"/>
  <c r="AM83" i="11"/>
  <c r="AO76" i="11"/>
  <c r="AH88" i="11"/>
  <c r="AH84" i="11"/>
  <c r="AJ84" i="11"/>
  <c r="AJ80" i="11"/>
  <c r="AH76" i="11"/>
  <c r="CL145" i="9"/>
  <c r="AO130" i="9"/>
  <c r="CL143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BG116" i="20"/>
  <c r="J200" i="20" s="1"/>
  <c r="BG115" i="20"/>
  <c r="J199" i="20" s="1"/>
  <c r="BG114" i="20"/>
  <c r="J198" i="20" s="1"/>
  <c r="BN113" i="20"/>
  <c r="BG111" i="20"/>
  <c r="J195" i="20" s="1"/>
  <c r="BG110" i="20"/>
  <c r="J194" i="20" s="1"/>
  <c r="BN109" i="20"/>
  <c r="BN108" i="20"/>
  <c r="BG107" i="20"/>
  <c r="J191" i="20" s="1"/>
  <c r="BG106" i="20"/>
  <c r="J190" i="20" s="1"/>
  <c r="BN105" i="20"/>
  <c r="BN104" i="20"/>
  <c r="BN103" i="20"/>
  <c r="BG102" i="20"/>
  <c r="J186" i="20" s="1"/>
  <c r="BN101" i="20"/>
  <c r="BN100" i="20"/>
  <c r="BN99" i="20"/>
  <c r="BN98" i="20"/>
  <c r="BG97" i="20"/>
  <c r="J181" i="20" s="1"/>
  <c r="BN96" i="20"/>
  <c r="BG95" i="20"/>
  <c r="J179" i="20" s="1"/>
  <c r="BN94" i="20"/>
  <c r="BG93" i="20"/>
  <c r="J177" i="20" s="1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G248" i="11" s="1"/>
  <c r="AH148" i="9"/>
  <c r="P13" i="3"/>
  <c r="Q13" i="3" s="1"/>
  <c r="U6" i="3"/>
  <c r="M223" i="11"/>
  <c r="M222" i="11"/>
  <c r="G223" i="11" s="1"/>
  <c r="E40" i="3"/>
  <c r="O155" i="9" s="1"/>
  <c r="BH260" i="9"/>
  <c r="BI260" i="9" s="1"/>
  <c r="D103" i="11"/>
  <c r="D105" i="11" s="1"/>
  <c r="C104" i="11"/>
  <c r="F100" i="1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18" i="3"/>
  <c r="BR230" i="9" s="1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BG130" i="9"/>
  <c r="N12" i="13" s="1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M60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J217" i="11" l="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E103" i="11"/>
  <c r="D112" i="11"/>
  <c r="AF211" i="9"/>
  <c r="AF214" i="9"/>
  <c r="E152" i="11"/>
  <c r="O152" i="11"/>
  <c r="D32" i="3"/>
  <c r="J112" i="11"/>
  <c r="EA157" i="9"/>
  <c r="EH238" i="9"/>
  <c r="BR25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N91" i="11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E102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E100" i="11"/>
  <c r="C100" i="11" s="1"/>
  <c r="D8" i="3"/>
  <c r="E189" i="11"/>
  <c r="E80" i="11"/>
  <c r="D12" i="3"/>
  <c r="DY159" i="9"/>
  <c r="BP213" i="9"/>
  <c r="O186" i="11"/>
  <c r="E101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CJ144" i="9"/>
  <c r="M61" i="11"/>
  <c r="BR156" i="9"/>
  <c r="CJ145" i="9"/>
  <c r="CL144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M62" i="1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CJ143" i="9"/>
  <c r="D110" i="11"/>
  <c r="BP258" i="9" a="1"/>
  <c r="BP258" i="9" s="1"/>
  <c r="BP259" i="9" s="1"/>
  <c r="M59" i="1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123" i="15" l="1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M5" i="3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CJ142" i="9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CL142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AC47" i="9"/>
  <c r="AX47" i="9"/>
  <c r="BP47" i="9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0" i="15" l="1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EY131" i="9"/>
  <c r="FA130" i="9" s="1"/>
  <c r="FA131" i="9" s="1"/>
  <c r="Z50" i="8"/>
  <c r="AA50" i="8" s="1"/>
  <c r="CH130" i="9"/>
  <c r="CK130" i="9" s="1"/>
  <c r="BM44" i="8"/>
  <c r="AL46" i="8"/>
  <c r="I36" i="11"/>
  <c r="L27" i="11" s="1"/>
  <c r="B51" i="11" s="1"/>
  <c r="C51" i="11" s="1"/>
  <c r="BO156" i="9" s="1"/>
  <c r="BN156" i="9" s="1"/>
  <c r="F12" i="17" s="1"/>
  <c r="G12" i="17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K130" i="9" l="1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U123" i="15" l="1"/>
  <c r="BB97" i="15"/>
  <c r="L47" i="9"/>
  <c r="BB101" i="15"/>
  <c r="R120" i="15"/>
  <c r="AK120" i="15" s="1"/>
  <c r="E206" i="15" s="1"/>
  <c r="AV94" i="15"/>
  <c r="U132" i="15"/>
  <c r="AK123" i="15"/>
  <c r="E209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N132" i="9" s="1"/>
  <c r="P131" i="9" s="1"/>
  <c r="Q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R132" i="15" l="1"/>
  <c r="K132" i="9"/>
  <c r="T126" i="9" s="1"/>
  <c r="L52" i="9"/>
  <c r="L117" i="15"/>
  <c r="L132" i="15" s="1"/>
  <c r="AV114" i="15"/>
  <c r="C209" i="15" s="1"/>
  <c r="BD94" i="15"/>
  <c r="AS88" i="15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D146" i="15"/>
  <c r="D155" i="15" s="1"/>
  <c r="C164" i="15" s="1"/>
  <c r="AQ80" i="15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P130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Y127" i="20" l="1"/>
  <c r="Y136" i="20" s="1"/>
  <c r="BF46" i="9"/>
  <c r="BM102" i="20"/>
  <c r="BN102" i="20" s="1"/>
  <c r="K63" i="9"/>
  <c r="F7" i="17"/>
  <c r="AR46" i="9"/>
  <c r="F7" i="14" s="1"/>
  <c r="BJ46" i="9"/>
  <c r="BM116" i="20"/>
  <c r="BN116" i="20" s="1"/>
  <c r="AM134" i="20"/>
  <c r="AM136" i="20" s="1"/>
  <c r="BG105" i="20"/>
  <c r="J189" i="20" s="1"/>
  <c r="AB130" i="20"/>
  <c r="AB136" i="20" s="1"/>
  <c r="BD88" i="15"/>
  <c r="AS114" i="15"/>
  <c r="C206" i="15" s="1"/>
  <c r="BD79" i="15"/>
  <c r="G163" i="15" s="1"/>
  <c r="G7" i="17"/>
  <c r="L63" i="9"/>
  <c r="N6" i="13"/>
  <c r="P27" i="9"/>
  <c r="D7" i="14" s="1"/>
  <c r="BV48" i="9"/>
  <c r="G7" i="14"/>
  <c r="F8" i="12"/>
  <c r="G73" i="11"/>
  <c r="G74" i="11" s="1"/>
  <c r="BN210" i="9" s="1"/>
  <c r="CF210" i="9"/>
  <c r="B74" i="11"/>
  <c r="Q130" i="9"/>
  <c r="R130" i="9" s="1"/>
  <c r="S130" i="9" s="1"/>
  <c r="T130" i="9" s="1"/>
  <c r="P115" i="9" s="1"/>
  <c r="P132" i="9"/>
  <c r="U48" i="9"/>
  <c r="U52" i="9" s="1"/>
  <c r="U42" i="9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I7" i="17" l="1"/>
  <c r="N27" i="9"/>
  <c r="BG83" i="20"/>
  <c r="J167" i="20" s="1"/>
  <c r="F149" i="20"/>
  <c r="F159" i="20" s="1"/>
  <c r="F167" i="20" s="1"/>
  <c r="H7" i="17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AR48" i="9" s="1"/>
  <c r="BE52" i="9"/>
  <c r="BE42" i="9" s="1"/>
  <c r="BW48" i="9"/>
  <c r="BW42" i="9" s="1"/>
  <c r="CF211" i="9"/>
  <c r="CO206" i="9" s="1"/>
  <c r="X127" i="20" l="1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U132" i="9"/>
  <c r="U126" i="9" s="1"/>
  <c r="L64" i="9"/>
  <c r="T59" i="9" s="1"/>
  <c r="N63" i="9"/>
  <c r="AF67" i="9" s="1"/>
  <c r="Z78" i="11"/>
  <c r="AC78" i="11" s="1"/>
  <c r="AH83" i="11" s="1"/>
  <c r="Z79" i="11"/>
  <c r="AC79" i="11" s="1"/>
  <c r="Z90" i="11" s="1"/>
  <c r="Z76" i="11"/>
  <c r="AC76" i="11" s="1"/>
  <c r="Z75" i="11"/>
  <c r="AC75" i="11" s="1"/>
  <c r="Z77" i="11"/>
  <c r="AC77" i="11" s="1"/>
  <c r="AH87" i="11" s="1"/>
  <c r="Z80" i="11"/>
  <c r="AC80" i="11" s="1"/>
  <c r="CF227" i="9"/>
  <c r="CF224" i="9" s="1"/>
  <c r="AV214" i="9" s="1"/>
  <c r="CO233" i="9"/>
  <c r="CT229" i="9" s="1"/>
  <c r="CU229" i="9" s="1"/>
  <c r="CW229" i="9" s="1"/>
  <c r="F9" i="14"/>
  <c r="I81" i="11"/>
  <c r="L80" i="11" s="1"/>
  <c r="C82" i="11"/>
  <c r="F82" i="11" s="1"/>
  <c r="Q88" i="11" s="1"/>
  <c r="C83" i="11"/>
  <c r="F83" i="11" s="1"/>
  <c r="Q84" i="11" s="1"/>
  <c r="C80" i="11"/>
  <c r="F80" i="11" s="1"/>
  <c r="C81" i="11"/>
  <c r="F81" i="11" s="1"/>
  <c r="C85" i="11"/>
  <c r="F85" i="11" s="1"/>
  <c r="Q80" i="11" s="1"/>
  <c r="C84" i="11"/>
  <c r="F84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BG101" i="20" l="1"/>
  <c r="J185" i="20" s="1"/>
  <c r="BE58" i="20"/>
  <c r="P116" i="9"/>
  <c r="BG84" i="20"/>
  <c r="J168" i="20" s="1"/>
  <c r="N115" i="9"/>
  <c r="G150" i="20"/>
  <c r="G159" i="20" s="1"/>
  <c r="F168" i="20" s="1"/>
  <c r="BG92" i="20"/>
  <c r="J176" i="20" s="1"/>
  <c r="AV118" i="20"/>
  <c r="F210" i="20" s="1"/>
  <c r="AN124" i="20"/>
  <c r="H210" i="20" s="1"/>
  <c r="U136" i="20"/>
  <c r="AY118" i="20"/>
  <c r="F213" i="20" s="1"/>
  <c r="BG98" i="20"/>
  <c r="J182" i="20" s="1"/>
  <c r="X136" i="20"/>
  <c r="AN127" i="20"/>
  <c r="H213" i="20" s="1"/>
  <c r="AP84" i="15"/>
  <c r="G7" i="12"/>
  <c r="BD104" i="15"/>
  <c r="G188" i="15" s="1"/>
  <c r="BB114" i="15"/>
  <c r="C215" i="15" s="1"/>
  <c r="AC127" i="15"/>
  <c r="AC132" i="15" s="1"/>
  <c r="BA105" i="15"/>
  <c r="AF68" i="9"/>
  <c r="N76" i="9"/>
  <c r="N77" i="9" s="1"/>
  <c r="N64" i="9"/>
  <c r="P63" i="9" s="1"/>
  <c r="Q63" i="9" s="1"/>
  <c r="R63" i="9" s="1"/>
  <c r="S63" i="9" s="1"/>
  <c r="T63" i="9" s="1"/>
  <c r="U63" i="9" s="1"/>
  <c r="U64" i="9" s="1"/>
  <c r="U59" i="9" s="1"/>
  <c r="G178" i="15"/>
  <c r="AD214" i="9"/>
  <c r="K214" i="9" s="1"/>
  <c r="N214" i="9" s="1"/>
  <c r="BN214" i="9"/>
  <c r="CI240" i="9"/>
  <c r="CI242" i="9"/>
  <c r="AC81" i="11"/>
  <c r="AD76" i="11" s="1"/>
  <c r="AJ79" i="11"/>
  <c r="CY240" i="9"/>
  <c r="DB240" i="9" s="1"/>
  <c r="AJ75" i="11"/>
  <c r="AH75" i="11"/>
  <c r="AM80" i="11" s="1"/>
  <c r="AJ76" i="11"/>
  <c r="AJ88" i="11"/>
  <c r="AJ87" i="11" s="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5" i="11"/>
  <c r="S84" i="11" s="1"/>
  <c r="S81" i="11"/>
  <c r="S80" i="11" s="1"/>
  <c r="S89" i="11"/>
  <c r="S88" i="11" s="1"/>
  <c r="F6" i="12"/>
  <c r="G6" i="12"/>
  <c r="F86" i="11"/>
  <c r="CK210" i="9"/>
  <c r="CL210" i="9" s="1"/>
  <c r="CM210" i="9" s="1"/>
  <c r="CN210" i="9" s="1"/>
  <c r="J213" i="20" l="1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CK238" i="9" s="1"/>
  <c r="CL238" i="9" s="1"/>
  <c r="CM238" i="9" s="1"/>
  <c r="CN238" i="9" s="1"/>
  <c r="CO238" i="9" s="1"/>
  <c r="CP238" i="9" s="1"/>
  <c r="G175" i="15"/>
  <c r="AD216" i="9"/>
  <c r="K216" i="9" s="1"/>
  <c r="N216" i="9" s="1"/>
  <c r="BN216" i="9"/>
  <c r="AD213" i="9"/>
  <c r="K213" i="9" s="1"/>
  <c r="N213" i="9" s="1"/>
  <c r="BN213" i="9"/>
  <c r="AD211" i="9"/>
  <c r="K211" i="9" s="1"/>
  <c r="N211" i="9" s="1"/>
  <c r="BN211" i="9"/>
  <c r="AD212" i="9"/>
  <c r="K212" i="9" s="1"/>
  <c r="N212" i="9" s="1"/>
  <c r="BN212" i="9"/>
  <c r="BQ214" i="9"/>
  <c r="AD215" i="9"/>
  <c r="K215" i="9" s="1"/>
  <c r="N215" i="9" s="1"/>
  <c r="BN215" i="9"/>
  <c r="Z89" i="11"/>
  <c r="CG221" i="9"/>
  <c r="AD79" i="11"/>
  <c r="AD80" i="11"/>
  <c r="AD75" i="11"/>
  <c r="AD77" i="11"/>
  <c r="AD78" i="11"/>
  <c r="Z88" i="11"/>
  <c r="I82" i="11"/>
  <c r="CO210" i="9"/>
  <c r="CP210" i="9" s="1"/>
  <c r="D8" i="14" l="1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CK239" i="9"/>
  <c r="CL239" i="9" s="1"/>
  <c r="CM239" i="9" s="1"/>
  <c r="CN239" i="9" s="1"/>
  <c r="CO239" i="9" s="1"/>
  <c r="AF69" i="9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J83" i="11"/>
  <c r="F102" i="11" s="1"/>
  <c r="C102" i="11" s="1"/>
  <c r="H83" i="11"/>
  <c r="F101" i="11" s="1"/>
  <c r="C101" i="11" s="1"/>
  <c r="K83" i="11"/>
  <c r="F103" i="11" s="1"/>
  <c r="C103" i="11" s="1"/>
  <c r="F91" i="11"/>
  <c r="C91" i="11" s="1"/>
  <c r="L83" i="11"/>
  <c r="BQ210" i="9" s="1"/>
  <c r="CP211" i="9"/>
  <c r="CP206" i="9" s="1"/>
  <c r="CB218" i="9" l="1"/>
  <c r="C105" i="11"/>
  <c r="CO243" i="9"/>
  <c r="AE131" i="20"/>
  <c r="AE136" i="20" s="1"/>
  <c r="CK243" i="9"/>
  <c r="AP82" i="15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M210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CP239" i="9"/>
  <c r="CP243" i="9" s="1"/>
  <c r="CP233" i="9" s="1"/>
  <c r="AC210" i="9"/>
  <c r="E147" i="15"/>
  <c r="E155" i="15" s="1"/>
  <c r="C165" i="15" s="1"/>
  <c r="AR81" i="15"/>
  <c r="CI223" i="9"/>
  <c r="AY213" i="9"/>
  <c r="Z87" i="11" l="1"/>
  <c r="AC91" i="11"/>
  <c r="AF131" i="20"/>
  <c r="AF136" i="20" s="1"/>
  <c r="BG108" i="20"/>
  <c r="J192" i="20" s="1"/>
  <c r="BE118" i="20"/>
  <c r="F219" i="20" s="1"/>
  <c r="BD81" i="15"/>
  <c r="AZ100" i="15"/>
  <c r="BD100" i="15" s="1"/>
  <c r="G184" i="15" s="1"/>
  <c r="AP114" i="15"/>
  <c r="C203" i="15" s="1"/>
  <c r="BN258" i="9"/>
  <c r="F14" i="17" s="1"/>
  <c r="X125" i="15"/>
  <c r="F229" i="9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CY237" i="9"/>
  <c r="BI35" i="9"/>
  <c r="F8" i="17" s="1"/>
  <c r="J36" i="11"/>
  <c r="AV130" i="9"/>
  <c r="AD130" i="9"/>
  <c r="AG130" i="9" s="1"/>
  <c r="AB195" i="9" l="1"/>
  <c r="AU91" i="20" s="1"/>
  <c r="AU48" i="20" s="1"/>
  <c r="G14" i="17"/>
  <c r="I14" i="17" s="1"/>
  <c r="H14" i="17"/>
  <c r="BG109" i="20"/>
  <c r="J193" i="20" s="1"/>
  <c r="BD118" i="20"/>
  <c r="F218" i="20" s="1"/>
  <c r="X132" i="15"/>
  <c r="AK125" i="15"/>
  <c r="E211" i="15" s="1"/>
  <c r="BO258" i="9"/>
  <c r="C110" i="11" s="1"/>
  <c r="BN259" i="9"/>
  <c r="H229" i="9"/>
  <c r="K226" i="9"/>
  <c r="F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DB237" i="9"/>
  <c r="CY241" i="9"/>
  <c r="G8" i="17"/>
  <c r="I8" i="17" s="1"/>
  <c r="H8" i="17"/>
  <c r="AD131" i="9"/>
  <c r="I35" i="11" s="1"/>
  <c r="DW134" i="9"/>
  <c r="DZ132" i="9"/>
  <c r="AV131" i="9"/>
  <c r="AY130" i="9"/>
  <c r="BN130" i="9"/>
  <c r="G13" i="17" l="1"/>
  <c r="I13" i="17" s="1"/>
  <c r="H13" i="17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BJ89" i="15"/>
  <c r="E8" i="12"/>
  <c r="M117" i="15"/>
  <c r="AK117" i="15" s="1"/>
  <c r="EF126" i="9"/>
  <c r="DX131" i="9"/>
  <c r="DX130" i="9"/>
  <c r="DX132" i="9"/>
  <c r="DX133" i="9"/>
  <c r="K227" i="9"/>
  <c r="L226" i="9"/>
  <c r="AD70" i="9"/>
  <c r="AL70" i="9"/>
  <c r="AM67" i="9"/>
  <c r="AM70" i="9" s="1"/>
  <c r="AM63" i="9" s="1"/>
  <c r="E110" i="11"/>
  <c r="K111" i="11" s="1"/>
  <c r="BQ259" i="9"/>
  <c r="G186" i="15"/>
  <c r="CZ237" i="9"/>
  <c r="DW160" i="9"/>
  <c r="DH233" i="9"/>
  <c r="CZ238" i="9"/>
  <c r="CZ240" i="9"/>
  <c r="CZ239" i="9"/>
  <c r="DB241" i="9"/>
  <c r="G35" i="11"/>
  <c r="N35" i="11" s="1"/>
  <c r="DR120" i="9"/>
  <c r="DW118" i="9" s="1"/>
  <c r="EM117" i="9"/>
  <c r="F16" i="17" s="1"/>
  <c r="G16" i="17" s="1"/>
  <c r="DR107" i="9"/>
  <c r="DW105" i="9" s="1"/>
  <c r="F18" i="17" s="1"/>
  <c r="G18" i="17" s="1"/>
  <c r="DQ131" i="9"/>
  <c r="AQ113" i="9"/>
  <c r="F143" i="9"/>
  <c r="H143" i="9" s="1"/>
  <c r="F157" i="9"/>
  <c r="K155" i="9" s="1"/>
  <c r="F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AG132" i="9" s="1"/>
  <c r="AI130" i="9" s="1"/>
  <c r="AJ130" i="9" s="1"/>
  <c r="AK130" i="9" s="1"/>
  <c r="AL130" i="9" s="1"/>
  <c r="BN131" i="9"/>
  <c r="BQ130" i="9"/>
  <c r="BH115" i="9"/>
  <c r="BJ115" i="9" s="1"/>
  <c r="BH114" i="9"/>
  <c r="BJ114" i="9" s="1"/>
  <c r="AY131" i="9"/>
  <c r="AY132" i="9" s="1"/>
  <c r="BA130" i="9" s="1"/>
  <c r="BH113" i="9"/>
  <c r="AV132" i="9"/>
  <c r="BE126" i="9" s="1"/>
  <c r="DZ134" i="9"/>
  <c r="EB132" i="9" s="1"/>
  <c r="EC132" i="9" s="1"/>
  <c r="ED132" i="9" s="1"/>
  <c r="EE132" i="9" s="1"/>
  <c r="EF132" i="9" s="1"/>
  <c r="AS113" i="9" l="1"/>
  <c r="AW91" i="20" s="1"/>
  <c r="AW48" i="20" s="1"/>
  <c r="DX118" i="9"/>
  <c r="C280" i="11" s="1"/>
  <c r="F17" i="17"/>
  <c r="G17" i="17" s="1"/>
  <c r="V46" i="9"/>
  <c r="L6" i="13" s="1"/>
  <c r="P121" i="20"/>
  <c r="BM93" i="20"/>
  <c r="BN93" i="20" s="1"/>
  <c r="F28" i="17"/>
  <c r="H18" i="17"/>
  <c r="H28" i="17" s="1"/>
  <c r="G10" i="17"/>
  <c r="F27" i="17"/>
  <c r="H10" i="17"/>
  <c r="H27" i="17" s="1"/>
  <c r="AG129" i="15"/>
  <c r="AK129" i="15" s="1"/>
  <c r="E215" i="15" s="1"/>
  <c r="BC109" i="15"/>
  <c r="BD109" i="15" s="1"/>
  <c r="G193" i="15" s="1"/>
  <c r="S121" i="15"/>
  <c r="AK121" i="15" s="1"/>
  <c r="E207" i="15" s="1"/>
  <c r="AW95" i="15"/>
  <c r="AF128" i="15"/>
  <c r="AK128" i="15" s="1"/>
  <c r="E214" i="15" s="1"/>
  <c r="P136" i="20"/>
  <c r="AN121" i="20"/>
  <c r="H207" i="20" s="1"/>
  <c r="AT90" i="15"/>
  <c r="N118" i="15"/>
  <c r="N132" i="15" s="1"/>
  <c r="M132" i="15"/>
  <c r="E203" i="15"/>
  <c r="F149" i="9"/>
  <c r="K144" i="9" s="1"/>
  <c r="F9" i="17" s="1"/>
  <c r="F24" i="17" s="1"/>
  <c r="L227" i="9"/>
  <c r="T222" i="9" s="1"/>
  <c r="C222" i="11"/>
  <c r="N226" i="9"/>
  <c r="N227" i="9" s="1"/>
  <c r="P226" i="9" s="1"/>
  <c r="Q226" i="9" s="1"/>
  <c r="R226" i="9" s="1"/>
  <c r="S226" i="9" s="1"/>
  <c r="T226" i="9" s="1"/>
  <c r="DW106" i="9"/>
  <c r="DX105" i="9"/>
  <c r="E280" i="11"/>
  <c r="DW119" i="9"/>
  <c r="L155" i="9"/>
  <c r="K156" i="9"/>
  <c r="I111" i="11"/>
  <c r="C116" i="11"/>
  <c r="K110" i="11"/>
  <c r="E111" i="11" s="1"/>
  <c r="BX259" i="9"/>
  <c r="BX254" i="9" s="1"/>
  <c r="BC87" i="20" s="1"/>
  <c r="BC44" i="20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G9" i="17"/>
  <c r="EO117" i="9"/>
  <c r="DT107" i="9"/>
  <c r="DT120" i="9"/>
  <c r="D34" i="12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N146" i="9" s="1"/>
  <c r="AM130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G11" i="17" s="1"/>
  <c r="BQ131" i="9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S130" i="9" l="1"/>
  <c r="I9" i="17"/>
  <c r="I24" i="17" s="1"/>
  <c r="G24" i="17"/>
  <c r="BF91" i="20"/>
  <c r="BF48" i="20" s="1"/>
  <c r="G28" i="17"/>
  <c r="I18" i="17"/>
  <c r="I28" i="17" s="1"/>
  <c r="S132" i="15"/>
  <c r="G27" i="17"/>
  <c r="I10" i="17"/>
  <c r="I27" i="17" s="1"/>
  <c r="AF132" i="15"/>
  <c r="AT114" i="15"/>
  <c r="C207" i="15" s="1"/>
  <c r="BD90" i="15"/>
  <c r="G174" i="15" s="1"/>
  <c r="AW114" i="15"/>
  <c r="C210" i="15" s="1"/>
  <c r="BD95" i="15"/>
  <c r="G179" i="15" s="1"/>
  <c r="AR84" i="15"/>
  <c r="BC108" i="15"/>
  <c r="U226" i="9"/>
  <c r="U227" i="9" s="1"/>
  <c r="U222" i="9" s="1"/>
  <c r="AU88" i="20" s="1"/>
  <c r="AU45" i="20" s="1"/>
  <c r="T227" i="9"/>
  <c r="E222" i="11"/>
  <c r="K280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H9" i="17"/>
  <c r="H24" i="17" s="1"/>
  <c r="DI238" i="9"/>
  <c r="CV239" i="9" s="1"/>
  <c r="DI237" i="9"/>
  <c r="DH241" i="9"/>
  <c r="DD241" i="9"/>
  <c r="I17" i="17"/>
  <c r="H17" i="17"/>
  <c r="H16" i="17"/>
  <c r="BW126" i="9"/>
  <c r="F17" i="12"/>
  <c r="F16" i="14"/>
  <c r="F39" i="11"/>
  <c r="G39" i="11" s="1"/>
  <c r="O38" i="11" s="1"/>
  <c r="E35" i="11"/>
  <c r="E39" i="11" s="1"/>
  <c r="V14" i="11" s="1"/>
  <c r="I38" i="1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W124" i="15" l="1"/>
  <c r="AY99" i="15"/>
  <c r="BD99" i="15" s="1"/>
  <c r="G183" i="15" s="1"/>
  <c r="BC83" i="15"/>
  <c r="I151" i="15"/>
  <c r="I155" i="15" s="1"/>
  <c r="C169" i="15" s="1"/>
  <c r="AQ85" i="15"/>
  <c r="BC86" i="15"/>
  <c r="BD86" i="15" s="1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I11" i="17"/>
  <c r="H11" i="17"/>
  <c r="I16" i="17"/>
  <c r="BI130" i="9"/>
  <c r="G17" i="12" s="1"/>
  <c r="BN144" i="9"/>
  <c r="BW140" i="9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BD85" i="15" l="1"/>
  <c r="G169" i="15" s="1"/>
  <c r="BX130" i="9"/>
  <c r="BK132" i="9" s="1"/>
  <c r="BK130" i="9"/>
  <c r="V125" i="20"/>
  <c r="AS131" i="9"/>
  <c r="CV238" i="9"/>
  <c r="AI132" i="20"/>
  <c r="AP130" i="9"/>
  <c r="Q122" i="20"/>
  <c r="Q136" i="20" s="1"/>
  <c r="AS132" i="9"/>
  <c r="F18" i="14" s="1"/>
  <c r="AG147" i="9"/>
  <c r="AG146" i="9"/>
  <c r="AY82" i="15"/>
  <c r="AQ84" i="15"/>
  <c r="H150" i="15"/>
  <c r="H155" i="15" s="1"/>
  <c r="C168" i="15" s="1"/>
  <c r="BN145" i="9"/>
  <c r="BO145" i="9" s="1"/>
  <c r="BO144" i="9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C60" i="11"/>
  <c r="BQ144" i="9"/>
  <c r="D16" i="12"/>
  <c r="I44" i="11"/>
  <c r="J39" i="11"/>
  <c r="J44" i="11" s="1"/>
  <c r="CH119" i="9"/>
  <c r="CQ114" i="9" s="1"/>
  <c r="D33" i="12"/>
  <c r="EG134" i="9"/>
  <c r="EG126" i="9" s="1"/>
  <c r="F17" i="14"/>
  <c r="CK119" i="9"/>
  <c r="CM118" i="9" s="1"/>
  <c r="CN118" i="9" s="1"/>
  <c r="BS132" i="9"/>
  <c r="BW132" i="9"/>
  <c r="BD84" i="15" l="1"/>
  <c r="G168" i="15" s="1"/>
  <c r="CH145" i="9"/>
  <c r="CK145" i="9" s="1"/>
  <c r="BF87" i="20"/>
  <c r="BF44" i="20" s="1"/>
  <c r="BF90" i="20"/>
  <c r="M156" i="20"/>
  <c r="M159" i="20" s="1"/>
  <c r="F174" i="20" s="1"/>
  <c r="AW118" i="20"/>
  <c r="F211" i="20" s="1"/>
  <c r="BG94" i="20"/>
  <c r="J178" i="20" s="1"/>
  <c r="AN132" i="20"/>
  <c r="H218" i="20" s="1"/>
  <c r="J218" i="20" s="1"/>
  <c r="AI136" i="20"/>
  <c r="AT89" i="20"/>
  <c r="L155" i="20"/>
  <c r="L159" i="20" s="1"/>
  <c r="F173" i="20" s="1"/>
  <c r="BG99" i="20"/>
  <c r="J183" i="20" s="1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BQ145" i="9"/>
  <c r="BQ146" i="9" s="1"/>
  <c r="C61" i="11"/>
  <c r="E61" i="11" s="1"/>
  <c r="N61" i="11" s="1"/>
  <c r="AG132" i="15"/>
  <c r="AG231" i="9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C113" i="11"/>
  <c r="I113" i="11"/>
  <c r="BK100" i="15"/>
  <c r="F13" i="13"/>
  <c r="BK89" i="15"/>
  <c r="C54" i="11"/>
  <c r="D54" i="11" s="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BG113" i="20" l="1"/>
  <c r="J197" i="20" s="1"/>
  <c r="BF70" i="20"/>
  <c r="BG89" i="20"/>
  <c r="J173" i="20" s="1"/>
  <c r="AT46" i="20"/>
  <c r="BG90" i="20"/>
  <c r="J174" i="20" s="1"/>
  <c r="BF47" i="20"/>
  <c r="BS144" i="9"/>
  <c r="BG103" i="20"/>
  <c r="J187" i="20" s="1"/>
  <c r="BK131" i="9"/>
  <c r="Z128" i="20"/>
  <c r="BH130" i="9"/>
  <c r="J211" i="20"/>
  <c r="AT88" i="20"/>
  <c r="K154" i="20"/>
  <c r="K159" i="20" s="1"/>
  <c r="F172" i="20" s="1"/>
  <c r="Z130" i="9"/>
  <c r="AN133" i="20"/>
  <c r="H219" i="20" s="1"/>
  <c r="J219" i="20" s="1"/>
  <c r="AJ136" i="20"/>
  <c r="L61" i="11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BS145" i="9"/>
  <c r="BT145" i="9" s="1"/>
  <c r="BU145" i="9" s="1"/>
  <c r="BV145" i="9" s="1"/>
  <c r="BW145" i="9" s="1"/>
  <c r="BX145" i="9" s="1"/>
  <c r="G17" i="14"/>
  <c r="G14" i="12"/>
  <c r="G16" i="12"/>
  <c r="D32" i="12"/>
  <c r="CR118" i="9"/>
  <c r="CR119" i="9" s="1"/>
  <c r="CR114" i="9" s="1"/>
  <c r="CQ119" i="9"/>
  <c r="BG88" i="20" l="1"/>
  <c r="J172" i="20" s="1"/>
  <c r="AT45" i="20"/>
  <c r="AN128" i="20"/>
  <c r="H214" i="20" s="1"/>
  <c r="J214" i="20" s="1"/>
  <c r="Z136" i="20"/>
  <c r="BT144" i="9"/>
  <c r="BU144" i="9" s="1"/>
  <c r="BV144" i="9" s="1"/>
  <c r="BW144" i="9" s="1"/>
  <c r="BX144" i="9" s="1"/>
  <c r="BX146" i="9" s="1"/>
  <c r="BX140" i="9" s="1"/>
  <c r="BB86" i="20" s="1"/>
  <c r="BB43" i="20" s="1"/>
  <c r="BS146" i="9"/>
  <c r="AC130" i="20"/>
  <c r="AC136" i="20" s="1"/>
  <c r="BM106" i="20"/>
  <c r="BN106" i="20" s="1"/>
  <c r="AQ82" i="15"/>
  <c r="AR82" i="15"/>
  <c r="AR114" i="15" s="1"/>
  <c r="C205" i="15" s="1"/>
  <c r="AG233" i="9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L169" i="9" l="1"/>
  <c r="U168" i="9"/>
  <c r="U169" i="9" s="1"/>
  <c r="U163" i="9" s="1"/>
  <c r="BW146" i="9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AB187" i="9"/>
  <c r="AB192" i="9"/>
  <c r="AG216" i="9"/>
  <c r="AT86" i="20" l="1"/>
  <c r="Z132" i="9"/>
  <c r="AE147" i="9"/>
  <c r="AM142" i="9"/>
  <c r="AE146" i="9"/>
  <c r="AE148" i="9"/>
  <c r="E18" i="14"/>
  <c r="E16" i="12"/>
  <c r="AI149" i="9"/>
  <c r="AJ146" i="9"/>
  <c r="AK146" i="9" s="1"/>
  <c r="AL146" i="9" s="1"/>
  <c r="AM146" i="9" s="1"/>
  <c r="AG215" i="9"/>
  <c r="AG214" i="9"/>
  <c r="CI224" i="9"/>
  <c r="AY215" i="9"/>
  <c r="AT118" i="20" l="1"/>
  <c r="F208" i="20" s="1"/>
  <c r="AT43" i="20"/>
  <c r="O118" i="15"/>
  <c r="X130" i="9"/>
  <c r="E17" i="12" s="1"/>
  <c r="BJ91" i="15"/>
  <c r="O132" i="15"/>
  <c r="AM149" i="9"/>
  <c r="AN146" i="9"/>
  <c r="AN149" i="9" s="1"/>
  <c r="AN142" i="9" s="1"/>
  <c r="AE149" i="9"/>
  <c r="AY211" i="9"/>
  <c r="CI225" i="9"/>
  <c r="R122" i="20" l="1"/>
  <c r="V130" i="9"/>
  <c r="BM95" i="20"/>
  <c r="BN95" i="20" s="1"/>
  <c r="Z131" i="9"/>
  <c r="W130" i="9"/>
  <c r="R136" i="20"/>
  <c r="AN122" i="20"/>
  <c r="H208" i="20" s="1"/>
  <c r="J208" i="20" s="1"/>
  <c r="AK118" i="15"/>
  <c r="E204" i="15" s="1"/>
  <c r="L12" i="13"/>
  <c r="CI221" i="9"/>
  <c r="CO217" i="9"/>
  <c r="E21" i="13" s="1"/>
  <c r="E23" i="13" s="1"/>
  <c r="CG223" i="9"/>
  <c r="CG226" i="9"/>
  <c r="CG224" i="9"/>
  <c r="CG225" i="9"/>
  <c r="CG222" i="9"/>
  <c r="CI222" i="9"/>
  <c r="CI227" i="9" s="1"/>
  <c r="CK221" i="9" s="1"/>
  <c r="AD127" i="15" l="1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CK227" i="9" l="1"/>
  <c r="CO227" i="9"/>
  <c r="CP227" i="9"/>
  <c r="CP217" i="9" s="1"/>
  <c r="AV217" i="9"/>
  <c r="AY212" i="9"/>
  <c r="AG131" i="20" l="1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T122" i="15" l="1"/>
  <c r="T132" i="15" s="1"/>
  <c r="AX96" i="15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BG91" i="20"/>
  <c r="J175" i="20" s="1"/>
  <c r="N157" i="20"/>
  <c r="N159" i="20" s="1"/>
  <c r="F175" i="20" s="1"/>
  <c r="AX114" i="15"/>
  <c r="C211" i="15" s="1"/>
  <c r="BD96" i="15"/>
  <c r="G180" i="15" s="1"/>
  <c r="P119" i="15"/>
  <c r="P132" i="15" s="1"/>
  <c r="AU92" i="15"/>
  <c r="G173" i="15"/>
  <c r="G170" i="15"/>
  <c r="G165" i="15"/>
  <c r="G24" i="14"/>
  <c r="AQ210" i="9"/>
  <c r="Y210" i="9"/>
  <c r="G22" i="12"/>
  <c r="G15" i="17" l="1"/>
  <c r="H15" i="17"/>
  <c r="H25" i="17" s="1"/>
  <c r="F25" i="17"/>
  <c r="AU114" i="15"/>
  <c r="C208" i="15" s="1"/>
  <c r="BD92" i="15"/>
  <c r="E25" i="12"/>
  <c r="F25" i="12"/>
  <c r="I15" i="17" l="1"/>
  <c r="I25" i="17" s="1"/>
  <c r="G25" i="17"/>
  <c r="CG227" i="9"/>
  <c r="C59" i="11"/>
  <c r="BQ156" i="9"/>
  <c r="BO157" i="9"/>
  <c r="BW152" i="9"/>
  <c r="G149" i="15" l="1"/>
  <c r="G155" i="15" s="1"/>
  <c r="C167" i="15" s="1"/>
  <c r="AY83" i="15"/>
  <c r="E59" i="11"/>
  <c r="C62" i="11"/>
  <c r="BS156" i="9"/>
  <c r="BT156" i="9" s="1"/>
  <c r="BU156" i="9" s="1"/>
  <c r="BV156" i="9" s="1"/>
  <c r="BW156" i="9" s="1"/>
  <c r="BW157" i="9" s="1"/>
  <c r="BQ157" i="9"/>
  <c r="G26" i="17" l="1"/>
  <c r="F26" i="17"/>
  <c r="BX156" i="9"/>
  <c r="BD83" i="15"/>
  <c r="AY114" i="15"/>
  <c r="C212" i="15" s="1"/>
  <c r="G167" i="15"/>
  <c r="H12" i="17"/>
  <c r="H26" i="17" s="1"/>
  <c r="I12" i="17"/>
  <c r="I26" i="17" s="1"/>
  <c r="BX157" i="9"/>
  <c r="E62" i="11"/>
  <c r="D51" i="11"/>
  <c r="BX152" i="9"/>
  <c r="BB87" i="20" l="1"/>
  <c r="BB44" i="20" s="1"/>
  <c r="J153" i="20"/>
  <c r="J159" i="20" s="1"/>
  <c r="F171" i="20" s="1"/>
  <c r="CC132" i="9"/>
  <c r="F61" i="11"/>
  <c r="F60" i="11"/>
  <c r="O59" i="11" s="1"/>
  <c r="F59" i="11"/>
  <c r="H18" i="14"/>
  <c r="N63" i="11"/>
  <c r="BG87" i="20" l="1"/>
  <c r="J171" i="20" s="1"/>
  <c r="BB118" i="20"/>
  <c r="F216" i="20" s="1"/>
  <c r="N59" i="11"/>
  <c r="L59" i="11" s="1"/>
  <c r="O60" i="11"/>
  <c r="N60" i="11" s="1"/>
  <c r="L60" i="11" s="1"/>
  <c r="F62" i="11"/>
  <c r="O63" i="11" s="1"/>
  <c r="O61" i="11"/>
  <c r="CH142" i="9"/>
  <c r="H16" i="12"/>
  <c r="CH144" i="9" l="1"/>
  <c r="L62" i="11"/>
  <c r="N62" i="11" s="1"/>
  <c r="O62" i="11" s="1"/>
  <c r="F14" i="13"/>
  <c r="F15" i="13" s="1"/>
  <c r="CK142" i="9"/>
  <c r="CK144" i="9"/>
  <c r="H51" i="11"/>
  <c r="CH143" i="9" l="1"/>
  <c r="AG232" i="9"/>
  <c r="CK143" i="9"/>
  <c r="CK146" i="9" s="1"/>
  <c r="CH146" i="9"/>
  <c r="L63" i="11"/>
  <c r="AG234" i="9" l="1"/>
  <c r="AI232" i="9" s="1"/>
  <c r="AJ232" i="9" s="1"/>
  <c r="AK232" i="9" s="1"/>
  <c r="AL232" i="9" s="1"/>
  <c r="AM232" i="9" s="1"/>
  <c r="CI143" i="9"/>
  <c r="AM227" i="9"/>
  <c r="CM145" i="9"/>
  <c r="CN145" i="9" s="1"/>
  <c r="CO145" i="9" s="1"/>
  <c r="CP145" i="9" s="1"/>
  <c r="CQ145" i="9" s="1"/>
  <c r="CR145" i="9" s="1"/>
  <c r="CM142" i="9"/>
  <c r="CI145" i="9"/>
  <c r="CQ138" i="9"/>
  <c r="CI142" i="9"/>
  <c r="CI144" i="9"/>
  <c r="CM144" i="9"/>
  <c r="CN144" i="9" s="1"/>
  <c r="CO144" i="9" s="1"/>
  <c r="CP144" i="9" s="1"/>
  <c r="CQ144" i="9" s="1"/>
  <c r="CR144" i="9" s="1"/>
  <c r="CM143" i="9"/>
  <c r="CN143" i="9" s="1"/>
  <c r="CO143" i="9" s="1"/>
  <c r="CP143" i="9" s="1"/>
  <c r="CQ143" i="9" s="1"/>
  <c r="CR143" i="9" s="1"/>
  <c r="Q119" i="15" l="1"/>
  <c r="AK119" i="15" s="1"/>
  <c r="E205" i="15" s="1"/>
  <c r="BJ93" i="15"/>
  <c r="BK93" i="15" s="1"/>
  <c r="AA126" i="15"/>
  <c r="AA132" i="15" s="1"/>
  <c r="BJ103" i="15"/>
  <c r="BK103" i="15" s="1"/>
  <c r="AK126" i="15"/>
  <c r="E212" i="15" s="1"/>
  <c r="Q132" i="15"/>
  <c r="AN232" i="9"/>
  <c r="AI231" i="9"/>
  <c r="AJ231" i="9" s="1"/>
  <c r="AK231" i="9" s="1"/>
  <c r="AL231" i="9" s="1"/>
  <c r="AM231" i="9" s="1"/>
  <c r="AN231" i="9" s="1"/>
  <c r="AI233" i="9"/>
  <c r="AJ233" i="9" s="1"/>
  <c r="AK233" i="9" s="1"/>
  <c r="AL233" i="9" s="1"/>
  <c r="AM233" i="9" s="1"/>
  <c r="AN233" i="9" s="1"/>
  <c r="AE234" i="9"/>
  <c r="CA130" i="9"/>
  <c r="H17" i="12" s="1"/>
  <c r="BK101" i="15"/>
  <c r="CM146" i="9"/>
  <c r="CN142" i="9"/>
  <c r="CO142" i="9" s="1"/>
  <c r="CP142" i="9" s="1"/>
  <c r="CQ142" i="9" s="1"/>
  <c r="CI146" i="9"/>
  <c r="AI234" i="9" l="1"/>
  <c r="AM234" i="9"/>
  <c r="AN234" i="9"/>
  <c r="AN227" i="9" s="1"/>
  <c r="CQ146" i="9"/>
  <c r="CR142" i="9"/>
  <c r="CR146" i="9" s="1"/>
  <c r="CR138" i="9" s="1"/>
  <c r="CC131" i="9" l="1"/>
  <c r="BZ130" i="9"/>
  <c r="BY130" i="9"/>
  <c r="W210" i="9"/>
  <c r="L17" i="13" s="1"/>
  <c r="BM97" i="20"/>
  <c r="BN97" i="20" s="1"/>
  <c r="T123" i="20"/>
  <c r="T136" i="20" s="1"/>
  <c r="AD130" i="20"/>
  <c r="BM107" i="20"/>
  <c r="BN107" i="20" s="1"/>
  <c r="O12" i="13"/>
  <c r="H17" i="14"/>
  <c r="AD136" i="20" l="1"/>
  <c r="AN130" i="20"/>
  <c r="H216" i="20" s="1"/>
  <c r="J216" i="20" s="1"/>
  <c r="H15" i="12"/>
  <c r="F92" i="11"/>
  <c r="C92" i="11" s="1"/>
  <c r="I91" i="11" l="1"/>
  <c r="F93" i="11"/>
  <c r="C93" i="11" s="1"/>
  <c r="J91" i="11" l="1"/>
  <c r="F94" i="11"/>
  <c r="C94" i="11" s="1"/>
  <c r="K91" i="11" s="1"/>
  <c r="L91" i="11" s="1"/>
  <c r="M91" i="11" s="1"/>
  <c r="BR210" i="9" s="1"/>
  <c r="BV210" i="9" s="1"/>
  <c r="BW210" i="9" s="1"/>
  <c r="J210" i="9"/>
  <c r="AU210" i="9"/>
  <c r="BX210" i="9" l="1"/>
  <c r="AZ210" i="9"/>
  <c r="AH210" i="9" s="1"/>
  <c r="O210" i="9" s="1"/>
  <c r="C96" i="11"/>
  <c r="D93" i="11" l="1"/>
  <c r="D92" i="11"/>
  <c r="D95" i="11"/>
  <c r="D91" i="11"/>
  <c r="D94" i="11"/>
  <c r="N210" i="9"/>
  <c r="AG210" i="9"/>
  <c r="AY210" i="9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C104" i="20" s="1"/>
  <c r="BC61" i="20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AA129" i="20" l="1"/>
  <c r="BG104" i="20"/>
  <c r="J188" i="20" s="1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AS210" i="9" l="1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BG85" i="20"/>
  <c r="J169" i="20" s="1"/>
  <c r="BA118" i="20"/>
  <c r="F215" i="20" s="1"/>
  <c r="J215" i="20" s="1"/>
  <c r="BG100" i="20"/>
  <c r="J184" i="20" s="1"/>
  <c r="AS211" i="9"/>
  <c r="F25" i="14" s="1"/>
  <c r="W136" i="20"/>
  <c r="AN126" i="20"/>
  <c r="H212" i="20" s="1"/>
  <c r="D24" i="12"/>
  <c r="D26" i="14"/>
  <c r="F23" i="12" l="1"/>
  <c r="BG96" i="20"/>
  <c r="J180" i="20" s="1"/>
  <c r="AX118" i="20"/>
  <c r="F212" i="20" s="1"/>
  <c r="J212" i="20" s="1"/>
  <c r="S136" i="20"/>
  <c r="AN123" i="20"/>
  <c r="H209" i="20" s="1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A90" i="11"/>
  <c r="AI101" i="11" s="1"/>
  <c r="AD90" i="11"/>
  <c r="BN232" i="9"/>
  <c r="C189" i="11"/>
  <c r="AK101" i="11"/>
  <c r="ED240" i="9"/>
  <c r="AA89" i="11"/>
  <c r="AD87" i="11"/>
  <c r="AD91" i="11" s="1"/>
  <c r="AA101" i="11"/>
  <c r="Z101" i="11" s="1"/>
  <c r="AA88" i="11"/>
  <c r="AI98" i="11" l="1"/>
  <c r="AH98" i="11" s="1"/>
  <c r="AA98" i="11"/>
  <c r="AI99" i="11"/>
  <c r="AA99" i="11"/>
  <c r="AI100" i="11"/>
  <c r="AH100" i="11" s="1"/>
  <c r="AA100" i="11"/>
  <c r="Z100" i="11" s="1"/>
  <c r="BQ232" i="9"/>
  <c r="AC101" i="11"/>
  <c r="C155" i="11"/>
  <c r="DW159" i="9"/>
  <c r="AC98" i="11"/>
  <c r="DW156" i="9"/>
  <c r="C152" i="11"/>
  <c r="EG240" i="9"/>
  <c r="F189" i="11"/>
  <c r="ED237" i="9"/>
  <c r="AK98" i="11"/>
  <c r="C186" i="11"/>
  <c r="BN229" i="9"/>
  <c r="F186" i="11" l="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F188" i="11" l="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Z157" i="9" l="1"/>
  <c r="DX157" i="9"/>
  <c r="AK102" i="11"/>
  <c r="AL99" i="11" s="1"/>
  <c r="AC102" i="1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189" i="11" l="1"/>
  <c r="D186" i="11"/>
  <c r="D188" i="11"/>
  <c r="BW225" i="9"/>
  <c r="AZ108" i="15" s="1"/>
  <c r="BD108" i="15" s="1"/>
  <c r="G192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C199" i="11" s="1"/>
  <c r="H199" i="11" s="1"/>
  <c r="H200" i="11" s="1"/>
  <c r="F190" i="11"/>
  <c r="G187" i="11" s="1"/>
  <c r="E200" i="11"/>
  <c r="E199" i="11" s="1"/>
  <c r="J199" i="11" s="1"/>
  <c r="J200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BS230" i="9" l="1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 s="1"/>
  <c r="Q186" i="11"/>
  <c r="M186" i="11"/>
  <c r="M187" i="1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E207" i="1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EY146" i="9" l="1"/>
  <c r="G7" i="13"/>
  <c r="G8" i="13" s="1"/>
  <c r="EY145" i="9"/>
  <c r="BN246" i="9"/>
  <c r="F193" i="11"/>
  <c r="C193" i="11" s="1"/>
  <c r="C194" i="11" s="1"/>
  <c r="H207" i="11"/>
  <c r="P188" i="11" s="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CF255" i="9"/>
  <c r="CF254" i="9"/>
  <c r="F160" i="11"/>
  <c r="F161" i="11" s="1"/>
  <c r="G159" i="11" s="1"/>
  <c r="C159" i="11"/>
  <c r="C195" i="11" l="1"/>
  <c r="D192" i="11"/>
  <c r="CI255" i="9"/>
  <c r="CA218" i="9" s="1"/>
  <c r="BC112" i="20"/>
  <c r="BC69" i="20" s="1"/>
  <c r="D193" i="11"/>
  <c r="BN247" i="9"/>
  <c r="BN248" i="9" s="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I254" i="9"/>
  <c r="CF256" i="9" l="1"/>
  <c r="M189" i="11"/>
  <c r="D194" i="11"/>
  <c r="L240" i="9"/>
  <c r="L241" i="9"/>
  <c r="N241" i="9" s="1"/>
  <c r="BW242" i="9"/>
  <c r="AZ82" i="15" s="1"/>
  <c r="DW145" i="9"/>
  <c r="D160" i="11"/>
  <c r="D159" i="11"/>
  <c r="D161" i="11" s="1"/>
  <c r="BO246" i="9"/>
  <c r="BO247" i="9"/>
  <c r="BQ247" i="9" s="1"/>
  <c r="BG112" i="20"/>
  <c r="J196" i="20" s="1"/>
  <c r="Q154" i="11"/>
  <c r="Q155" i="11" s="1"/>
  <c r="M154" i="11"/>
  <c r="P155" i="11"/>
  <c r="DZ144" i="9"/>
  <c r="BO248" i="9" l="1"/>
  <c r="BQ246" i="9"/>
  <c r="CI256" i="9"/>
  <c r="CF257" i="9"/>
  <c r="M155" i="11"/>
  <c r="N154" i="11" s="1"/>
  <c r="DZ145" i="9"/>
  <c r="EV147" i="9"/>
  <c r="AZ114" i="15"/>
  <c r="C213" i="15" s="1"/>
  <c r="L242" i="9"/>
  <c r="N240" i="9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N189" i="11" l="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V148" i="9"/>
  <c r="I151" i="11"/>
  <c r="N152" i="11"/>
  <c r="N153" i="11"/>
  <c r="CG256" i="9"/>
  <c r="EF140" i="9"/>
  <c r="DX144" i="9"/>
  <c r="N155" i="11" l="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F86" i="20" l="1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X210" i="9" s="1"/>
  <c r="BW248" i="9"/>
  <c r="FF147" i="9"/>
  <c r="FA146" i="9"/>
  <c r="FB146" i="9" s="1"/>
  <c r="FC146" i="9" s="1"/>
  <c r="FD146" i="9" s="1"/>
  <c r="FE146" i="9" s="1"/>
  <c r="FF146" i="9" s="1"/>
  <c r="FA145" i="9"/>
  <c r="BF118" i="20" l="1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C118" i="20" l="1"/>
  <c r="F217" i="20" s="1"/>
  <c r="BC43" i="20"/>
  <c r="AU118" i="20"/>
  <c r="F209" i="20" s="1"/>
  <c r="J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BG86" i="20"/>
  <c r="J170" i="20" s="1"/>
  <c r="AH131" i="20"/>
  <c r="CC211" i="9"/>
  <c r="BY210" i="9"/>
  <c r="N17" i="13" s="1"/>
  <c r="BM111" i="20"/>
  <c r="BN111" i="20" s="1"/>
  <c r="G23" i="12" l="1"/>
  <c r="G25" i="14"/>
  <c r="AN131" i="20"/>
  <c r="H217" i="20" s="1"/>
  <c r="J217" i="20" s="1"/>
  <c r="AH136" i="20"/>
  <c r="K197" i="15"/>
  <c r="EM132" i="9"/>
  <c r="BM115" i="20"/>
  <c r="BN115" i="20" s="1"/>
  <c r="L167" i="20" s="1" a="1"/>
  <c r="L167" i="20" s="1"/>
  <c r="AL134" i="20"/>
  <c r="EI131" i="9"/>
  <c r="M22" i="13" s="1"/>
  <c r="EJ131" i="9"/>
  <c r="T5" i="13" s="1"/>
  <c r="E32" i="12" l="1"/>
  <c r="E34" i="14"/>
  <c r="AN134" i="20"/>
  <c r="H220" i="20" s="1"/>
  <c r="J220" i="20" s="1"/>
  <c r="AL136" i="20"/>
  <c r="H167" i="20" s="1" a="1"/>
  <c r="N193" i="20" l="1"/>
  <c r="N187" i="20"/>
  <c r="N195" i="20"/>
  <c r="N190" i="20"/>
  <c r="N197" i="20"/>
  <c r="N185" i="20"/>
  <c r="N184" i="20"/>
  <c r="N194" i="20"/>
  <c r="N192" i="20"/>
  <c r="N171" i="20"/>
  <c r="N199" i="20"/>
  <c r="N186" i="20"/>
  <c r="N189" i="20"/>
  <c r="N173" i="20"/>
  <c r="N179" i="20"/>
  <c r="N174" i="20"/>
  <c r="N175" i="20"/>
  <c r="H167" i="20"/>
  <c r="N167" i="20" s="1"/>
  <c r="N176" i="20"/>
  <c r="N180" i="20"/>
  <c r="N191" i="20"/>
  <c r="N177" i="20"/>
  <c r="N181" i="20"/>
  <c r="N169" i="20"/>
  <c r="N188" i="20"/>
  <c r="N200" i="20"/>
  <c r="N182" i="20"/>
  <c r="N168" i="20"/>
  <c r="N172" i="20"/>
  <c r="N183" i="20"/>
  <c r="N196" i="20"/>
  <c r="N178" i="20"/>
  <c r="N198" i="20"/>
  <c r="N170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<sst xmlns="http://schemas.openxmlformats.org/spreadsheetml/2006/main" count="4677" uniqueCount="610">
  <si>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</si>
  <si>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</si>
  <si>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</si>
  <si>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</si>
  <si>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</si>
  <si>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</si>
  <si>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</si>
  <si>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</si>
  <si>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</si>
  <si>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</si>
  <si>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</si>
  <si>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</si>
  <si>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</si>
  <si>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</si>
  <si>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</si>
  <si>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</si>
  <si>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</si>
  <si>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</si>
  <si>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</si>
  <si>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</si>
  <si>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</si>
  <si>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</si>
  <si>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</si>
  <si>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</si>
  <si>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</si>
  <si>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</si>
  <si>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</si>
  <si>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</si>
  <si>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</si>
  <si>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</si>
  <si>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</si>
  <si>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</si>
  <si>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</si>
  <si>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</si>
  <si>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</si>
  <si>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</si>
  <si>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</si>
  <si>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</si>
  <si>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</si>
  <si>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</si>
  <si>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</si>
  <si>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</si>
  <si>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</si>
  <si>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</si>
  <si>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</si>
  <si>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</si>
  <si>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</si>
  <si>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</si>
  <si>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</si>
  <si>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</si>
  <si>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</si>
  <si>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</si>
  <si>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</si>
  <si>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</si>
  <si>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</si>
  <si>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</si>
  <si>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</si>
  <si>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</si>
  <si>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</si>
  <si>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</si>
  <si>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</si>
  <si>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</si>
  <si>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</si>
  <si>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</si>
  <si>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</si>
  <si>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</si>
  <si>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</si>
  <si>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</si>
  <si>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</si>
  <si>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</si>
  <si>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</si>
  <si>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</si>
  <si>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</si>
  <si>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</si>
  <si>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</si>
  <si>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</si>
  <si>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</si>
  <si>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</si>
  <si>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</si>
  <si>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</si>
  <si>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</si>
  <si>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</si>
  <si>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</si>
  <si>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</si>
  <si>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</si>
  <si>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</si>
  <si>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</si>
  <si>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</si>
  <si>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</si>
  <si>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</si>
  <si>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</si>
  <si>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</si>
  <si>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</si>
  <si>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</si>
  <si>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</si>
  <si>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</si>
  <si>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</si>
  <si>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</si>
  <si>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</si>
  <si>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</si>
  <si>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</si>
  <si>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</si>
  <si>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</si>
  <si>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</si>
  <si>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</si>
  <si>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</si>
  <si>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</si>
  <si>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</si>
  <si>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</si>
  <si>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</si>
  <si>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</si>
  <si>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</si>
  <si>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</si>
  <si>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</si>
  <si>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</si>
  <si>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</si>
  <si>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</si>
  <si>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</si>
  <si>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</si>
  <si>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</si>
  <si>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</si>
  <si>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</si>
  <si>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</si>
  <si>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</si>
  <si>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</si>
  <si>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</si>
  <si>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</si>
  <si>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</si>
  <si>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</si>
  <si>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</si>
  <si>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</si>
  <si>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</si>
  <si>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</si>
  <si>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</si>
  <si>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</si>
  <si>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</si>
  <si>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</si>
  <si>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</si>
  <si>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</si>
  <si>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</si>
  <si>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</si>
  <si>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</si>
  <si>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</si>
  <si>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</si>
  <si>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</si>
  <si>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</si>
  <si>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</si>
  <si>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</si>
  <si>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</si>
  <si>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</si>
  <si>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</si>
  <si>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</si>
  <si>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</si>
  <si>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</si>
  <si>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</si>
  <si>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</si>
  <si>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</si>
  <si>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</si>
  <si>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</si>
  <si>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</si>
  <si>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</si>
  <si>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</si>
  <si>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</si>
  <si>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</si>
  <si>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</si>
  <si>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</si>
  <si>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</si>
  <si>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</si>
  <si>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</si>
  <si>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</si>
  <si>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</si>
  <si>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</si>
  <si>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</si>
  <si>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</si>
  <si>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</si>
  <si>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</si>
  <si>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</si>
  <si>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</si>
  <si>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</si>
  <si>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</si>
  <si>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</si>
  <si>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</si>
  <si>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</si>
  <si>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</si>
  <si>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</si>
  <si>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</si>
  <si>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</si>
  <si>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</si>
  <si>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</si>
  <si>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</si>
  <si>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</si>
  <si>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</si>
  <si>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</si>
  <si>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</si>
  <si>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</si>
  <si>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</si>
  <si>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</si>
  <si>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</si>
  <si>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</si>
  <si>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</si>
  <si>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</si>
  <si>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</si>
  <si>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</si>
  <si>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</si>
  <si>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</si>
  <si>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</si>
  <si>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</si>
  <si>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</si>
  <si>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</si>
  <si>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</si>
  <si>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</si>
  <si>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</si>
  <si>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</si>
  <si>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</si>
  <si>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</si>
  <si>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</si>
  <si>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</si>
  <si>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</si>
  <si>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</si>
  <si>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</si>
  <si>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</si>
  <si>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</si>
  <si>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</si>
  <si>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</si>
  <si>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</si>
  <si>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</si>
  <si>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</si>
  <si>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</si>
  <si>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</si>
  <si>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</si>
  <si>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</si>
  <si>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</si>
  <si>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</si>
  <si>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</si>
  <si>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</si>
  <si>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</si>
  <si>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</si>
  <si>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</si>
  <si>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</si>
  <si>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</si>
  <si>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</si>
  <si>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</si>
  <si>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</si>
  <si>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</si>
  <si>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</si>
  <si>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</si>
  <si>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</si>
  <si>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</si>
  <si>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</si>
  <si>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</si>
  <si>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</si>
  <si>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</si>
  <si>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</si>
  <si>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</si>
  <si>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</si>
  <si>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</si>
  <si>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</si>
  <si>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</si>
  <si>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</si>
  <si>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</si>
  <si>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</si>
  <si>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</si>
  <si>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</si>
  <si>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</si>
  <si>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</si>
  <si>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</si>
  <si>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</si>
  <si>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</si>
  <si>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</si>
  <si>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</si>
  <si>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</si>
  <si>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</si>
  <si>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</si>
  <si>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</si>
  <si>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</si>
  <si>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</si>
  <si>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</si>
  <si>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</si>
  <si>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</si>
  <si>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</si>
  <si>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</si>
  <si>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</si>
  <si>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</si>
  <si>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</si>
  <si>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</si>
  <si>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</si>
  <si>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</si>
  <si>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</si>
  <si>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</si>
  <si>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</si>
  <si>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</si>
  <si>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</si>
  <si>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</si>
  <si>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</si>
  <si>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</si>
  <si>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</si>
  <si>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</si>
  <si>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</si>
  <si>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</si>
  <si>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</si>
  <si>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</si>
  <si>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</si>
  <si>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</si>
  <si>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</si>
  <si>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</si>
  <si>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</si>
  <si>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</si>
  <si>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</si>
  <si>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</si>
  <si>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</si>
  <si>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</si>
  <si>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</si>
  <si>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</si>
  <si>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</si>
  <si>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</si>
  <si>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</si>
  <si>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</si>
  <si>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</si>
  <si>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</si>
  <si>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</si>
  <si>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</si>
  <si>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</si>
  <si>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</si>
  <si>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</si>
  <si>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</si>
  <si>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</si>
  <si>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</si>
  <si>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</si>
  <si>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</si>
  <si>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</si>
  <si>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</si>
  <si>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</si>
  <si>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</si>
  <si>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</si>
  <si>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</si>
  <si>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</si>
  <si>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</si>
  <si>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</si>
  <si>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</si>
  <si>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</si>
  <si>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</si>
  <si>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</si>
  <si>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</si>
  <si>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</si>
  <si>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</si>
  <si>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</si>
  <si>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</si>
  <si>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</si>
  <si>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</si>
  <si>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</si>
  <si>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</si>
  <si>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</si>
  <si>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</si>
  <si>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</si>
  <si>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</si>
  <si>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</si>
  <si>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</si>
  <si>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</si>
  <si>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</si>
  <si>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</si>
  <si>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</si>
  <si>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</si>
  <si>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</si>
  <si>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</si>
  <si>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</si>
  <si>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</si>
  <si>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</si>
  <si>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</si>
  <si>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</si>
  <si>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</si>
  <si>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</si>
  <si>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</si>
  <si>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</si>
  <si>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</si>
  <si>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</si>
  <si>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</si>
  <si>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</si>
  <si>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</si>
  <si>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</si>
  <si>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</si>
  <si>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</si>
  <si>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</si>
  <si>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</si>
  <si>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</si>
  <si>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</si>
  <si>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</si>
  <si>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</si>
  <si>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</si>
  <si>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</si>
  <si>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</si>
  <si>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</si>
  <si>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</si>
  <si>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</si>
  <si>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</si>
  <si>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</si>
  <si>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</si>
  <si>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</si>
  <si>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</si>
  <si>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</si>
  <si>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</si>
  <si>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</si>
  <si>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</si>
  <si>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</si>
  <si>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</si>
  <si>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</si>
  <si>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</si>
  <si>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</si>
  <si>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</si>
  <si>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</si>
  <si>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</si>
  <si>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</si>
  <si>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</si>
  <si>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</si>
  <si>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</si>
  <si>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</si>
  <si>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</si>
  <si>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</si>
  <si>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</si>
  <si>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</si>
  <si>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</si>
  <si>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</si>
  <si>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</si>
  <si>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</si>
  <si>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</si>
  <si>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</si>
  <si>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</si>
  <si>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</si>
  <si>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</si>
  <si>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</si>
  <si>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</si>
  <si>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</si>
  <si>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</si>
  <si>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</si>
  <si>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</si>
  <si>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</si>
  <si>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</si>
  <si>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</si>
  <si>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</si>
  <si>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</si>
  <si>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</si>
  <si>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</si>
  <si>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</si>
  <si>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</si>
  <si>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</si>
  <si>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</si>
  <si>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</si>
  <si>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</si>
  <si>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</si>
  <si>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</si>
  <si>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</si>
  <si>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</si>
  <si>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</si>
  <si>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</si>
  <si>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</si>
  <si>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</si>
  <si>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</si>
  <si>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t>What they make</t>
  </si>
  <si>
    <t>What they're used for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</si>
  <si>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</si>
  <si>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</si>
  <si>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</si>
  <si>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</si>
  <si>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</si>
  <si>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</si>
  <si>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</si>
  <si>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</si>
  <si>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</si>
  <si>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COG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</si>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</sst>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6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400">
    <xf numFmtId="0" fontId="0" fillId="0" borderId="0" xfId="0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1" fontId="7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0" fillId="0" borderId="0" xfId="0" applyFont="1"/>
    <xf numFmtId="0" fontId="8" fillId="0" borderId="0" xfId="0" applyFont="1"/>
    <xf numFmtId="0" fontId="7" fillId="0" borderId="10" xfId="0" applyFont="1" applyBorder="1" applyAlignment="1">
      <alignment horizontal="center"/>
    </xf>
    <xf numFmtId="0" fontId="16" fillId="0" borderId="0" xfId="0" applyFont="1" applyAlignment="1">
      <alignment vertical="center" textRotation="90"/>
    </xf>
    <xf numFmtId="0" fontId="13" fillId="0" borderId="0" xfId="0" applyFont="1" applyAlignment="1">
      <alignment vertical="center" textRotation="90"/>
    </xf>
    <xf numFmtId="0" fontId="21" fillId="0" borderId="22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7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1" fillId="0" borderId="0" xfId="0" applyNumberFormat="1" applyFont="1" applyAlignment="1">
      <alignment horizontal="center"/>
    </xf>
    <xf numFmtId="0" fontId="7" fillId="9" borderId="0" xfId="0" applyFont="1" applyFill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7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1" fillId="0" borderId="6" xfId="0" applyFont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0" fontId="11" fillId="0" borderId="30" xfId="0" applyFont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7" fillId="11" borderId="16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5" borderId="17" xfId="0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40" fillId="0" borderId="6" xfId="0" applyFont="1" applyBorder="1" applyAlignment="1">
      <alignment horizontal="center"/>
    </xf>
    <xf numFmtId="0" fontId="40" fillId="0" borderId="18" xfId="0" applyFont="1" applyBorder="1" applyAlignment="1">
      <alignment horizontal="center"/>
    </xf>
    <xf numFmtId="0" fontId="42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40" fillId="0" borderId="25" xfId="0" applyFont="1" applyBorder="1" applyAlignment="1">
      <alignment horizontal="center"/>
    </xf>
    <xf numFmtId="0" fontId="43" fillId="0" borderId="22" xfId="0" applyFont="1" applyBorder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0" fillId="0" borderId="27" xfId="0" applyFont="1" applyBorder="1" applyAlignment="1">
      <alignment horizontal="center"/>
    </xf>
    <xf numFmtId="0" fontId="40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5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0" fontId="40" fillId="0" borderId="4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30" xfId="0" applyFont="1" applyBorder="1" applyAlignment="1">
      <alignment horizontal="center" vertical="center" textRotation="90"/>
    </xf>
    <xf numFmtId="0" fontId="7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7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40" fillId="0" borderId="26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40" fillId="19" borderId="6" xfId="0" applyFont="1" applyFill="1" applyBorder="1" applyAlignment="1">
      <alignment horizontal="center"/>
    </xf>
    <xf numFmtId="0" fontId="7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0" fontId="11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69" fontId="7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7" fillId="0" borderId="26" xfId="0" applyNumberFormat="1" applyFont="1" applyBorder="1" applyAlignment="1">
      <alignment horizontal="center"/>
    </xf>
    <xf numFmtId="2" fontId="7" fillId="0" borderId="23" xfId="0" applyNumberFormat="1" applyFont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1" fillId="0" borderId="44" xfId="0" applyFont="1" applyBorder="1" applyAlignment="1">
      <alignment horizontal="center"/>
    </xf>
    <xf numFmtId="0" fontId="35" fillId="0" borderId="45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1" fillId="0" borderId="2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5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7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29" fillId="0" borderId="0" xfId="0" applyFont="1" applyAlignment="1">
      <alignment horizontal="center" vertical="center"/>
    </xf>
    <xf numFmtId="0" fontId="56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8" xfId="0" applyFont="1" applyFill="1" applyBorder="1" applyAlignment="1">
      <alignment horizontal="center"/>
    </xf>
    <xf numFmtId="0" fontId="58" fillId="23" borderId="36" xfId="0" applyFont="1" applyFill="1" applyBorder="1" applyAlignment="1">
      <alignment horizontal="center"/>
    </xf>
    <xf numFmtId="0" fontId="58" fillId="21" borderId="4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0" fillId="24" borderId="0" xfId="0" applyFill="1"/>
    <xf numFmtId="0" fontId="21" fillId="21" borderId="0" xfId="0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21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4" fillId="0" borderId="0" xfId="0" applyFont="1" applyAlignment="1">
      <alignment horizontal="center" textRotation="90"/>
    </xf>
    <xf numFmtId="0" fontId="29" fillId="0" borderId="0" xfId="0" applyFont="1" applyAlignment="1">
      <alignment horizontal="center"/>
    </xf>
    <xf numFmtId="0" fontId="29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4" borderId="0" xfId="0" applyFont="1" applyFill="1" applyAlignment="1">
      <alignment horizontal="center"/>
    </xf>
    <xf numFmtId="0" fontId="21" fillId="1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5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6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1" fillId="0" borderId="0" xfId="0" applyFont="1"/>
    <xf numFmtId="0" fontId="15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7" xfId="0" applyFont="1" applyFill="1" applyBorder="1" applyAlignment="1">
      <alignment horizontal="center"/>
    </xf>
    <xf numFmtId="0" fontId="58" fillId="18" borderId="39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18" borderId="40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4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54" fillId="0" borderId="43" xfId="0" applyFont="1" applyBorder="1" applyAlignment="1">
      <alignment horizontal="center" vertical="center"/>
    </xf>
    <xf numFmtId="0" fontId="62" fillId="0" borderId="43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6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1" xfId="0" applyFont="1" applyBorder="1" applyAlignment="1">
      <alignment horizontal="center"/>
    </xf>
    <xf numFmtId="0" fontId="8" fillId="17" borderId="0" xfId="0" applyFont="1" applyFill="1" applyAlignment="1">
      <alignment horizontal="center" vertical="center"/>
    </xf>
    <xf numFmtId="0" fontId="68" fillId="26" borderId="0" xfId="0" applyFont="1" applyFill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7" fillId="0" borderId="3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1" fillId="12" borderId="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49" fillId="17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47" fillId="19" borderId="30" xfId="0" applyFont="1" applyFill="1" applyBorder="1" applyAlignment="1">
      <alignment horizontal="center" vertical="center"/>
    </xf>
    <xf numFmtId="0" fontId="36" fillId="15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50" fillId="0" borderId="0" xfId="0" applyFont="1" applyAlignment="1">
      <alignment horizontal="center" vertical="center" textRotation="90"/>
    </xf>
    <xf numFmtId="0" fontId="29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8" fillId="14" borderId="0" xfId="0" applyFont="1" applyFill="1" applyAlignment="1">
      <alignment horizontal="center" vertical="center"/>
    </xf>
    <xf numFmtId="0" fontId="38" fillId="14" borderId="30" xfId="0" applyFont="1" applyFill="1" applyBorder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6" fillId="13" borderId="0" xfId="0" applyFont="1" applyFill="1" applyAlignment="1">
      <alignment horizontal="center" vertical="center"/>
    </xf>
    <xf numFmtId="0" fontId="36" fillId="13" borderId="30" xfId="0" applyFont="1" applyFill="1" applyBorder="1" applyAlignment="1">
      <alignment horizontal="center" vertical="center"/>
    </xf>
    <xf numFmtId="0" fontId="14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8" fillId="18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textRotation="90"/>
    </xf>
    <xf numFmtId="0" fontId="21" fillId="9" borderId="0" xfId="0" applyFont="1" applyFill="1" applyAlignment="1">
      <alignment horizontal="center" vertical="center" textRotation="90"/>
    </xf>
    <xf numFmtId="0" fontId="46" fillId="3" borderId="34" xfId="0" applyFont="1" applyFill="1" applyBorder="1" applyAlignment="1">
      <alignment horizontal="center" vertical="center"/>
    </xf>
    <xf numFmtId="0" fontId="46" fillId="3" borderId="35" xfId="0" applyFont="1" applyFill="1" applyBorder="1" applyAlignment="1">
      <alignment horizontal="center" vertical="center"/>
    </xf>
    <xf numFmtId="0" fontId="46" fillId="3" borderId="6" xfId="0" applyFont="1" applyFill="1" applyBorder="1" applyAlignment="1">
      <alignment horizontal="center" vertical="center"/>
    </xf>
    <xf numFmtId="0" fontId="46" fillId="3" borderId="37" xfId="0" applyFont="1" applyFill="1" applyBorder="1" applyAlignment="1">
      <alignment horizontal="center" vertical="center"/>
    </xf>
    <xf numFmtId="0" fontId="46" fillId="8" borderId="6" xfId="0" applyFont="1" applyFill="1" applyBorder="1" applyAlignment="1">
      <alignment horizontal="center" vertical="center"/>
    </xf>
    <xf numFmtId="0" fontId="46" fillId="8" borderId="37" xfId="0" applyFont="1" applyFill="1" applyBorder="1" applyAlignment="1">
      <alignment horizontal="center" vertical="center"/>
    </xf>
    <xf numFmtId="0" fontId="46" fillId="8" borderId="39" xfId="0" applyFont="1" applyFill="1" applyBorder="1" applyAlignment="1">
      <alignment horizontal="center" vertical="center"/>
    </xf>
    <xf numFmtId="0" fontId="46" fillId="8" borderId="40" xfId="0" applyFont="1" applyFill="1" applyBorder="1" applyAlignment="1">
      <alignment horizontal="center" vertical="center"/>
    </xf>
    <xf numFmtId="0" fontId="46" fillId="0" borderId="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6" fillId="0" borderId="38" xfId="0" applyFont="1" applyBorder="1" applyAlignment="1">
      <alignment horizontal="center" vertical="center"/>
    </xf>
    <xf numFmtId="0" fontId="46" fillId="0" borderId="39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6" fillId="11" borderId="33" xfId="0" applyFont="1" applyFill="1" applyBorder="1" applyAlignment="1">
      <alignment horizontal="center" vertical="center"/>
    </xf>
    <xf numFmtId="0" fontId="46" fillId="11" borderId="34" xfId="0" applyFont="1" applyFill="1" applyBorder="1" applyAlignment="1">
      <alignment horizontal="center" vertical="center"/>
    </xf>
    <xf numFmtId="0" fontId="46" fillId="11" borderId="36" xfId="0" applyFont="1" applyFill="1" applyBorder="1" applyAlignment="1">
      <alignment horizontal="center" vertical="center"/>
    </xf>
    <xf numFmtId="0" fontId="46" fillId="11" borderId="6" xfId="0" applyFont="1" applyFill="1" applyBorder="1" applyAlignment="1">
      <alignment horizontal="center" vertical="center"/>
    </xf>
    <xf numFmtId="0" fontId="21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1" fillId="1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32" fillId="8" borderId="0" xfId="0" applyFont="1" applyFill="1" applyAlignment="1">
      <alignment horizontal="center"/>
    </xf>
    <xf numFmtId="0" fontId="31" fillId="8" borderId="0" xfId="0" applyFont="1" applyFill="1" applyAlignment="1">
      <alignment horizontal="center"/>
    </xf>
    <xf numFmtId="0" fontId="16" fillId="3" borderId="0" xfId="0" applyFont="1" applyFill="1" applyAlignment="1">
      <alignment horizontal="center" vertical="center" textRotation="90" wrapText="1"/>
    </xf>
    <xf numFmtId="0" fontId="13" fillId="7" borderId="0" xfId="0" applyFont="1" applyFill="1" applyAlignment="1">
      <alignment horizontal="center" vertical="center" textRotation="90"/>
    </xf>
    <xf numFmtId="0" fontId="10" fillId="6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 textRotation="90"/>
    </xf>
    <xf numFmtId="0" fontId="32" fillId="10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0" fillId="19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11" fillId="0" borderId="0" xfId="0" applyFont="1" applyFill="1" applyAlignment="1">
      <alignment horizontal="right"/>
    </xf>
    <xf numFmtId="0" fontId="35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73123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131419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261989</xdr:colOff>
      <xdr:row>226</xdr:row>
      <xdr:rowOff>164898</xdr:rowOff>
    </xdr:from>
    <xdr:to>
      <xdr:col>27</xdr:col>
      <xdr:colOff>501</xdr:colOff>
      <xdr:row>244</xdr:row>
      <xdr:rowOff>141119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55718" y="42107186"/>
          <a:ext cx="4194275" cy="4076813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717433</xdr:colOff>
      <xdr:row>101</xdr:row>
      <xdr:rowOff>473145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48786</xdr:colOff>
      <xdr:row>218</xdr:row>
      <xdr:rowOff>13608</xdr:rowOff>
    </xdr:from>
    <xdr:to>
      <xdr:col>94</xdr:col>
      <xdr:colOff>244827</xdr:colOff>
      <xdr:row>218</xdr:row>
      <xdr:rowOff>27462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28066225" y="34061998"/>
          <a:ext cx="7760285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126254</xdr:rowOff>
    </xdr:from>
    <xdr:to>
      <xdr:col>81</xdr:col>
      <xdr:colOff>664677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1683509" y="40677354"/>
          <a:ext cx="50368" cy="984938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305249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233</xdr:row>
      <xdr:rowOff>157023</xdr:rowOff>
    </xdr:from>
    <xdr:to>
      <xdr:col>94</xdr:col>
      <xdr:colOff>389643</xdr:colOff>
      <xdr:row>233</xdr:row>
      <xdr:rowOff>170877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250</xdr:row>
      <xdr:rowOff>157023</xdr:rowOff>
    </xdr:from>
    <xdr:to>
      <xdr:col>94</xdr:col>
      <xdr:colOff>389643</xdr:colOff>
      <xdr:row>250</xdr:row>
      <xdr:rowOff>170877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N18" sqref="N18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87" t="s">
        <v>103</v>
      </c>
      <c r="Q2" s="288"/>
      <c r="R2" s="287" t="s">
        <v>109</v>
      </c>
      <c r="S2" s="288"/>
      <c r="U2" s="289" t="s">
        <v>234</v>
      </c>
      <c r="V2" s="289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3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466</v>
      </c>
      <c r="Y5" s="61" t="s">
        <v>499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524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3" t="s">
        <v>279</v>
      </c>
      <c r="P11" s="223" t="s">
        <v>40</v>
      </c>
      <c r="Q11" s="3" t="s">
        <v>510</v>
      </c>
      <c r="R11" s="3" t="s">
        <v>505</v>
      </c>
      <c r="S11" s="3" t="s">
        <v>516</v>
      </c>
      <c r="T11" s="3" t="s">
        <v>517</v>
      </c>
      <c r="U11" s="3" t="s">
        <v>515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511</v>
      </c>
      <c r="R12" s="3" t="s">
        <v>513</v>
      </c>
      <c r="S12" s="3" t="s">
        <v>512</v>
      </c>
      <c r="T12" s="3" t="s">
        <v>512</v>
      </c>
      <c r="U12" s="3" t="s">
        <v>512</v>
      </c>
      <c r="V12" s="3" t="s">
        <v>512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3" t="s">
        <v>315</v>
      </c>
      <c r="H13" s="13">
        <v>124.2</v>
      </c>
      <c r="O13" s="61" t="s">
        <v>500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512</v>
      </c>
      <c r="R15" s="3" t="s">
        <v>514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3" t="s">
        <v>574</v>
      </c>
      <c r="P17" s="223" t="s">
        <v>40</v>
      </c>
      <c r="Q17" s="3" t="s">
        <v>510</v>
      </c>
      <c r="R17" s="3" t="s">
        <v>505</v>
      </c>
      <c r="S17" s="3" t="s">
        <v>516</v>
      </c>
      <c r="T17" s="3" t="s">
        <v>517</v>
      </c>
      <c r="U17" s="3" t="s">
        <v>515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511</v>
      </c>
      <c r="R18" s="3" t="s">
        <v>513</v>
      </c>
      <c r="S18" s="3" t="s">
        <v>512</v>
      </c>
      <c r="T18" s="3" t="s">
        <v>512</v>
      </c>
      <c r="U18" s="3" t="s">
        <v>512</v>
      </c>
      <c r="V18" s="3" t="s">
        <v>512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524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512</v>
      </c>
      <c r="R21" s="3" t="s">
        <v>514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90" t="s">
        <v>393</v>
      </c>
      <c r="P24" s="290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9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70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499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500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524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9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518</v>
      </c>
      <c r="C55" s="3" t="s">
        <v>519</v>
      </c>
    </row>
    <row r="56" spans="2:3" ht="17" x14ac:dyDescent="0.25">
      <c r="B56" s="13" t="s">
        <v>504</v>
      </c>
      <c r="C56" s="3" t="s">
        <v>503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83"/>
  <sheetViews>
    <sheetView topLeftCell="T65" zoomScale="161" workbookViewId="0">
      <selection activeCell="AO76" sqref="AO7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89" t="s">
        <v>126</v>
      </c>
      <c r="P10" s="289"/>
      <c r="Q10" s="289"/>
      <c r="R10" s="289"/>
      <c r="S10" s="289"/>
      <c r="T10" s="289"/>
      <c r="U10" s="289"/>
      <c r="V10" s="289" t="s">
        <v>126</v>
      </c>
      <c r="W10" s="289"/>
      <c r="X10" s="289"/>
      <c r="Y10" s="289"/>
      <c r="Z10" s="289"/>
      <c r="AA10" s="289"/>
      <c r="AB10" s="289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89" t="s">
        <v>307</v>
      </c>
      <c r="P11" s="289"/>
      <c r="Q11" s="289"/>
      <c r="R11" s="287"/>
      <c r="S11" s="288"/>
      <c r="T11" s="298" t="s">
        <v>306</v>
      </c>
      <c r="U11" s="293"/>
      <c r="V11" s="289" t="str">
        <f>_xlfn.CONCAT(E19," ",C19," ","+"," ",E21," ",C21," ","--&gt;"," ",E22," ",C22," ","+"," ",E20*E21," ",C20)</f>
        <v>1.5 C + 1.5 O2 --&gt; 1.5 CO2 + 5.64 N2</v>
      </c>
      <c r="W11" s="289"/>
      <c r="X11" s="289"/>
      <c r="Y11" s="289"/>
      <c r="Z11" s="289"/>
      <c r="AA11" s="289"/>
      <c r="AB11" s="289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89" t="s">
        <v>226</v>
      </c>
      <c r="P12" s="289"/>
      <c r="Q12" s="289"/>
      <c r="R12" s="287"/>
      <c r="S12" s="288"/>
      <c r="T12" s="289" t="s">
        <v>225</v>
      </c>
      <c r="U12" s="289"/>
      <c r="V12" s="289" t="str">
        <f>_xlfn.CONCAT(E25," ",C25," ","+"," ",E26," ",C26," ","--&gt;"," ",E27," ",C27)</f>
        <v>1.5 CO2 + 1.5 C --&gt; 3 CO</v>
      </c>
      <c r="W12" s="289"/>
      <c r="X12" s="289"/>
      <c r="Y12" s="289"/>
      <c r="Z12" s="289"/>
      <c r="AA12" s="289"/>
      <c r="AB12" s="289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89" t="s">
        <v>227</v>
      </c>
      <c r="P13" s="289"/>
      <c r="Q13" s="289"/>
      <c r="R13" s="287"/>
      <c r="S13" s="288"/>
      <c r="T13" s="298" t="s">
        <v>228</v>
      </c>
      <c r="U13" s="293"/>
      <c r="V13" s="289" t="str">
        <f>_xlfn.CONCAT(E29," ",C29," ","+"," ",E30," ",C30," ","--&gt;"," ",E31," ",C31," ","+"," ",E32," ",C32)</f>
        <v>1 Fe2O3 + 3 CO --&gt; 2 Fe + 3 CO2</v>
      </c>
      <c r="W13" s="289"/>
      <c r="X13" s="289"/>
      <c r="Y13" s="289"/>
      <c r="Z13" s="289"/>
      <c r="AA13" s="289"/>
      <c r="AB13" s="289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89"/>
      <c r="P14" s="289"/>
      <c r="Q14" s="289"/>
      <c r="R14" s="287"/>
      <c r="S14" s="288"/>
      <c r="T14" s="289"/>
      <c r="U14" s="289"/>
      <c r="V14" s="289" t="str">
        <f>_xlfn.CONCAT(E36," ",C36," ","--&gt;"," ",E37," ",C37," ","+"," ",E39," ",C39)</f>
        <v>1 CaCO3 --&gt; 1 CaO + 0.0624775822865075 MgO</v>
      </c>
      <c r="W14" s="289"/>
      <c r="X14" s="289"/>
      <c r="Y14" s="289"/>
      <c r="Z14" s="289"/>
      <c r="AA14" s="289"/>
      <c r="AB14" s="289"/>
    </row>
    <row r="15" spans="1:28" ht="17" x14ac:dyDescent="0.25">
      <c r="O15" s="289" t="s">
        <v>229</v>
      </c>
      <c r="P15" s="289"/>
      <c r="Q15" s="289"/>
      <c r="R15" s="287"/>
      <c r="S15" s="288"/>
      <c r="T15" s="289" t="s">
        <v>230</v>
      </c>
      <c r="U15" s="289"/>
      <c r="V15" s="289" t="str">
        <f>_xlfn.CONCAT(E41," ",C41," ","+"," ",E42," ",C42," ","--&gt;"," ",E43," ",C43)</f>
        <v>1 CaO + 1 SiO2 --&gt; 1 CaSiO3</v>
      </c>
      <c r="W15" s="289"/>
      <c r="X15" s="289"/>
      <c r="Y15" s="289"/>
      <c r="Z15" s="289"/>
      <c r="AA15" s="289"/>
      <c r="AB15" s="289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89" t="s">
        <v>335</v>
      </c>
      <c r="P17" s="289"/>
      <c r="Q17" s="289"/>
      <c r="R17" s="289"/>
      <c r="S17" s="289"/>
      <c r="T17" s="289"/>
      <c r="U17" s="289"/>
      <c r="V17" s="289" t="s">
        <v>126</v>
      </c>
      <c r="W17" s="289"/>
      <c r="X17" s="289"/>
      <c r="Y17" s="289"/>
      <c r="Z17" s="289"/>
      <c r="AA17" s="289"/>
      <c r="AB17" s="289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89" t="s">
        <v>336</v>
      </c>
      <c r="P18" s="289"/>
      <c r="Q18" s="289"/>
      <c r="R18" s="289"/>
      <c r="S18" s="289"/>
      <c r="T18" s="289" t="s">
        <v>337</v>
      </c>
      <c r="U18" s="287"/>
      <c r="V18" s="297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297"/>
      <c r="X18" s="297"/>
      <c r="Y18" s="297"/>
      <c r="Z18" s="297"/>
      <c r="AA18" s="297"/>
      <c r="AB18" s="297"/>
    </row>
    <row r="19" spans="1:28" ht="16" x14ac:dyDescent="0.2">
      <c r="B19" s="299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297"/>
      <c r="W19" s="297"/>
      <c r="X19" s="297"/>
      <c r="Y19" s="297"/>
      <c r="Z19" s="297"/>
      <c r="AA19" s="297"/>
      <c r="AB19" s="297"/>
    </row>
    <row r="20" spans="1:28" ht="18" x14ac:dyDescent="0.25">
      <c r="A20" s="1"/>
      <c r="B20" s="300"/>
      <c r="C20" s="92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01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2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3"/>
      <c r="C23" s="94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04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04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04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04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05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06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9" t="s">
        <v>413</v>
      </c>
      <c r="C35" s="15" t="s">
        <v>331</v>
      </c>
      <c r="D35" s="26" t="s">
        <v>47</v>
      </c>
      <c r="E35" s="130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0"/>
      <c r="C36" s="19" t="s">
        <v>21</v>
      </c>
      <c r="D36" s="3" t="s">
        <v>203</v>
      </c>
      <c r="E36" s="128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04" t="s">
        <v>114</v>
      </c>
      <c r="C37" s="87" t="s">
        <v>124</v>
      </c>
      <c r="D37" s="3" t="s">
        <v>204</v>
      </c>
      <c r="E37" s="128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299"/>
      <c r="C38" s="31" t="s">
        <v>23</v>
      </c>
      <c r="D38" s="3" t="s">
        <v>1</v>
      </c>
      <c r="E38" s="131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299"/>
      <c r="C39" s="31" t="s">
        <v>180</v>
      </c>
      <c r="D39" s="3" t="s">
        <v>39</v>
      </c>
      <c r="E39" s="132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04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04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08" t="s">
        <v>19</v>
      </c>
      <c r="C44" s="308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</row>
    <row r="47" spans="2:23" x14ac:dyDescent="0.2">
      <c r="C47" s="295" t="s">
        <v>352</v>
      </c>
      <c r="D47" s="295"/>
      <c r="E47" s="295"/>
      <c r="F47" s="295"/>
    </row>
    <row r="48" spans="2:23" x14ac:dyDescent="0.2">
      <c r="C48" s="311"/>
      <c r="D48" s="311"/>
      <c r="E48" s="311"/>
      <c r="F48" s="311"/>
      <c r="H48" s="289" t="s">
        <v>70</v>
      </c>
      <c r="I48" s="289"/>
      <c r="J48" s="289"/>
      <c r="K48" s="289"/>
      <c r="L48" s="289"/>
      <c r="M48" s="289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89" t="s">
        <v>74</v>
      </c>
      <c r="I49" s="289"/>
      <c r="J49" s="289"/>
      <c r="K49" s="13"/>
      <c r="L49" s="298" t="s">
        <v>359</v>
      </c>
      <c r="M49" s="293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07" t="str">
        <f>_xlfn.CONCAT(H59," ",B59," ","+"," ",H60,"(",B60, " ","+"," ",F51," ",B61,")","  ", "--","&gt;","  ", Q59," ",K59," ","+"," ",Q60," ",K60," ","+"," ",Q61," ",K61," ","+"," ",Q62," ",B60)</f>
        <v>0.5 CH4 + 1(O2 + 3.76 N2)  --&gt;  0.5 CO2 + 0.25 H2O + 3.76 N2 +  O2</v>
      </c>
      <c r="I51" s="307"/>
      <c r="J51" s="307"/>
      <c r="K51" s="307"/>
      <c r="L51" s="307"/>
      <c r="M51" s="307"/>
    </row>
    <row r="52" spans="2:17" ht="16.25" customHeight="1" x14ac:dyDescent="0.25">
      <c r="C52" s="20" t="s">
        <v>24</v>
      </c>
      <c r="D52" s="13" t="s">
        <v>432</v>
      </c>
      <c r="H52" s="307"/>
      <c r="I52" s="307"/>
      <c r="J52" s="307"/>
      <c r="K52" s="307"/>
      <c r="L52" s="307"/>
      <c r="M52" s="307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C60</f>
        <v>60.427328393049869</v>
      </c>
      <c r="D54" s="13">
        <f>C54/D60</f>
        <v>1888.4248282138665</v>
      </c>
    </row>
    <row r="55" spans="2:17" ht="15.5" customHeight="1" x14ac:dyDescent="0.2"/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8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0.99234315568318432</v>
      </c>
      <c r="G59" s="30" t="s">
        <v>33</v>
      </c>
      <c r="H59" s="52">
        <f>Q59</f>
        <v>0.5</v>
      </c>
      <c r="K59" s="20" t="s">
        <v>64</v>
      </c>
      <c r="L59" s="3">
        <f>M59*N59</f>
        <v>166.21839800945324</v>
      </c>
      <c r="M59" s="3">
        <f>MW_CO2</f>
        <v>4.4009800000000002E-2</v>
      </c>
      <c r="N59" s="3">
        <f>O59*N63</f>
        <v>3776.849656427733</v>
      </c>
      <c r="O59" s="3">
        <f>F60*2</f>
        <v>2.8909626460547713E-3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O2_Kiln_in</f>
        <v>60.427328393049869</v>
      </c>
      <c r="D60" s="3">
        <f>MW_O2</f>
        <v>3.1998800000000001E-2</v>
      </c>
      <c r="E60" s="3">
        <f>C60/D60</f>
        <v>1888.4248282138665</v>
      </c>
      <c r="F60" s="3">
        <f>E60/E62</f>
        <v>1.4454813230273856E-3</v>
      </c>
      <c r="G60" s="30" t="s">
        <v>34</v>
      </c>
      <c r="H60" s="3">
        <v>1</v>
      </c>
      <c r="K60" s="13" t="s">
        <v>68</v>
      </c>
      <c r="L60" s="3">
        <f>M60*N60</f>
        <v>136.08200815689884</v>
      </c>
      <c r="M60" s="3">
        <f>MW_H2O</f>
        <v>1.8015280000000002E-2</v>
      </c>
      <c r="N60" s="3">
        <f>O60*N63</f>
        <v>7553.6993128554659</v>
      </c>
      <c r="O60" s="3">
        <f>2*O59</f>
        <v>5.7819252921095425E-3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N2_Kiln_in</f>
        <v>227.32185443099715</v>
      </c>
      <c r="D61" s="3">
        <f>MW_N2</f>
        <v>2.801348E-2</v>
      </c>
      <c r="E61" s="3">
        <f>C61/D61</f>
        <v>8114.7309948994962</v>
      </c>
      <c r="F61" s="3">
        <f>E61/E62</f>
        <v>6.2113629937883101E-3</v>
      </c>
      <c r="G61" s="30" t="s">
        <v>207</v>
      </c>
      <c r="H61" s="71">
        <f>H60*3.76</f>
        <v>3.76</v>
      </c>
      <c r="K61" s="39" t="s">
        <v>67</v>
      </c>
      <c r="L61" s="3">
        <f>C61</f>
        <v>227.32185443099715</v>
      </c>
      <c r="M61" s="3">
        <f>MW_N2</f>
        <v>2.801348E-2</v>
      </c>
      <c r="N61" s="3">
        <f>E61</f>
        <v>8114.7309948994962</v>
      </c>
      <c r="O61" s="3">
        <f>N61/N63</f>
        <v>6.2113629937883101E-3</v>
      </c>
      <c r="P61" s="30" t="s">
        <v>37</v>
      </c>
      <c r="Q61" s="3">
        <f>H61</f>
        <v>3.76</v>
      </c>
    </row>
    <row r="62" spans="2:17" ht="17" x14ac:dyDescent="0.25">
      <c r="B62" s="17" t="s">
        <v>19</v>
      </c>
      <c r="C62" s="40">
        <f>SUM(C59:C61)</f>
        <v>21086.065658212443</v>
      </c>
      <c r="D62" s="41">
        <f>SUM(D59:D61)</f>
        <v>7.605503999999999E-2</v>
      </c>
      <c r="E62" s="41">
        <f>SUM(E59:E61)</f>
        <v>1306433.2261718812</v>
      </c>
      <c r="F62" s="40">
        <f>SUM(F59:F61)</f>
        <v>1</v>
      </c>
      <c r="G62" s="17"/>
      <c r="H62" s="17"/>
      <c r="K62" s="13" t="s">
        <v>65</v>
      </c>
      <c r="L62" s="145">
        <f>C62- SUM(L59:L61)</f>
        <v>20556.443397615094</v>
      </c>
      <c r="M62" s="3">
        <f>MW_CH4</f>
        <v>1.604276E-2</v>
      </c>
      <c r="N62" s="145">
        <f>CH4_Kiln_out/M62</f>
        <v>1281353.29566827</v>
      </c>
      <c r="O62" s="3">
        <f>N62/N63</f>
        <v>0.98080274597952433</v>
      </c>
      <c r="P62" s="30" t="s">
        <v>38</v>
      </c>
    </row>
    <row r="63" spans="2:17" ht="19.25" customHeight="1" x14ac:dyDescent="0.2">
      <c r="K63" s="17" t="s">
        <v>19</v>
      </c>
      <c r="L63" s="147">
        <f>SUM(L59:L62)</f>
        <v>21086.065658212443</v>
      </c>
      <c r="M63" s="147"/>
      <c r="N63" s="147">
        <f>E62</f>
        <v>1306433.2261718812</v>
      </c>
      <c r="O63" s="147">
        <f>F62</f>
        <v>1</v>
      </c>
      <c r="P63" s="17"/>
      <c r="Q63" s="17"/>
    </row>
    <row r="65" spans="2:41" ht="16.25" customHeight="1" x14ac:dyDescent="0.2"/>
    <row r="66" spans="2:41" ht="15.5" customHeight="1" x14ac:dyDescent="0.2"/>
    <row r="67" spans="2:41" ht="19.25" customHeight="1" x14ac:dyDescent="0.2"/>
    <row r="68" spans="2:41" ht="16" thickBot="1" x14ac:dyDescent="0.25"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</row>
    <row r="69" spans="2:41" x14ac:dyDescent="0.2">
      <c r="B69" s="295" t="s">
        <v>380</v>
      </c>
      <c r="C69" s="295"/>
      <c r="D69" s="295"/>
      <c r="E69" s="295"/>
      <c r="F69" s="295"/>
      <c r="G69" s="295"/>
      <c r="W69" s="158"/>
      <c r="Y69" s="291" t="s">
        <v>501</v>
      </c>
      <c r="Z69" s="291"/>
      <c r="AA69" s="291"/>
      <c r="AB69" s="291"/>
      <c r="AC69" s="291"/>
      <c r="AD69" s="291"/>
      <c r="AE69" s="291"/>
      <c r="AF69" s="291"/>
    </row>
    <row r="70" spans="2:41" x14ac:dyDescent="0.2">
      <c r="B70" s="296"/>
      <c r="C70" s="296"/>
      <c r="D70" s="296"/>
      <c r="E70" s="296"/>
      <c r="F70" s="296"/>
      <c r="G70" s="296"/>
      <c r="W70" s="156"/>
      <c r="Y70" s="291"/>
      <c r="Z70" s="291"/>
      <c r="AA70" s="291"/>
      <c r="AB70" s="291"/>
      <c r="AC70" s="291"/>
      <c r="AD70" s="291"/>
      <c r="AE70" s="291"/>
      <c r="AF70" s="291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6"/>
      <c r="Y71" s="291"/>
      <c r="Z71" s="291"/>
      <c r="AA71" s="291"/>
      <c r="AB71" s="291"/>
      <c r="AC71" s="291"/>
      <c r="AD71" s="291"/>
      <c r="AE71" s="291"/>
      <c r="AF71" s="291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6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X73" s="156"/>
      <c r="Y73" s="172" t="s">
        <v>114</v>
      </c>
      <c r="Z73" s="3" t="s">
        <v>1</v>
      </c>
      <c r="AA73" s="3" t="s">
        <v>47</v>
      </c>
      <c r="AB73" s="3" t="s">
        <v>5</v>
      </c>
      <c r="AC73" s="202" t="s">
        <v>412</v>
      </c>
      <c r="AD73" s="3" t="s">
        <v>39</v>
      </c>
      <c r="AG73" s="172" t="s">
        <v>114</v>
      </c>
      <c r="AH73" s="202" t="s">
        <v>412</v>
      </c>
      <c r="AJ73" s="202" t="s">
        <v>412</v>
      </c>
      <c r="AL73" s="172" t="s">
        <v>115</v>
      </c>
      <c r="AM73" s="202" t="s">
        <v>412</v>
      </c>
      <c r="AO73" s="202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2" t="s">
        <v>412</v>
      </c>
      <c r="S74" s="202" t="s">
        <v>412</v>
      </c>
      <c r="V74" s="156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6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6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6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6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K77" s="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6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6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2" t="s">
        <v>412</v>
      </c>
      <c r="H78" s="202" t="s">
        <v>412</v>
      </c>
      <c r="I78" s="202" t="s">
        <v>412</v>
      </c>
      <c r="J78" s="202" t="s">
        <v>412</v>
      </c>
      <c r="K78" s="202" t="s">
        <v>412</v>
      </c>
      <c r="L78" s="202" t="s">
        <v>412</v>
      </c>
      <c r="M78" s="4"/>
      <c r="N78" s="4"/>
      <c r="O78" s="4"/>
      <c r="P78" s="4"/>
      <c r="Q78" s="1"/>
      <c r="R78" s="1"/>
      <c r="S78" s="6"/>
      <c r="V78" s="15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6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6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6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 t="shared" ref="F80:F85" si="13">C80/E80</f>
        <v>19743.878868609463</v>
      </c>
      <c r="G80" s="1"/>
      <c r="H80" s="3">
        <f>(2*F80)+S76+S80</f>
        <v>45411.454369105508</v>
      </c>
      <c r="I80" s="3">
        <f>Q76+Q80+Q84+Q88</f>
        <v>1664.4536157940945</v>
      </c>
      <c r="J80" s="4">
        <f>S84+S88</f>
        <v>156.0578035820115</v>
      </c>
      <c r="K80" s="4">
        <f>F84</f>
        <v>47.194095107231931</v>
      </c>
      <c r="L80" s="1">
        <f>SUM(H80:K80)+I81</f>
        <v>63831.290848807323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6"/>
      <c r="Y80" s="13" t="s">
        <v>65</v>
      </c>
      <c r="Z80" s="166">
        <f t="shared" si="10"/>
        <v>22.962283000184108</v>
      </c>
      <c r="AA80" s="28">
        <v>0.33</v>
      </c>
      <c r="AB80" s="28">
        <f>MW_CH4</f>
        <v>1.604276E-2</v>
      </c>
      <c r="AC80" s="237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4">D81*$C$86</f>
        <v>1.3916535151626732</v>
      </c>
      <c r="D81" s="3">
        <v>0.02</v>
      </c>
      <c r="E81" s="3">
        <f>MW_C2H4</f>
        <v>2.8053759999999997E-2</v>
      </c>
      <c r="F81" s="3">
        <f t="shared" si="13"/>
        <v>49.60666645621383</v>
      </c>
      <c r="G81" s="1"/>
      <c r="I81" s="3">
        <f>mol_C_to_BF</f>
        <v>16552.130965218472</v>
      </c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6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4"/>
        <v>3.1312204091160147</v>
      </c>
      <c r="D82" s="3">
        <v>4.4999999999999998E-2</v>
      </c>
      <c r="E82" s="3">
        <f>MW_CO</f>
        <v>2.8010399999999998E-2</v>
      </c>
      <c r="F82" s="3">
        <f t="shared" si="13"/>
        <v>111.78777915045893</v>
      </c>
      <c r="G82" s="1"/>
      <c r="I82" s="3">
        <f>SUM(I80:I81)</f>
        <v>18216.584581012565</v>
      </c>
      <c r="J82" s="4"/>
      <c r="K82" s="4"/>
      <c r="L82" s="6"/>
      <c r="M82" s="6"/>
      <c r="N82" s="6"/>
      <c r="O82" s="6"/>
      <c r="P82" s="6"/>
      <c r="V82" s="156"/>
    </row>
    <row r="83" spans="2:39" ht="18" x14ac:dyDescent="0.25">
      <c r="B83" s="20" t="s">
        <v>64</v>
      </c>
      <c r="C83" s="17">
        <f t="shared" si="14"/>
        <v>0.97415746061387132</v>
      </c>
      <c r="D83" s="3">
        <v>1.4E-2</v>
      </c>
      <c r="E83" s="3">
        <f>MW_CO2</f>
        <v>4.4009800000000002E-2</v>
      </c>
      <c r="F83" s="3">
        <f t="shared" si="13"/>
        <v>22.135012215776289</v>
      </c>
      <c r="G83" s="1"/>
      <c r="H83" s="3">
        <f>H80/I82</f>
        <v>2.4928632569487581</v>
      </c>
      <c r="I83" s="3">
        <v>1</v>
      </c>
      <c r="J83" s="4">
        <f>J80/I82</f>
        <v>8.5667981771222375E-3</v>
      </c>
      <c r="K83" s="1">
        <f>K80/I82</f>
        <v>2.5907213779482619E-3</v>
      </c>
      <c r="L83" s="3">
        <f>I82*L80</f>
        <v>1162788108.6625118</v>
      </c>
      <c r="V83" s="156"/>
      <c r="AG83" s="19" t="s">
        <v>18</v>
      </c>
      <c r="AH83" s="3">
        <f>AH84</f>
        <v>22.135012215776289</v>
      </c>
      <c r="AI83" s="242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4"/>
        <v>1.3220708394045395</v>
      </c>
      <c r="D84" s="3">
        <v>1.9E-2</v>
      </c>
      <c r="E84" s="3">
        <f>MW_N2</f>
        <v>2.801348E-2</v>
      </c>
      <c r="F84" s="3">
        <f t="shared" si="13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6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8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4"/>
        <v>22.962283000184108</v>
      </c>
      <c r="D85" s="3">
        <v>0.33</v>
      </c>
      <c r="E85" s="3">
        <f>MW_CH4</f>
        <v>1.604276E-2</v>
      </c>
      <c r="F85" s="3">
        <f t="shared" si="13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6"/>
      <c r="Y85" s="172" t="s">
        <v>115</v>
      </c>
      <c r="Z85" s="3" t="s">
        <v>1</v>
      </c>
      <c r="AA85" s="3" t="s">
        <v>47</v>
      </c>
      <c r="AB85" s="3" t="s">
        <v>5</v>
      </c>
      <c r="AC85" s="202" t="s">
        <v>412</v>
      </c>
      <c r="AD85" s="3" t="s">
        <v>39</v>
      </c>
    </row>
    <row r="86" spans="2:39" ht="18" x14ac:dyDescent="0.25">
      <c r="B86" s="3" t="s">
        <v>19</v>
      </c>
      <c r="C86" s="3">
        <f>COG_needed</f>
        <v>69.582675758133661</v>
      </c>
      <c r="D86" s="3">
        <f>SUM(D80:D85)</f>
        <v>1</v>
      </c>
      <c r="F86" s="3">
        <f>SUM(F80:F85)</f>
        <v>21405.919913054571</v>
      </c>
      <c r="G86" s="1"/>
      <c r="H86" s="1"/>
      <c r="I86" s="1"/>
      <c r="J86" s="1"/>
      <c r="K86" s="6"/>
      <c r="V86" s="156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E87" s="56"/>
      <c r="F87" s="7"/>
      <c r="G87" s="6"/>
      <c r="H87" s="6"/>
      <c r="I87" s="6"/>
      <c r="J87" s="1"/>
      <c r="K87" s="4"/>
      <c r="V87" s="156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6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6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6">
        <f>AC88/$AC$91</f>
        <v>7.8636235837663701E-2</v>
      </c>
      <c r="AG88" s="129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2" t="s">
        <v>392</v>
      </c>
      <c r="C89" s="3" t="s">
        <v>1</v>
      </c>
      <c r="D89" s="3" t="s">
        <v>47</v>
      </c>
      <c r="E89" s="3" t="s">
        <v>5</v>
      </c>
      <c r="F89" s="202" t="s">
        <v>412</v>
      </c>
      <c r="G89" s="133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3" t="s">
        <v>399</v>
      </c>
      <c r="M89" s="133" t="s">
        <v>401</v>
      </c>
      <c r="N89" s="133" t="s">
        <v>495</v>
      </c>
      <c r="P89" s="129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6"/>
      <c r="Y89" s="239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6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6"/>
      <c r="Y90" s="20" t="s">
        <v>67</v>
      </c>
      <c r="Z90" s="166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7">
        <f>AC90/$AC$91</f>
        <v>2.229660206678009E-3</v>
      </c>
    </row>
    <row r="91" spans="2:39" x14ac:dyDescent="0.2">
      <c r="B91" s="13" t="s">
        <v>18</v>
      </c>
      <c r="C91" s="3">
        <f>E91*F91</f>
        <v>1.2010999999999999E-2</v>
      </c>
      <c r="D91" s="3">
        <f>C91/$C$96</f>
        <v>6.4894748354920586E-4</v>
      </c>
      <c r="E91" s="3">
        <f>MW_C</f>
        <v>1.2010999999999999E-2</v>
      </c>
      <c r="F91" s="3">
        <f>mol_C_Coal_in</f>
        <v>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0.20919628600523951</v>
      </c>
      <c r="J91" s="3">
        <f>C93/C91</f>
        <v>1.141150867996416E-2</v>
      </c>
      <c r="K91" s="3">
        <f>C94/C91</f>
        <v>3.0211939683093035E-3</v>
      </c>
      <c r="L91" s="3">
        <f>G91+(phi_dry_constant_a_*(I91))+(phi_dry_constant_b*(J91))+(phi_dry_constant_c*(K91))</f>
        <v>1.0838888992919837</v>
      </c>
      <c r="M91" s="3">
        <f>NCV_dry_anthrocite*L91</f>
        <v>32603.37809070287</v>
      </c>
      <c r="N91" s="3">
        <f>G91*H91</f>
        <v>31394.496000000003</v>
      </c>
      <c r="X91" s="156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2.5126565912089315E-3</v>
      </c>
      <c r="D92" s="3">
        <f t="shared" ref="D92:D95" si="17">C92/$C$96</f>
        <v>1.3575740337094013E-4</v>
      </c>
      <c r="E92" s="3">
        <f>MW_H</f>
        <v>1.0079400000000001E-3</v>
      </c>
      <c r="F92" s="3">
        <f>mol_H_Coal</f>
        <v>2.4928632569487581</v>
      </c>
      <c r="X92" s="156"/>
    </row>
    <row r="93" spans="2:39" x14ac:dyDescent="0.2">
      <c r="B93" s="13" t="s">
        <v>29</v>
      </c>
      <c r="C93" s="3">
        <f t="shared" si="16"/>
        <v>1.3706363075504952E-4</v>
      </c>
      <c r="D93" s="3">
        <f t="shared" si="17"/>
        <v>7.4054698413626621E-6</v>
      </c>
      <c r="E93" s="3">
        <f>MW_O</f>
        <v>1.59994E-2</v>
      </c>
      <c r="F93" s="3">
        <f>mol_O_Coal</f>
        <v>8.5667981771222375E-3</v>
      </c>
      <c r="X93" s="156"/>
    </row>
    <row r="94" spans="2:39" x14ac:dyDescent="0.2">
      <c r="B94" s="13" t="s">
        <v>364</v>
      </c>
      <c r="C94" s="3">
        <f t="shared" si="16"/>
        <v>3.6287560753363042E-5</v>
      </c>
      <c r="D94" s="3">
        <f t="shared" si="17"/>
        <v>1.9605962230483616E-6</v>
      </c>
      <c r="E94" s="3">
        <f>MW_N2/2</f>
        <v>1.400674E-2</v>
      </c>
      <c r="F94" s="3">
        <f>mol_N_Coal</f>
        <v>2.5907213779482619E-3</v>
      </c>
      <c r="X94" s="156"/>
      <c r="Y94" s="172" t="s">
        <v>454</v>
      </c>
      <c r="AG94" s="172" t="s">
        <v>490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0.99920592904701533</v>
      </c>
      <c r="X95" s="156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18.508431428549141</v>
      </c>
      <c r="Y96" s="172" t="s">
        <v>115</v>
      </c>
      <c r="Z96" s="3" t="s">
        <v>1</v>
      </c>
      <c r="AA96" s="3" t="s">
        <v>47</v>
      </c>
      <c r="AB96" s="3" t="s">
        <v>5</v>
      </c>
      <c r="AC96" s="202" t="s">
        <v>412</v>
      </c>
      <c r="AD96" s="3" t="s">
        <v>39</v>
      </c>
      <c r="AG96" s="172" t="s">
        <v>115</v>
      </c>
      <c r="AH96" s="3" t="s">
        <v>1</v>
      </c>
      <c r="AI96" s="3" t="s">
        <v>47</v>
      </c>
      <c r="AJ96" s="3" t="s">
        <v>5</v>
      </c>
      <c r="AK96" s="202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B98" s="172" t="s">
        <v>392</v>
      </c>
      <c r="C98" s="3" t="s">
        <v>1</v>
      </c>
      <c r="D98" s="3" t="s">
        <v>47</v>
      </c>
      <c r="E98" s="3" t="s">
        <v>5</v>
      </c>
      <c r="F98" s="202" t="s">
        <v>412</v>
      </c>
      <c r="H98" s="25" t="s">
        <v>391</v>
      </c>
      <c r="I98" s="3" t="s">
        <v>1</v>
      </c>
      <c r="J98" s="3" t="s">
        <v>47</v>
      </c>
      <c r="K98" s="3" t="s">
        <v>5</v>
      </c>
      <c r="L98" s="202" t="s">
        <v>412</v>
      </c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6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6">
        <f>AK98/$AK$102</f>
        <v>0.91544766952145873</v>
      </c>
    </row>
    <row r="99" spans="2:48" ht="18" x14ac:dyDescent="0.25">
      <c r="B99" s="13" t="s">
        <v>41</v>
      </c>
      <c r="C99" s="13" t="s">
        <v>11</v>
      </c>
      <c r="D99" s="13" t="s">
        <v>241</v>
      </c>
      <c r="E99" s="19" t="s">
        <v>85</v>
      </c>
      <c r="F99" s="13" t="s">
        <v>42</v>
      </c>
      <c r="H99" s="13" t="s">
        <v>41</v>
      </c>
      <c r="I99" s="13" t="s">
        <v>11</v>
      </c>
      <c r="J99" s="13" t="s">
        <v>241</v>
      </c>
      <c r="K99" s="19" t="s">
        <v>85</v>
      </c>
      <c r="L99" s="13" t="s">
        <v>42</v>
      </c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6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6">
        <f>AK99/$AK$102</f>
        <v>7.8636235837663701E-2</v>
      </c>
    </row>
    <row r="100" spans="2:48" ht="18" x14ac:dyDescent="0.25">
      <c r="B100" s="13" t="s">
        <v>18</v>
      </c>
      <c r="C100" s="3">
        <f>E100*F100</f>
        <v>1.2010999999999999E-2</v>
      </c>
      <c r="D100" s="3">
        <v>0.76239999999999997</v>
      </c>
      <c r="E100" s="3">
        <f>MW_C</f>
        <v>1.2010999999999999E-2</v>
      </c>
      <c r="F100" s="3">
        <f>mol_C_Coal_in</f>
        <v>1</v>
      </c>
      <c r="H100" s="13" t="s">
        <v>467</v>
      </c>
      <c r="Y100" s="239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6">
        <f>AC100/$AC$102</f>
        <v>3.6864344341996282E-3</v>
      </c>
      <c r="AG100" s="239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6">
        <f>AK100/$AK$102</f>
        <v>3.6864344341996287E-3</v>
      </c>
    </row>
    <row r="101" spans="2:48" ht="18" x14ac:dyDescent="0.25">
      <c r="B101" s="13" t="s">
        <v>68</v>
      </c>
      <c r="C101" s="3">
        <f t="shared" ref="C101:C103" si="20">E101*F101</f>
        <v>2.5126565912089315E-3</v>
      </c>
      <c r="D101" s="3">
        <v>3.04E-2</v>
      </c>
      <c r="E101" s="3">
        <f>MW_H</f>
        <v>1.0079400000000001E-3</v>
      </c>
      <c r="F101" s="3">
        <f>mol_H_Coal</f>
        <v>2.4928632569487581</v>
      </c>
      <c r="H101" s="13" t="s">
        <v>18</v>
      </c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6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6">
        <f>AK101/$AK$102</f>
        <v>2.2296602066780094E-3</v>
      </c>
    </row>
    <row r="102" spans="2:48" ht="17" x14ac:dyDescent="0.25">
      <c r="B102" s="13" t="s">
        <v>29</v>
      </c>
      <c r="C102" s="3">
        <f t="shared" si="20"/>
        <v>1.3706363075504952E-4</v>
      </c>
      <c r="D102" s="3">
        <v>2.1299999999999999E-2</v>
      </c>
      <c r="E102" s="3">
        <f>MW_O</f>
        <v>1.59994E-2</v>
      </c>
      <c r="F102" s="3">
        <f>mol_O_Coal</f>
        <v>8.5667981771222375E-3</v>
      </c>
      <c r="H102" s="13" t="s">
        <v>68</v>
      </c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3" spans="2:48" x14ac:dyDescent="0.2">
      <c r="B103" s="13" t="s">
        <v>181</v>
      </c>
      <c r="C103" s="3">
        <f t="shared" si="20"/>
        <v>3.6287560753363042E-5</v>
      </c>
      <c r="D103" s="3">
        <f>0.39/100</f>
        <v>3.9000000000000003E-3</v>
      </c>
      <c r="E103" s="3">
        <f>MW_N2/2</f>
        <v>1.400674E-2</v>
      </c>
      <c r="F103" s="3">
        <f>mol_N_Coal</f>
        <v>2.5907213779482619E-3</v>
      </c>
      <c r="H103" s="13" t="s">
        <v>181</v>
      </c>
    </row>
    <row r="104" spans="2:48" x14ac:dyDescent="0.2">
      <c r="B104" s="13" t="s">
        <v>381</v>
      </c>
      <c r="C104" s="3">
        <f>G84</f>
        <v>0</v>
      </c>
      <c r="D104" s="3">
        <v>0.18199999999999997</v>
      </c>
      <c r="H104" s="13" t="s">
        <v>381</v>
      </c>
      <c r="AE104" s="3">
        <f>(AH102*2)+Z102</f>
        <v>69.582675758133661</v>
      </c>
    </row>
    <row r="105" spans="2:48" x14ac:dyDescent="0.2">
      <c r="B105" s="3" t="s">
        <v>19</v>
      </c>
      <c r="C105" s="3">
        <f>SUM(C100:C104)</f>
        <v>1.4697007782717344E-2</v>
      </c>
      <c r="D105" s="3">
        <f>SUM(D100:D104)</f>
        <v>0.99999999999999989</v>
      </c>
    </row>
    <row r="108" spans="2:48" ht="17" x14ac:dyDescent="0.25">
      <c r="B108" s="172" t="s">
        <v>502</v>
      </c>
      <c r="C108" s="3" t="s">
        <v>1</v>
      </c>
      <c r="D108" s="3" t="s">
        <v>5</v>
      </c>
      <c r="E108" s="202" t="s">
        <v>412</v>
      </c>
      <c r="H108" s="172" t="s">
        <v>391</v>
      </c>
      <c r="I108" s="3" t="s">
        <v>1</v>
      </c>
      <c r="J108" s="3" t="s">
        <v>5</v>
      </c>
      <c r="K108" s="202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3">
        <f>K110*J110</f>
        <v>46.53572755785698</v>
      </c>
      <c r="J110" s="263">
        <f>MW_CO2</f>
        <v>4.4009800000000002E-2</v>
      </c>
      <c r="K110" s="263">
        <f>E110</f>
        <v>1057.3946611404047</v>
      </c>
      <c r="L110" s="3">
        <v>1</v>
      </c>
    </row>
    <row r="111" spans="2:48" ht="18" x14ac:dyDescent="0.25">
      <c r="B111" s="238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1</v>
      </c>
      <c r="H111" s="13" t="s">
        <v>68</v>
      </c>
      <c r="I111" s="263">
        <f>K111*J111</f>
        <v>38.098521781899024</v>
      </c>
      <c r="J111" s="263">
        <f>MW_H2O</f>
        <v>1.8015280000000002E-2</v>
      </c>
      <c r="K111" s="263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v>1</v>
      </c>
      <c r="H112" s="39" t="s">
        <v>67</v>
      </c>
      <c r="I112" s="263">
        <f>K112*J112</f>
        <v>222.75220752356552</v>
      </c>
      <c r="J112" s="263">
        <f>MW_N2</f>
        <v>2.801348E-2</v>
      </c>
      <c r="K112" s="263">
        <f>E112</f>
        <v>7951.6078517758424</v>
      </c>
      <c r="L112" s="3">
        <v>1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9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x14ac:dyDescent="0.2">
      <c r="C147" s="294" t="s">
        <v>464</v>
      </c>
      <c r="D147" s="294"/>
      <c r="E147" s="294"/>
      <c r="F147" s="294"/>
      <c r="G147" s="294"/>
    </row>
    <row r="148" spans="1:30" x14ac:dyDescent="0.2">
      <c r="B148" s="172" t="s">
        <v>454</v>
      </c>
      <c r="C148" s="291"/>
      <c r="D148" s="291"/>
      <c r="E148" s="291"/>
      <c r="F148" s="291"/>
      <c r="G148" s="291"/>
    </row>
    <row r="149" spans="1:30" x14ac:dyDescent="0.2">
      <c r="B149" s="3">
        <v>0.7</v>
      </c>
      <c r="I149" s="129" t="s">
        <v>338</v>
      </c>
    </row>
    <row r="150" spans="1:30" ht="18" x14ac:dyDescent="0.25">
      <c r="B150" s="172" t="s">
        <v>114</v>
      </c>
      <c r="C150" s="3" t="s">
        <v>1</v>
      </c>
      <c r="D150" s="3" t="s">
        <v>47</v>
      </c>
      <c r="E150" s="3" t="s">
        <v>5</v>
      </c>
      <c r="F150" s="202" t="s">
        <v>412</v>
      </c>
      <c r="G150" s="3" t="s">
        <v>39</v>
      </c>
      <c r="I150" s="1" t="s">
        <v>90</v>
      </c>
      <c r="L150" s="172" t="s">
        <v>114</v>
      </c>
      <c r="M150" s="3" t="s">
        <v>1</v>
      </c>
      <c r="N150" s="3" t="s">
        <v>47</v>
      </c>
      <c r="O150" s="3" t="s">
        <v>5</v>
      </c>
      <c r="P150" s="202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6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6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1">C153/$C$156</f>
        <v>0.38375112193347299</v>
      </c>
      <c r="E153" s="3">
        <f>MW_CH4</f>
        <v>1.604276E-2</v>
      </c>
      <c r="F153" s="3">
        <f t="shared" ref="F153:F155" si="22">C153/E153</f>
        <v>1165.1175310558663</v>
      </c>
      <c r="G153" s="156">
        <f>F153/$AC$102</f>
        <v>7.8636235837663701E-2</v>
      </c>
      <c r="L153" s="243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6">
        <f>P153/$AC$102</f>
        <v>7.8636235837663701E-2</v>
      </c>
    </row>
    <row r="154" spans="1:30" ht="18" x14ac:dyDescent="0.25">
      <c r="B154" s="239" t="s">
        <v>24</v>
      </c>
      <c r="C154" s="24">
        <f>O2_to_BF_from_coke</f>
        <v>1.7477818558410245</v>
      </c>
      <c r="D154" s="3">
        <f t="shared" si="21"/>
        <v>3.5882943497443406E-2</v>
      </c>
      <c r="E154" s="3">
        <f>MW_O2</f>
        <v>3.1998800000000001E-2</v>
      </c>
      <c r="F154" s="3">
        <f t="shared" si="22"/>
        <v>54.620231253704027</v>
      </c>
      <c r="G154" s="156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6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1"/>
        <v>1.9E-2</v>
      </c>
      <c r="E155" s="3">
        <f>MW_N2</f>
        <v>2.801348E-2</v>
      </c>
      <c r="F155" s="3">
        <f t="shared" si="22"/>
        <v>33.03586657506235</v>
      </c>
      <c r="G155" s="156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9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6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6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489</v>
      </c>
      <c r="C163" s="3">
        <f>C161+C156</f>
        <v>1292.56993077671</v>
      </c>
    </row>
    <row r="166" spans="2:21" ht="17" x14ac:dyDescent="0.25">
      <c r="B166" s="172" t="s">
        <v>114</v>
      </c>
      <c r="C166" s="202" t="s">
        <v>412</v>
      </c>
      <c r="E166" s="202" t="s">
        <v>412</v>
      </c>
      <c r="G166" s="172" t="s">
        <v>115</v>
      </c>
      <c r="H166" s="202" t="s">
        <v>412</v>
      </c>
      <c r="J166" s="202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458</v>
      </c>
      <c r="C169" s="1">
        <f>F153</f>
        <v>1165.1175310558663</v>
      </c>
      <c r="D169" s="61" t="s">
        <v>459</v>
      </c>
      <c r="E169" s="1">
        <f>F152+(2*F153)</f>
        <v>15894.009029186927</v>
      </c>
      <c r="G169" s="243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8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2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</row>
    <row r="176" spans="2:21" x14ac:dyDescent="0.2">
      <c r="B176" s="291" t="s">
        <v>606</v>
      </c>
      <c r="C176" s="291"/>
      <c r="D176" s="291"/>
      <c r="E176" s="291"/>
      <c r="F176" s="291"/>
      <c r="G176" s="291"/>
    </row>
    <row r="177" spans="2:17" x14ac:dyDescent="0.2">
      <c r="B177" s="291"/>
      <c r="C177" s="291"/>
      <c r="D177" s="291"/>
      <c r="E177" s="291"/>
      <c r="F177" s="291"/>
      <c r="G177" s="291"/>
    </row>
    <row r="178" spans="2:17" x14ac:dyDescent="0.2">
      <c r="B178" s="291"/>
      <c r="C178" s="291"/>
      <c r="D178" s="291"/>
      <c r="E178" s="291"/>
      <c r="F178" s="291"/>
      <c r="G178" s="291"/>
    </row>
    <row r="182" spans="2:17" x14ac:dyDescent="0.2">
      <c r="B182" s="172" t="s">
        <v>455</v>
      </c>
    </row>
    <row r="183" spans="2:17" x14ac:dyDescent="0.2">
      <c r="B183" s="3">
        <v>0.15</v>
      </c>
    </row>
    <row r="184" spans="2:17" ht="17" x14ac:dyDescent="0.25">
      <c r="B184" s="172" t="s">
        <v>114</v>
      </c>
      <c r="C184" s="3" t="s">
        <v>1</v>
      </c>
      <c r="D184" s="3" t="s">
        <v>47</v>
      </c>
      <c r="E184" s="3" t="s">
        <v>5</v>
      </c>
      <c r="F184" s="202" t="s">
        <v>412</v>
      </c>
      <c r="G184" s="3" t="s">
        <v>39</v>
      </c>
      <c r="L184" s="172" t="s">
        <v>115</v>
      </c>
      <c r="M184" s="3" t="s">
        <v>1</v>
      </c>
      <c r="N184" s="3" t="s">
        <v>47</v>
      </c>
      <c r="O184" s="3" t="s">
        <v>5</v>
      </c>
      <c r="P184" s="202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6">
        <f>F186/$F$190</f>
        <v>0.91544766952145873</v>
      </c>
      <c r="L186" s="34" t="s">
        <v>68</v>
      </c>
      <c r="M186" s="24">
        <f t="shared" ref="M186:M187" si="23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6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4">C187/$C$190</f>
        <v>0.3837511219334731</v>
      </c>
      <c r="E187" s="3">
        <f>MW_CH4</f>
        <v>1.604276E-2</v>
      </c>
      <c r="F187" s="3">
        <f t="shared" ref="F187:F189" si="25">C187/E187</f>
        <v>249.66804236911418</v>
      </c>
      <c r="G187" s="156">
        <f t="shared" ref="G187:G189" si="26">F187/$F$190</f>
        <v>7.8636235837663701E-2</v>
      </c>
      <c r="L187" s="243" t="s">
        <v>64</v>
      </c>
      <c r="M187" s="24">
        <f t="shared" si="23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6">
        <f>P187/$AC$102</f>
        <v>1.6850621965213648E-2</v>
      </c>
    </row>
    <row r="188" spans="2:17" ht="18" x14ac:dyDescent="0.25">
      <c r="B188" s="239" t="s">
        <v>24</v>
      </c>
      <c r="C188" s="24">
        <f>O2_to_coke_oven</f>
        <v>0.37452468339450529</v>
      </c>
      <c r="D188" s="3">
        <f t="shared" si="24"/>
        <v>3.5882943497443413E-2</v>
      </c>
      <c r="E188" s="3">
        <f>MW_O2</f>
        <v>3.1998800000000001E-2</v>
      </c>
      <c r="F188" s="3">
        <f t="shared" si="25"/>
        <v>11.704335268650864</v>
      </c>
      <c r="G188" s="156">
        <f t="shared" si="26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6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4"/>
        <v>1.9000000000000003E-2</v>
      </c>
      <c r="E189" s="3">
        <f>MW_N2</f>
        <v>2.801348E-2</v>
      </c>
      <c r="F189" s="3">
        <f t="shared" si="25"/>
        <v>7.0791142660847894</v>
      </c>
      <c r="G189" s="156">
        <f t="shared" si="26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9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488</v>
      </c>
      <c r="C195" s="3">
        <f>C194+C190</f>
        <v>276.97927088072356</v>
      </c>
    </row>
    <row r="197" spans="2:10" ht="17" x14ac:dyDescent="0.25">
      <c r="B197" s="172" t="s">
        <v>114</v>
      </c>
      <c r="C197" s="202" t="s">
        <v>412</v>
      </c>
      <c r="E197" s="202" t="s">
        <v>412</v>
      </c>
      <c r="G197" s="172" t="s">
        <v>115</v>
      </c>
      <c r="H197" s="202" t="s">
        <v>412</v>
      </c>
      <c r="J197" s="202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2*E200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458</v>
      </c>
      <c r="C200" s="1">
        <f>F187</f>
        <v>249.66804236911418</v>
      </c>
      <c r="D200" s="61" t="s">
        <v>459</v>
      </c>
      <c r="E200" s="1">
        <f>F186+(2*F187)</f>
        <v>3405.8590776829128</v>
      </c>
      <c r="G200" s="243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8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2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8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</row>
    <row r="215" spans="2:20" ht="18" x14ac:dyDescent="0.25">
      <c r="B215" s="291" t="s">
        <v>506</v>
      </c>
      <c r="C215" s="291"/>
      <c r="D215" s="291"/>
      <c r="E215" s="291"/>
      <c r="G215" s="20" t="s">
        <v>67</v>
      </c>
      <c r="H215" s="238" t="s">
        <v>24</v>
      </c>
      <c r="J215" s="289" t="s">
        <v>70</v>
      </c>
      <c r="K215" s="289"/>
      <c r="L215" s="289"/>
      <c r="M215" s="289"/>
      <c r="N215" s="289"/>
      <c r="O215" s="289"/>
    </row>
    <row r="216" spans="2:20" ht="18" x14ac:dyDescent="0.25">
      <c r="B216" s="291"/>
      <c r="C216" s="291"/>
      <c r="D216" s="291"/>
      <c r="E216" s="291"/>
      <c r="G216" s="13">
        <v>3.76</v>
      </c>
      <c r="H216" s="13">
        <v>2</v>
      </c>
      <c r="J216" s="289" t="s">
        <v>508</v>
      </c>
      <c r="K216" s="289"/>
      <c r="L216" s="289"/>
      <c r="M216" s="13"/>
      <c r="N216" s="292" t="s">
        <v>75</v>
      </c>
      <c r="O216" s="293"/>
    </row>
    <row r="217" spans="2:20" x14ac:dyDescent="0.2">
      <c r="B217" s="291"/>
      <c r="C217" s="291"/>
      <c r="D217" s="291"/>
      <c r="E217" s="291"/>
      <c r="J217" s="289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89"/>
      <c r="L217" s="289"/>
      <c r="M217" s="289"/>
      <c r="N217" s="289"/>
      <c r="O217" s="289"/>
    </row>
    <row r="220" spans="2:20" ht="17" x14ac:dyDescent="0.25">
      <c r="C220" s="3" t="s">
        <v>1</v>
      </c>
      <c r="D220" s="3" t="s">
        <v>5</v>
      </c>
      <c r="E220" s="202" t="s">
        <v>412</v>
      </c>
      <c r="H220" s="172" t="s">
        <v>391</v>
      </c>
      <c r="I220" s="3" t="s">
        <v>1</v>
      </c>
      <c r="J220" s="3" t="s">
        <v>5</v>
      </c>
      <c r="K220" s="202" t="s">
        <v>412</v>
      </c>
    </row>
    <row r="221" spans="2:20" ht="18" x14ac:dyDescent="0.25">
      <c r="B221" s="172" t="s">
        <v>507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500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2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8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7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7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500</v>
      </c>
      <c r="C232" s="3">
        <f>E222</f>
        <v>2.9146680566544707</v>
      </c>
      <c r="D232" s="242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</row>
    <row r="240" spans="2:21" x14ac:dyDescent="0.2">
      <c r="B240" s="291" t="s">
        <v>521</v>
      </c>
      <c r="C240" s="291"/>
      <c r="D240" s="291"/>
      <c r="E240" s="291"/>
      <c r="J240" s="289" t="s">
        <v>70</v>
      </c>
      <c r="K240" s="289"/>
      <c r="L240" s="289"/>
      <c r="M240" s="289"/>
      <c r="N240" s="289"/>
      <c r="O240" s="289"/>
    </row>
    <row r="241" spans="2:21" ht="18" x14ac:dyDescent="0.25">
      <c r="B241" s="291"/>
      <c r="C241" s="291"/>
      <c r="D241" s="291"/>
      <c r="E241" s="291"/>
      <c r="J241" s="289" t="s">
        <v>523</v>
      </c>
      <c r="K241" s="289"/>
      <c r="L241" s="289"/>
      <c r="M241" s="13"/>
      <c r="N241" s="292" t="s">
        <v>75</v>
      </c>
      <c r="O241" s="293"/>
    </row>
    <row r="242" spans="2:21" x14ac:dyDescent="0.2">
      <c r="B242" s="291"/>
      <c r="C242" s="291"/>
      <c r="D242" s="291"/>
      <c r="E242" s="291"/>
      <c r="J242" s="289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89"/>
      <c r="L242" s="289"/>
      <c r="M242" s="289"/>
      <c r="N242" s="289"/>
      <c r="O242" s="289"/>
    </row>
    <row r="245" spans="2:21" ht="17" x14ac:dyDescent="0.25">
      <c r="C245" s="3" t="s">
        <v>1</v>
      </c>
      <c r="D245" s="3" t="s">
        <v>5</v>
      </c>
      <c r="E245" s="202" t="s">
        <v>412</v>
      </c>
      <c r="H245" s="172" t="s">
        <v>391</v>
      </c>
      <c r="I245" s="3" t="s">
        <v>1</v>
      </c>
      <c r="J245" s="3" t="s">
        <v>5</v>
      </c>
      <c r="K245" s="202" t="s">
        <v>412</v>
      </c>
    </row>
    <row r="246" spans="2:21" ht="18" x14ac:dyDescent="0.25">
      <c r="B246" s="172" t="s">
        <v>522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499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2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8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8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8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</row>
    <row r="257" spans="2:18" x14ac:dyDescent="0.2">
      <c r="B257" s="291" t="s">
        <v>526</v>
      </c>
      <c r="C257" s="291"/>
      <c r="D257" s="291"/>
      <c r="E257" s="291"/>
      <c r="J257" s="289" t="s">
        <v>70</v>
      </c>
      <c r="K257" s="289"/>
      <c r="L257" s="289"/>
      <c r="M257" s="289"/>
      <c r="N257" s="289"/>
      <c r="O257" s="289"/>
    </row>
    <row r="258" spans="2:18" ht="18" x14ac:dyDescent="0.25">
      <c r="B258" s="291"/>
      <c r="C258" s="291"/>
      <c r="D258" s="291"/>
      <c r="E258" s="291"/>
      <c r="J258" s="289" t="s">
        <v>528</v>
      </c>
      <c r="K258" s="289"/>
      <c r="L258" s="289"/>
      <c r="M258" s="13"/>
      <c r="N258" s="292" t="s">
        <v>75</v>
      </c>
      <c r="O258" s="293"/>
    </row>
    <row r="259" spans="2:18" x14ac:dyDescent="0.2">
      <c r="B259" s="291"/>
      <c r="C259" s="291"/>
      <c r="D259" s="291"/>
      <c r="E259" s="291"/>
      <c r="J259" s="289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89"/>
      <c r="L259" s="289"/>
      <c r="M259" s="289"/>
      <c r="N259" s="289"/>
      <c r="O259" s="289"/>
    </row>
    <row r="262" spans="2:18" ht="17" x14ac:dyDescent="0.25">
      <c r="C262" s="3" t="s">
        <v>1</v>
      </c>
      <c r="D262" s="3" t="s">
        <v>5</v>
      </c>
      <c r="E262" s="202" t="s">
        <v>412</v>
      </c>
      <c r="H262" s="172" t="s">
        <v>391</v>
      </c>
      <c r="I262" s="3" t="s">
        <v>1</v>
      </c>
      <c r="J262" s="3" t="s">
        <v>5</v>
      </c>
      <c r="K262" s="202" t="s">
        <v>412</v>
      </c>
    </row>
    <row r="263" spans="2:18" ht="18" x14ac:dyDescent="0.25">
      <c r="B263" s="172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524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2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8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9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9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</row>
    <row r="273" spans="2:15" x14ac:dyDescent="0.2">
      <c r="B273" s="291" t="s">
        <v>525</v>
      </c>
      <c r="C273" s="291"/>
      <c r="D273" s="291"/>
      <c r="E273" s="291"/>
      <c r="J273" s="289" t="s">
        <v>70</v>
      </c>
      <c r="K273" s="289"/>
      <c r="L273" s="289"/>
      <c r="M273" s="289"/>
      <c r="N273" s="289"/>
      <c r="O273" s="289"/>
    </row>
    <row r="274" spans="2:15" ht="18" x14ac:dyDescent="0.25">
      <c r="B274" s="291"/>
      <c r="C274" s="291"/>
      <c r="D274" s="291"/>
      <c r="E274" s="291"/>
      <c r="J274" s="289" t="s">
        <v>74</v>
      </c>
      <c r="K274" s="289"/>
      <c r="L274" s="289"/>
      <c r="M274" s="13"/>
      <c r="N274" s="292" t="s">
        <v>75</v>
      </c>
      <c r="O274" s="293"/>
    </row>
    <row r="275" spans="2:15" x14ac:dyDescent="0.2">
      <c r="B275" s="291"/>
      <c r="C275" s="291"/>
      <c r="D275" s="291"/>
      <c r="E275" s="291"/>
      <c r="J275" s="289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89"/>
      <c r="L275" s="289"/>
      <c r="M275" s="289"/>
      <c r="N275" s="289"/>
      <c r="O275" s="289"/>
    </row>
    <row r="278" spans="2:15" ht="17" x14ac:dyDescent="0.25">
      <c r="C278" s="3" t="s">
        <v>1</v>
      </c>
      <c r="D278" s="3" t="s">
        <v>5</v>
      </c>
      <c r="E278" s="202" t="s">
        <v>412</v>
      </c>
      <c r="H278" s="172" t="s">
        <v>391</v>
      </c>
      <c r="I278" s="3" t="s">
        <v>1</v>
      </c>
      <c r="J278" s="3" t="s">
        <v>5</v>
      </c>
      <c r="K278" s="202" t="s">
        <v>412</v>
      </c>
    </row>
    <row r="279" spans="2:15" ht="18" x14ac:dyDescent="0.25">
      <c r="B279" s="172" t="s">
        <v>527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2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8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30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30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</sheetData>
  <mergeCells count="66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20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BF197" zoomScale="108" zoomScaleNormal="40" workbookViewId="0">
      <selection activeCell="CC237" sqref="CC237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0.332031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7" t="s">
        <v>365</v>
      </c>
      <c r="O23" s="337"/>
      <c r="P23" s="337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38"/>
      <c r="O24" s="338"/>
      <c r="P24" s="338"/>
    </row>
    <row r="25" spans="14:63" ht="18" x14ac:dyDescent="0.25">
      <c r="N25" s="101" t="s">
        <v>82</v>
      </c>
      <c r="O25" s="325" t="s">
        <v>345</v>
      </c>
      <c r="P25" s="139" t="s">
        <v>318</v>
      </c>
      <c r="AM25" s="322" t="s">
        <v>441</v>
      </c>
      <c r="AN25" s="322"/>
      <c r="AO25" s="322"/>
      <c r="AP25" s="322"/>
      <c r="AQ25" s="322"/>
      <c r="AR25" s="322"/>
      <c r="AS25" s="322"/>
      <c r="BE25" s="322" t="s">
        <v>445</v>
      </c>
      <c r="BF25" s="322"/>
      <c r="BG25" s="322"/>
      <c r="BH25" s="322"/>
      <c r="BI25" s="322"/>
      <c r="BJ25" s="322"/>
      <c r="BK25" s="322"/>
    </row>
    <row r="26" spans="14:63" ht="16" x14ac:dyDescent="0.2">
      <c r="N26" s="75" t="s">
        <v>48</v>
      </c>
      <c r="O26" s="326"/>
      <c r="P26" s="137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6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6" t="s">
        <v>323</v>
      </c>
      <c r="BK26" s="13" t="s">
        <v>317</v>
      </c>
    </row>
    <row r="27" spans="14:63" ht="18" thickBot="1" x14ac:dyDescent="0.3">
      <c r="N27" s="102">
        <f>U42</f>
        <v>109233.7126431732</v>
      </c>
      <c r="O27" s="140" t="s">
        <v>342</v>
      </c>
      <c r="P27" s="137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40" t="s">
        <v>343</v>
      </c>
      <c r="P28" s="137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1" t="s">
        <v>344</v>
      </c>
      <c r="P29" s="138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2"/>
      <c r="Q41" s="272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24" t="s">
        <v>425</v>
      </c>
      <c r="F42" s="324"/>
      <c r="G42" s="324"/>
      <c r="H42" s="324"/>
      <c r="J42" s="4"/>
      <c r="K42" s="4"/>
      <c r="L42" s="4"/>
      <c r="M42" s="4"/>
      <c r="N42" s="4"/>
      <c r="O42" s="272"/>
      <c r="P42" s="272" t="s">
        <v>426</v>
      </c>
      <c r="Q42" s="272"/>
      <c r="R42" s="4"/>
      <c r="S42" s="4"/>
      <c r="T42" s="50">
        <f>K52</f>
        <v>1011.7674660019052</v>
      </c>
      <c r="U42" s="48">
        <f>U52</f>
        <v>109233.7126431732</v>
      </c>
      <c r="V42" s="339" t="s">
        <v>418</v>
      </c>
      <c r="W42" s="339"/>
      <c r="X42" s="339"/>
      <c r="Y42" s="339"/>
      <c r="Z42" s="339"/>
      <c r="AA42" s="4"/>
      <c r="AB42" s="4"/>
      <c r="AC42" s="4"/>
      <c r="AD42" s="4"/>
      <c r="AE42" s="4"/>
      <c r="AF42" s="4"/>
      <c r="AG42" s="98"/>
      <c r="AH42" s="4" t="s">
        <v>568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39" t="s">
        <v>582</v>
      </c>
      <c r="AO42" s="339"/>
      <c r="AP42" s="339"/>
      <c r="AQ42" s="339"/>
      <c r="AR42" s="339"/>
      <c r="AT42" s="4"/>
      <c r="AU42" s="4"/>
      <c r="AV42" s="4"/>
      <c r="AW42" s="4"/>
      <c r="AX42" s="4"/>
      <c r="AY42" s="4"/>
      <c r="AZ42" s="4" t="s">
        <v>567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39" t="s">
        <v>446</v>
      </c>
      <c r="BG42" s="339"/>
      <c r="BH42" s="339"/>
      <c r="BI42" s="339"/>
      <c r="BJ42" s="339"/>
      <c r="BR42" s="3" t="s">
        <v>565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24"/>
      <c r="F43" s="324"/>
      <c r="G43" s="324"/>
      <c r="H43" s="324"/>
      <c r="J43" s="4"/>
      <c r="K43" s="4"/>
      <c r="L43" s="4"/>
      <c r="M43" s="4"/>
      <c r="N43" s="4"/>
      <c r="O43" s="4"/>
      <c r="P43" s="4"/>
      <c r="Q43" s="4"/>
      <c r="R43" s="4"/>
      <c r="V43" s="340"/>
      <c r="W43" s="340"/>
      <c r="X43" s="340"/>
      <c r="Y43" s="340"/>
      <c r="Z43" s="340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39"/>
      <c r="AO43" s="339"/>
      <c r="AP43" s="339"/>
      <c r="AQ43" s="339"/>
      <c r="AR43" s="339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39"/>
      <c r="BG43" s="339"/>
      <c r="BH43" s="339"/>
      <c r="BI43" s="339"/>
      <c r="BJ43" s="339"/>
    </row>
    <row r="44" spans="5:76" ht="19.25" customHeight="1" x14ac:dyDescent="0.25">
      <c r="J44" s="4"/>
      <c r="K44" s="1" t="s">
        <v>575</v>
      </c>
      <c r="L44" s="1" t="s">
        <v>576</v>
      </c>
      <c r="M44" s="1" t="s">
        <v>578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577</v>
      </c>
      <c r="U44" s="1" t="s">
        <v>50</v>
      </c>
      <c r="V44" s="22" t="s">
        <v>434</v>
      </c>
      <c r="W44" s="101" t="s">
        <v>487</v>
      </c>
      <c r="X44" s="193" t="s">
        <v>338</v>
      </c>
      <c r="Y44" s="344" t="s">
        <v>345</v>
      </c>
      <c r="Z44" s="139" t="s">
        <v>318</v>
      </c>
      <c r="AA44" s="4"/>
      <c r="AB44" s="4"/>
      <c r="AC44" s="1" t="s">
        <v>575</v>
      </c>
      <c r="AD44" s="1" t="s">
        <v>576</v>
      </c>
      <c r="AE44" s="1" t="s">
        <v>578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577</v>
      </c>
      <c r="AM44" s="1" t="s">
        <v>50</v>
      </c>
      <c r="AN44" s="22" t="s">
        <v>434</v>
      </c>
      <c r="AO44" s="22" t="s">
        <v>487</v>
      </c>
      <c r="AP44" s="162" t="s">
        <v>338</v>
      </c>
      <c r="AQ44" s="325" t="s">
        <v>345</v>
      </c>
      <c r="AR44" s="139" t="s">
        <v>318</v>
      </c>
      <c r="AS44" s="4"/>
      <c r="AT44" s="4"/>
      <c r="AU44" s="1" t="s">
        <v>575</v>
      </c>
      <c r="AV44" s="1" t="s">
        <v>576</v>
      </c>
      <c r="AW44" s="1" t="s">
        <v>578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577</v>
      </c>
      <c r="BE44" s="1" t="s">
        <v>50</v>
      </c>
      <c r="BF44" s="22" t="s">
        <v>434</v>
      </c>
      <c r="BG44" s="22" t="s">
        <v>487</v>
      </c>
      <c r="BH44" s="193" t="s">
        <v>338</v>
      </c>
      <c r="BI44" s="325" t="s">
        <v>345</v>
      </c>
      <c r="BJ44" s="139" t="s">
        <v>318</v>
      </c>
      <c r="BK44" s="1"/>
      <c r="BL44" s="4"/>
      <c r="BM44" s="1" t="s">
        <v>575</v>
      </c>
      <c r="BN44" s="1" t="s">
        <v>576</v>
      </c>
      <c r="BO44" s="1" t="s">
        <v>578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577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4" t="s">
        <v>48</v>
      </c>
      <c r="W45" s="75" t="s">
        <v>48</v>
      </c>
      <c r="X45" s="194" t="s">
        <v>90</v>
      </c>
      <c r="Y45" s="345"/>
      <c r="Z45" s="137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4" t="s">
        <v>48</v>
      </c>
      <c r="AO45" s="9" t="s">
        <v>48</v>
      </c>
      <c r="AP45" s="1" t="s">
        <v>90</v>
      </c>
      <c r="AQ45" s="326"/>
      <c r="AR45" s="137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4" t="s">
        <v>48</v>
      </c>
      <c r="BG45" s="9" t="s">
        <v>48</v>
      </c>
      <c r="BH45" s="9" t="s">
        <v>90</v>
      </c>
      <c r="BI45" s="326"/>
      <c r="BJ45" s="137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15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5">
        <f>AM63</f>
        <v>2396.1586162428257</v>
      </c>
      <c r="W46" s="102">
        <f>SUM(U42,U59,U72) -AM63-AM42</f>
        <v>85349.672751740902</v>
      </c>
      <c r="X46" s="195">
        <f>T42+T59+T72-AL42-AL63</f>
        <v>0</v>
      </c>
      <c r="Y46" s="192" t="s">
        <v>342</v>
      </c>
      <c r="Z46" s="137">
        <f>(($AF$46*($AL$46-$T$46))/U59)</f>
        <v>0</v>
      </c>
      <c r="AA46" s="315" t="s">
        <v>568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5">
        <f>0</f>
        <v>0</v>
      </c>
      <c r="AO46" s="100">
        <f>(AM42+AS28)-BE42</f>
        <v>609792.2517593482</v>
      </c>
      <c r="AP46" s="142">
        <f>BD42-AL42</f>
        <v>0</v>
      </c>
      <c r="AQ46" s="140" t="s">
        <v>342</v>
      </c>
      <c r="AR46" s="137">
        <f>((AX46*(BD46-AL46))/AS28)</f>
        <v>0</v>
      </c>
      <c r="AS46" s="315" t="s">
        <v>567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5">
        <f>BW55</f>
        <v>21743.416787545681</v>
      </c>
      <c r="BG46" s="105">
        <f>BE42+BK35-BW42-BW55</f>
        <v>11150.594866631796</v>
      </c>
      <c r="BH46" s="195">
        <f>BV42+BV55-BD42</f>
        <v>0</v>
      </c>
      <c r="BI46" s="140" t="s">
        <v>342</v>
      </c>
      <c r="BJ46" s="137">
        <f>((BP46*(BV46-BD46))/BK35)</f>
        <v>0.10204303400670409</v>
      </c>
      <c r="BK46" s="315" t="s">
        <v>565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15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40" t="s">
        <v>343</v>
      </c>
      <c r="Z47" s="137">
        <f>($AM$42+AM63)/(U59+U72+$U$42)</f>
        <v>0.56670793822679022</v>
      </c>
      <c r="AA47" s="315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40" t="s">
        <v>343</v>
      </c>
      <c r="AR47" s="137">
        <f>BE42/(AS28+AM42)</f>
        <v>0.15191900995389168</v>
      </c>
      <c r="AS47" s="315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40" t="s">
        <v>343</v>
      </c>
      <c r="BJ47" s="137">
        <f>(BW42+BW55)/(BK35+BE42)</f>
        <v>0.9084965360427989</v>
      </c>
      <c r="BK47" s="315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15" t="s">
        <v>570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1" t="s">
        <v>409</v>
      </c>
      <c r="Z48" s="138">
        <f>$AM$46/(U59+U72+$U$42)</f>
        <v>0.46562872171536246</v>
      </c>
      <c r="AA48" s="315" t="s">
        <v>569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1" t="s">
        <v>409</v>
      </c>
      <c r="AR48" s="138">
        <f>BE46/(AS28+AM42)</f>
        <v>0.12756053024900801</v>
      </c>
      <c r="AS48" s="315" t="s">
        <v>566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1" t="s">
        <v>409</v>
      </c>
      <c r="BJ48" s="138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15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15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15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15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15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15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15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15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15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4"/>
      <c r="Y52" s="4"/>
      <c r="Z52" s="4"/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4"/>
      <c r="AQ52" s="4"/>
      <c r="AR52" s="4"/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4"/>
      <c r="Y53" s="4"/>
      <c r="Z53" s="4"/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4"/>
      <c r="AQ53" s="4"/>
      <c r="AR53" s="4"/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V53" s="63" t="s">
        <v>1</v>
      </c>
      <c r="BW53" s="58" t="s">
        <v>0</v>
      </c>
    </row>
    <row r="54" spans="2:82" ht="18" x14ac:dyDescent="0.25">
      <c r="S54" s="4"/>
      <c r="W54" s="4"/>
      <c r="X54" s="4"/>
      <c r="Y54" s="4"/>
      <c r="Z54" s="4"/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/>
      <c r="AP54" s="4"/>
      <c r="AQ54" s="4"/>
      <c r="AR54" s="4"/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/>
      <c r="BV54" s="65" t="s">
        <v>90</v>
      </c>
      <c r="BW54" s="64" t="s">
        <v>94</v>
      </c>
    </row>
    <row r="55" spans="2:82" ht="17" thickBot="1" x14ac:dyDescent="0.25">
      <c r="S55" s="4"/>
      <c r="W55" s="4"/>
      <c r="X55" s="4"/>
      <c r="Y55" s="4"/>
      <c r="Z55" s="4"/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4"/>
      <c r="AP55" s="4"/>
      <c r="AQ55" s="4"/>
      <c r="AR55" s="4"/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4"/>
      <c r="BR55" s="3" t="s">
        <v>564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/>
      <c r="X56" s="4"/>
      <c r="Y56" s="4"/>
      <c r="Z56" s="4"/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/>
      <c r="AP56" s="4"/>
      <c r="AQ56" s="4"/>
      <c r="AR56" s="4"/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/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/>
      <c r="X57" s="4"/>
      <c r="Y57" s="4"/>
      <c r="Z57" s="4"/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/>
      <c r="AP57" s="4"/>
      <c r="AQ57" s="4"/>
      <c r="AR57" s="4"/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/>
      <c r="BL57" s="4"/>
      <c r="BM57" s="1" t="s">
        <v>575</v>
      </c>
      <c r="BN57" s="1" t="s">
        <v>576</v>
      </c>
      <c r="BO57" s="1" t="s">
        <v>578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577</v>
      </c>
      <c r="BW57" s="1" t="s">
        <v>50</v>
      </c>
      <c r="CC57" s="133"/>
      <c r="CD57" s="133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/>
      <c r="X58" s="4"/>
      <c r="Y58" s="4"/>
      <c r="Z58" s="4"/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/>
      <c r="AP58" s="4"/>
      <c r="AQ58" s="4"/>
      <c r="AR58" s="4"/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/>
      <c r="BK58" s="252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6" t="s">
        <v>596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J59" s="4"/>
      <c r="BK59" s="315" t="s">
        <v>564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28">LN(BR59)</f>
        <v>-2.2658729186291273</v>
      </c>
      <c r="BT59" s="4">
        <f t="shared" ref="BT59:BT62" si="29">RT0*BS59</f>
        <v>-5.1457273827335621</v>
      </c>
      <c r="BU59" s="4">
        <f t="shared" ref="BU59:BU62" si="30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315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1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28"/>
        <v>-0.26564677287010441</v>
      </c>
      <c r="BT60" s="4">
        <f t="shared" si="29"/>
        <v>-0.60327561270272534</v>
      </c>
      <c r="BU60" s="4">
        <f t="shared" si="30"/>
        <v>31.272724387297252</v>
      </c>
      <c r="BV60" s="4">
        <f t="shared" ref="BV60:BV62" si="32">BR60*BU60</f>
        <v>23.977107463203758</v>
      </c>
      <c r="BW60" s="4">
        <f>BV60*$BP$63</f>
        <v>3067.0157882925882</v>
      </c>
    </row>
    <row r="61" spans="2:82" ht="18" x14ac:dyDescent="0.25">
      <c r="B61" s="313" t="s">
        <v>497</v>
      </c>
      <c r="C61" s="313"/>
      <c r="D61" s="313"/>
      <c r="E61" s="313"/>
      <c r="F61" s="313"/>
      <c r="G61" s="313"/>
      <c r="H61" s="313"/>
      <c r="J61" s="4"/>
      <c r="K61" s="3" t="s">
        <v>581</v>
      </c>
      <c r="L61" s="1" t="s">
        <v>575</v>
      </c>
      <c r="M61" s="1" t="s">
        <v>578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577</v>
      </c>
      <c r="U61" s="1" t="s">
        <v>50</v>
      </c>
      <c r="W61" s="4"/>
      <c r="X61" s="4"/>
      <c r="Y61" s="4"/>
      <c r="Z61" s="4"/>
      <c r="AC61" s="4"/>
      <c r="AD61" s="4"/>
      <c r="AL61" s="63" t="s">
        <v>1</v>
      </c>
      <c r="AM61" s="58" t="s">
        <v>0</v>
      </c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315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1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28"/>
        <v>-2.3340779667097102</v>
      </c>
      <c r="BT61" s="4">
        <f t="shared" si="29"/>
        <v>-5.3006189393885803</v>
      </c>
      <c r="BU61" s="4">
        <f t="shared" si="30"/>
        <v>868.30746106061144</v>
      </c>
      <c r="BV61" s="4">
        <f t="shared" si="32"/>
        <v>84.138807313832118</v>
      </c>
      <c r="BW61" s="4">
        <f>BV61*$BP$63</f>
        <v>10762.559697230066</v>
      </c>
    </row>
    <row r="62" spans="2:82" ht="18" x14ac:dyDescent="0.25">
      <c r="B62" s="314"/>
      <c r="C62" s="314"/>
      <c r="D62" s="314"/>
      <c r="E62" s="314"/>
      <c r="F62" s="314"/>
      <c r="G62" s="314"/>
      <c r="H62" s="314"/>
      <c r="J62" s="4" t="s">
        <v>41</v>
      </c>
      <c r="K62" s="3" t="s">
        <v>580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/>
      <c r="X62" s="4"/>
      <c r="Y62" s="4"/>
      <c r="Z62" s="4"/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15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1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28"/>
        <v>-3.4218837010671326</v>
      </c>
      <c r="BT62" s="4">
        <f t="shared" si="29"/>
        <v>-7.7709921489170943</v>
      </c>
      <c r="BU62" s="4">
        <f t="shared" si="30"/>
        <v>599.52900785108284</v>
      </c>
      <c r="BV62" s="4">
        <f t="shared" si="32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6" t="s">
        <v>323</v>
      </c>
      <c r="H63" s="13" t="s">
        <v>317</v>
      </c>
      <c r="I63" s="285" t="s">
        <v>596</v>
      </c>
      <c r="J63" s="62" t="s">
        <v>500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/>
      <c r="X63" s="4"/>
      <c r="Y63" s="4"/>
      <c r="Z63" s="4"/>
      <c r="AA63" s="1"/>
      <c r="AB63" s="1"/>
      <c r="AC63" s="1"/>
      <c r="AF63" s="4"/>
      <c r="AG63" s="4"/>
      <c r="AH63" s="3" t="s">
        <v>531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2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/>
      <c r="X64" s="4"/>
      <c r="Y64" s="4"/>
      <c r="Z64" s="4"/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3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575</v>
      </c>
      <c r="AD65" s="1" t="s">
        <v>576</v>
      </c>
      <c r="AE65" s="1" t="s">
        <v>578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577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3"/>
        <v>20151.646000000001</v>
      </c>
      <c r="F66" s="61">
        <f t="shared" ref="F66:F71" si="34">E66*($AC$52/1000)</f>
        <v>20388.779809187428</v>
      </c>
      <c r="G66" s="107">
        <v>1.06</v>
      </c>
      <c r="H66" s="13">
        <f t="shared" ref="H66:H71" si="35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3"/>
        <v>6119.3480000000009</v>
      </c>
      <c r="F67" s="61">
        <f t="shared" si="34"/>
        <v>6191.3572195438273</v>
      </c>
      <c r="G67" s="107">
        <v>1.06</v>
      </c>
      <c r="H67" s="13">
        <f t="shared" si="35"/>
        <v>6562.8386527164575</v>
      </c>
      <c r="L67" s="1"/>
      <c r="O67" s="4"/>
      <c r="P67" s="4"/>
      <c r="U67" s="1"/>
      <c r="W67" s="4"/>
      <c r="X67" s="4"/>
      <c r="Y67" s="4"/>
      <c r="Z67" s="4"/>
      <c r="AA67" s="315" t="s">
        <v>531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3"/>
        <v>5834.4818000000005</v>
      </c>
      <c r="F68" s="61">
        <f t="shared" si="34"/>
        <v>5903.1388662202344</v>
      </c>
      <c r="G68" s="107">
        <v>1.06</v>
      </c>
      <c r="H68" s="13">
        <f t="shared" si="35"/>
        <v>6257.3271981934486</v>
      </c>
      <c r="L68" s="1"/>
      <c r="O68" s="4"/>
      <c r="P68" s="4"/>
      <c r="U68" s="1"/>
      <c r="W68" s="4"/>
      <c r="X68" s="4"/>
      <c r="Y68" s="4"/>
      <c r="Z68" s="4"/>
      <c r="AA68" s="315"/>
      <c r="AB68" s="3" t="s">
        <v>68</v>
      </c>
      <c r="AC68" s="1">
        <f t="shared" ref="AC68:AC69" si="36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37">LN(AH68)</f>
        <v>-2.0601257523805443</v>
      </c>
      <c r="AJ68" s="1">
        <f>RT0*AI68</f>
        <v>-4.6784819257704671</v>
      </c>
      <c r="AK68" s="1">
        <f t="shared" ref="AK68:AK69" si="38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3"/>
        <v>224.72778000000002</v>
      </c>
      <c r="F69" s="61">
        <f t="shared" si="34"/>
        <v>227.37225651083364</v>
      </c>
      <c r="G69" s="107">
        <v>1.06</v>
      </c>
      <c r="H69" s="13">
        <f t="shared" si="35"/>
        <v>241.01459190148367</v>
      </c>
      <c r="L69" s="1"/>
      <c r="O69" s="4"/>
      <c r="P69" s="4"/>
      <c r="U69" s="1"/>
      <c r="W69" s="4"/>
      <c r="X69" s="4"/>
      <c r="Y69" s="4"/>
      <c r="Z69" s="4"/>
      <c r="AA69" s="315"/>
      <c r="AB69" s="7" t="s">
        <v>67</v>
      </c>
      <c r="AC69" s="1">
        <f t="shared" si="36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37"/>
        <v>-0.30166831442652076</v>
      </c>
      <c r="AJ69" s="1">
        <f>RT0*AI69</f>
        <v>-0.68507942051171278</v>
      </c>
      <c r="AK69" s="1">
        <f t="shared" si="38"/>
        <v>-0.65706594051171274</v>
      </c>
      <c r="AL69" s="1">
        <f t="shared" ref="AL69" si="39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3"/>
        <v>1266.0720000000001</v>
      </c>
      <c r="F70" s="61">
        <f t="shared" si="34"/>
        <v>1280.9704592159642</v>
      </c>
      <c r="G70" s="107">
        <v>1.06</v>
      </c>
      <c r="H70" s="13">
        <f t="shared" si="35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15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3"/>
        <v>885.1953400000001</v>
      </c>
      <c r="F71" s="61">
        <f t="shared" si="34"/>
        <v>895.61184606849497</v>
      </c>
      <c r="G71" s="107">
        <v>1.06</v>
      </c>
      <c r="H71" s="13">
        <f t="shared" si="35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542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13" t="s">
        <v>536</v>
      </c>
      <c r="F74" s="313"/>
      <c r="G74" s="313"/>
      <c r="H74" s="313"/>
      <c r="K74" s="1" t="s">
        <v>575</v>
      </c>
      <c r="L74" s="1" t="s">
        <v>576</v>
      </c>
      <c r="M74" s="1" t="s">
        <v>578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577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13"/>
      <c r="F75" s="313"/>
      <c r="G75" s="313"/>
      <c r="H75" s="313"/>
      <c r="J75" s="95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15" t="s">
        <v>542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15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9"/>
      <c r="BR81" s="99"/>
      <c r="BS81" s="91"/>
      <c r="BT81" s="91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533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1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13" t="s">
        <v>532</v>
      </c>
      <c r="DP103" s="313"/>
      <c r="DQ103" s="313"/>
      <c r="DR103" s="313"/>
      <c r="DS103" s="313"/>
      <c r="DT103" s="313"/>
      <c r="DV103" s="4"/>
      <c r="DW103" s="3" t="s">
        <v>581</v>
      </c>
      <c r="DX103" s="1" t="s">
        <v>575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577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14"/>
      <c r="DP104" s="314"/>
      <c r="DQ104" s="314"/>
      <c r="DR104" s="314"/>
      <c r="DS104" s="314"/>
      <c r="DT104" s="314"/>
      <c r="DV104" s="4" t="s">
        <v>41</v>
      </c>
      <c r="DW104" s="3" t="s">
        <v>580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584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5" t="s">
        <v>236</v>
      </c>
      <c r="DQ105" s="115" t="s">
        <v>236</v>
      </c>
      <c r="DR105" s="115" t="s">
        <v>236</v>
      </c>
      <c r="DS105" s="116" t="s">
        <v>323</v>
      </c>
      <c r="DT105" s="115" t="s">
        <v>317</v>
      </c>
      <c r="DU105" s="223" t="s">
        <v>533</v>
      </c>
      <c r="DV105" s="97" t="s">
        <v>524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5" t="s">
        <v>231</v>
      </c>
      <c r="DQ106" s="115" t="s">
        <v>330</v>
      </c>
      <c r="DR106" s="115" t="s">
        <v>48</v>
      </c>
      <c r="DS106" s="116" t="s">
        <v>99</v>
      </c>
      <c r="DT106" s="115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576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577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574</v>
      </c>
      <c r="DP107" s="115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70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579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3" t="s">
        <v>584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4"/>
      <c r="AF110" s="114"/>
      <c r="AG110" s="114"/>
      <c r="AH110" s="114"/>
      <c r="AI110" s="6"/>
      <c r="AJ110" s="6"/>
      <c r="AK110" s="6"/>
      <c r="AL110" s="6"/>
      <c r="AM110" s="341" t="s">
        <v>441</v>
      </c>
      <c r="AN110" s="334"/>
      <c r="AO110" s="334"/>
      <c r="AP110" s="334"/>
      <c r="AQ110" s="334"/>
      <c r="AR110" s="334"/>
      <c r="AS110" s="334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34" t="s">
        <v>445</v>
      </c>
      <c r="BE110" s="334"/>
      <c r="BF110" s="334"/>
      <c r="BG110" s="334"/>
      <c r="BH110" s="334"/>
      <c r="BI110" s="334"/>
      <c r="BJ110" s="334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2" t="s">
        <v>365</v>
      </c>
      <c r="O111" s="342"/>
      <c r="P111" s="342"/>
      <c r="S111" s="4"/>
      <c r="T111" s="4"/>
      <c r="U111" s="4"/>
      <c r="AC111" s="6"/>
      <c r="AD111" s="6"/>
      <c r="AE111" s="6"/>
      <c r="AF111" s="6"/>
      <c r="AG111" s="6"/>
      <c r="AH111" s="6"/>
      <c r="AI111" s="114"/>
      <c r="AJ111" s="114"/>
      <c r="AK111" s="114"/>
      <c r="AL111" s="114"/>
      <c r="AM111" s="15" t="s">
        <v>265</v>
      </c>
      <c r="AN111" s="115" t="s">
        <v>264</v>
      </c>
      <c r="AO111" s="115" t="s">
        <v>236</v>
      </c>
      <c r="AP111" s="115" t="s">
        <v>36</v>
      </c>
      <c r="AQ111" s="115" t="s">
        <v>236</v>
      </c>
      <c r="AR111" s="116" t="s">
        <v>323</v>
      </c>
      <c r="AS111" s="115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5" t="s">
        <v>264</v>
      </c>
      <c r="BF111" s="115" t="s">
        <v>236</v>
      </c>
      <c r="BG111" s="115" t="s">
        <v>236</v>
      </c>
      <c r="BH111" s="115" t="s">
        <v>236</v>
      </c>
      <c r="BI111" s="116" t="s">
        <v>323</v>
      </c>
      <c r="BJ111" s="115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3"/>
      <c r="O112" s="343"/>
      <c r="P112" s="343"/>
      <c r="S112" s="4"/>
      <c r="T112" s="4"/>
      <c r="U112" s="4"/>
      <c r="AC112" s="6"/>
      <c r="AD112" s="6"/>
      <c r="AE112" s="6"/>
      <c r="AF112" s="6"/>
      <c r="AG112" s="6"/>
      <c r="AH112" s="6"/>
      <c r="AI112" s="114"/>
      <c r="AJ112" s="114"/>
      <c r="AK112" s="114"/>
      <c r="AL112" s="114"/>
      <c r="AM112" s="15" t="s">
        <v>99</v>
      </c>
      <c r="AN112" s="15" t="s">
        <v>99</v>
      </c>
      <c r="AO112" s="115" t="s">
        <v>238</v>
      </c>
      <c r="AP112" s="115" t="s">
        <v>237</v>
      </c>
      <c r="AQ112" s="115" t="s">
        <v>48</v>
      </c>
      <c r="AR112" s="116" t="s">
        <v>99</v>
      </c>
      <c r="AS112" s="115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5" t="s">
        <v>231</v>
      </c>
      <c r="BG112" s="115" t="s">
        <v>330</v>
      </c>
      <c r="BH112" s="115" t="s">
        <v>48</v>
      </c>
      <c r="BI112" s="116" t="s">
        <v>99</v>
      </c>
      <c r="BJ112" s="115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4"/>
      <c r="CL112" s="114"/>
      <c r="CM112" s="114"/>
      <c r="CN112" s="114"/>
      <c r="CO112" s="114"/>
      <c r="CP112" s="6"/>
      <c r="CQ112" s="119" t="s">
        <v>1</v>
      </c>
      <c r="CR112" s="120" t="s">
        <v>0</v>
      </c>
      <c r="CS112" s="199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10" t="s">
        <v>487</v>
      </c>
      <c r="O113" s="325" t="s">
        <v>345</v>
      </c>
      <c r="P113" s="139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4"/>
      <c r="AJ113" s="114"/>
      <c r="AK113" s="114"/>
      <c r="AL113" s="114"/>
      <c r="AM113" s="115" t="s">
        <v>266</v>
      </c>
      <c r="AN113" s="115" t="s">
        <v>303</v>
      </c>
      <c r="AO113" s="115">
        <v>700</v>
      </c>
      <c r="AP113" s="115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5" t="s">
        <v>178</v>
      </c>
      <c r="BF113" s="115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4"/>
      <c r="CN113" s="114"/>
      <c r="CO113" s="114"/>
      <c r="CP113" s="6"/>
      <c r="CQ113" s="108" t="s">
        <v>325</v>
      </c>
      <c r="CR113" s="109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2" t="s">
        <v>48</v>
      </c>
      <c r="O114" s="326"/>
      <c r="P114" s="137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5" t="s">
        <v>250</v>
      </c>
      <c r="BF114" s="115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0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4" t="s">
        <v>550</v>
      </c>
      <c r="CN114" s="114"/>
      <c r="CO114" s="114"/>
      <c r="CP114" s="6"/>
      <c r="CQ114" s="123">
        <f>CH119</f>
        <v>4.9847525450981189</v>
      </c>
      <c r="CR114" s="124">
        <f>CR119</f>
        <v>7739.2511800711582</v>
      </c>
      <c r="CS114" s="114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485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34" t="s">
        <v>447</v>
      </c>
      <c r="EK114" s="334"/>
      <c r="EL114" s="334"/>
      <c r="EM114" s="334"/>
      <c r="EN114" s="334"/>
      <c r="EO114" s="334"/>
    </row>
    <row r="115" spans="5:169" ht="17" thickBot="1" x14ac:dyDescent="0.25">
      <c r="N115" s="125">
        <f>0-U126</f>
        <v>-25394.240916408646</v>
      </c>
      <c r="O115" s="140" t="s">
        <v>342</v>
      </c>
      <c r="P115" s="137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5" t="s">
        <v>260</v>
      </c>
      <c r="BF115" s="115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0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4"/>
      <c r="CN115" s="114"/>
      <c r="CO115" s="6"/>
      <c r="CP115" s="6"/>
      <c r="CQ115" s="114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5" t="s">
        <v>236</v>
      </c>
      <c r="EL115" s="115" t="s">
        <v>236</v>
      </c>
      <c r="EM115" s="115" t="s">
        <v>236</v>
      </c>
      <c r="EN115" s="116" t="s">
        <v>323</v>
      </c>
      <c r="EO115" s="115" t="s">
        <v>317</v>
      </c>
    </row>
    <row r="116" spans="5:169" ht="19.25" customHeight="1" thickBot="1" x14ac:dyDescent="0.3">
      <c r="N116" s="6"/>
      <c r="O116" s="140" t="s">
        <v>343</v>
      </c>
      <c r="P116" s="137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5" t="s">
        <v>19</v>
      </c>
      <c r="BF116" s="115">
        <f>SUM(BF113:BF115)</f>
        <v>3152</v>
      </c>
      <c r="BG116" s="115">
        <f>SUM(BG113:BG115)</f>
        <v>3325.5491200000001</v>
      </c>
      <c r="BH116" s="115">
        <f>SUM(BH113:BH115)</f>
        <v>34.678095164114971</v>
      </c>
      <c r="BI116" s="115"/>
      <c r="BJ116" s="115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575</v>
      </c>
      <c r="CI116" s="1" t="s">
        <v>576</v>
      </c>
      <c r="CJ116" s="1" t="s">
        <v>578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577</v>
      </c>
      <c r="CR116" s="1" t="s">
        <v>50</v>
      </c>
      <c r="CS116" s="6"/>
      <c r="CT116" s="4"/>
      <c r="CW116" s="4"/>
      <c r="CX116" s="4"/>
      <c r="DO116" s="313" t="s">
        <v>484</v>
      </c>
      <c r="DP116" s="313"/>
      <c r="DQ116" s="313"/>
      <c r="DR116" s="313"/>
      <c r="DS116" s="313"/>
      <c r="DT116" s="313"/>
      <c r="DV116" s="4"/>
      <c r="DW116" s="3" t="s">
        <v>581</v>
      </c>
      <c r="DX116" s="1" t="s">
        <v>575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577</v>
      </c>
      <c r="EG116" s="1" t="s">
        <v>50</v>
      </c>
      <c r="EJ116" s="15" t="s">
        <v>99</v>
      </c>
      <c r="EK116" s="115" t="s">
        <v>231</v>
      </c>
      <c r="EL116" s="115" t="s">
        <v>330</v>
      </c>
      <c r="EM116" s="115" t="s">
        <v>48</v>
      </c>
      <c r="EN116" s="116" t="s">
        <v>99</v>
      </c>
      <c r="EO116" s="115" t="s">
        <v>48</v>
      </c>
    </row>
    <row r="117" spans="5:169" ht="19" thickBot="1" x14ac:dyDescent="0.3">
      <c r="N117" s="6"/>
      <c r="O117" s="141" t="s">
        <v>344</v>
      </c>
      <c r="P117" s="138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14"/>
      <c r="DP117" s="314"/>
      <c r="DQ117" s="314"/>
      <c r="DR117" s="314"/>
      <c r="DS117" s="314"/>
      <c r="DT117" s="314"/>
      <c r="DV117" s="4" t="s">
        <v>41</v>
      </c>
      <c r="DW117" s="3" t="s">
        <v>580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5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9">
        <v>1</v>
      </c>
      <c r="EO117" s="271">
        <f t="shared" ref="EO117" si="41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6" t="s">
        <v>550</v>
      </c>
      <c r="CG118" s="113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6">
        <f>CK118/CK119</f>
        <v>1</v>
      </c>
      <c r="CN118" s="126">
        <f>LN(CM118)</f>
        <v>0</v>
      </c>
      <c r="CO118" s="126">
        <f>RT0*CN118</f>
        <v>0</v>
      </c>
      <c r="CP118" s="33">
        <f>CO118+CL118</f>
        <v>62.576000000000022</v>
      </c>
      <c r="CQ118" s="33">
        <f>CP118*CM118</f>
        <v>62.576000000000022</v>
      </c>
      <c r="CR118" s="126">
        <f>CQ118*CK119</f>
        <v>7739.2511800711582</v>
      </c>
      <c r="CS118" s="114"/>
      <c r="CT118" s="4"/>
      <c r="CU118" s="4"/>
      <c r="CV118" s="4"/>
      <c r="CW118" s="4"/>
      <c r="CZ118" s="4"/>
      <c r="DA118" s="4"/>
      <c r="DO118" s="15" t="s">
        <v>265</v>
      </c>
      <c r="DP118" s="115" t="s">
        <v>236</v>
      </c>
      <c r="DQ118" s="115" t="s">
        <v>236</v>
      </c>
      <c r="DR118" s="115" t="s">
        <v>236</v>
      </c>
      <c r="DS118" s="116" t="s">
        <v>323</v>
      </c>
      <c r="DT118" s="115" t="s">
        <v>317</v>
      </c>
      <c r="DU118" s="223" t="s">
        <v>485</v>
      </c>
      <c r="DV118" s="96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4"/>
      <c r="BC119" s="114"/>
      <c r="BD119" s="114"/>
      <c r="BE119" s="114"/>
      <c r="BF119" s="114"/>
      <c r="BG119" s="114"/>
      <c r="BH119" s="114"/>
      <c r="BI119" s="114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4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4"/>
      <c r="CO119" s="114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5" t="s">
        <v>231</v>
      </c>
      <c r="DQ119" s="115" t="s">
        <v>330</v>
      </c>
      <c r="DR119" s="115" t="s">
        <v>48</v>
      </c>
      <c r="DS119" s="116" t="s">
        <v>99</v>
      </c>
      <c r="DT119" s="115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4" t="s">
        <v>332</v>
      </c>
      <c r="CK120" s="114" t="s">
        <v>333</v>
      </c>
      <c r="CL120" s="6"/>
      <c r="CM120" s="6"/>
      <c r="CN120" s="114"/>
      <c r="CO120" s="114"/>
      <c r="CP120" s="114"/>
      <c r="CQ120" s="114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5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4"/>
      <c r="W123" s="6"/>
      <c r="X123" s="114"/>
      <c r="Y123" s="114"/>
      <c r="Z123" s="114"/>
      <c r="AA123" s="114"/>
      <c r="AB123" s="114"/>
      <c r="AC123" s="6"/>
      <c r="AD123" s="6"/>
      <c r="AE123" s="6"/>
      <c r="AF123" s="6"/>
      <c r="AG123" s="6"/>
      <c r="AH123" s="117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1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7"/>
      <c r="K124" s="6"/>
      <c r="L124" s="6"/>
      <c r="M124" s="6"/>
      <c r="N124" s="6"/>
      <c r="O124" s="6"/>
      <c r="P124" s="6"/>
      <c r="Q124" s="6"/>
      <c r="R124" s="6"/>
      <c r="S124" s="6"/>
      <c r="T124" s="119" t="s">
        <v>1</v>
      </c>
      <c r="U124" s="120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7"/>
      <c r="AD124" s="6"/>
      <c r="AE124" s="6"/>
      <c r="AF124" s="6"/>
      <c r="AG124" s="6"/>
      <c r="AH124" s="6"/>
      <c r="AI124" s="6"/>
      <c r="AJ124" s="6"/>
      <c r="AK124" s="6"/>
      <c r="AL124" s="6"/>
      <c r="AM124" s="119" t="s">
        <v>1</v>
      </c>
      <c r="AN124" s="120" t="s">
        <v>0</v>
      </c>
      <c r="AO124" s="6"/>
      <c r="AP124" s="6"/>
      <c r="AQ124" s="6"/>
      <c r="AR124" s="6"/>
      <c r="AS124" s="6"/>
      <c r="AT124" s="6"/>
      <c r="AU124" s="117"/>
      <c r="AV124" s="6"/>
      <c r="AW124" s="6"/>
      <c r="AX124" s="6"/>
      <c r="AY124" s="6"/>
      <c r="AZ124" s="6"/>
      <c r="BA124" s="6"/>
      <c r="BB124" s="6"/>
      <c r="BC124" s="6"/>
      <c r="BD124" s="6"/>
      <c r="BE124" s="119" t="s">
        <v>1</v>
      </c>
      <c r="BF124" s="120" t="s">
        <v>0</v>
      </c>
      <c r="BG124" s="6"/>
      <c r="BH124" s="6"/>
      <c r="BI124" s="6"/>
      <c r="BJ124" s="6"/>
      <c r="BK124" s="6"/>
      <c r="BL124" s="6"/>
      <c r="BM124" s="117"/>
      <c r="BN124" s="6"/>
      <c r="BO124" s="6"/>
      <c r="BP124" s="6"/>
      <c r="BQ124" s="6"/>
      <c r="BR124" s="6"/>
      <c r="BS124" s="6"/>
      <c r="BT124" s="6"/>
      <c r="BU124" s="6"/>
      <c r="BV124" s="6"/>
      <c r="BW124" s="119" t="s">
        <v>1</v>
      </c>
      <c r="BX124" s="120" t="s">
        <v>0</v>
      </c>
      <c r="BY124" s="114"/>
      <c r="BZ124" s="114"/>
      <c r="CA124" s="134" t="s">
        <v>63</v>
      </c>
      <c r="CB124" s="114"/>
      <c r="CC124" s="114"/>
      <c r="CD124" s="114"/>
      <c r="CE124" s="114"/>
      <c r="CF124" s="114"/>
      <c r="CG124" s="6"/>
      <c r="CH124" s="6"/>
      <c r="CI124" s="6"/>
      <c r="CJ124" s="6"/>
      <c r="CK124" s="6"/>
      <c r="CL124" s="6"/>
      <c r="CM124" s="6"/>
      <c r="CN124" s="114"/>
      <c r="CO124" s="114"/>
      <c r="CP124" s="6"/>
      <c r="CQ124" s="119" t="s">
        <v>1</v>
      </c>
      <c r="CR124" s="120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1"/>
      <c r="L125" s="6"/>
      <c r="M125" s="6"/>
      <c r="N125" s="6"/>
      <c r="O125" s="6"/>
      <c r="P125" s="6"/>
      <c r="Q125" s="6"/>
      <c r="R125" s="6"/>
      <c r="S125" s="6"/>
      <c r="T125" s="108" t="s">
        <v>325</v>
      </c>
      <c r="U125" s="109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1"/>
      <c r="AE125" s="6"/>
      <c r="AF125" s="6"/>
      <c r="AG125" s="6"/>
      <c r="AH125" s="6"/>
      <c r="AI125" s="6"/>
      <c r="AJ125" s="6"/>
      <c r="AK125" s="6"/>
      <c r="AL125" s="6"/>
      <c r="AM125" s="108" t="s">
        <v>325</v>
      </c>
      <c r="AN125" s="109" t="s">
        <v>326</v>
      </c>
      <c r="AO125" s="6"/>
      <c r="AP125" s="6"/>
      <c r="AQ125" s="6"/>
      <c r="AR125" s="6"/>
      <c r="AS125" s="6"/>
      <c r="AT125" s="6"/>
      <c r="AU125" s="6"/>
      <c r="AV125" s="121"/>
      <c r="AW125" s="6"/>
      <c r="AX125" s="6"/>
      <c r="AY125" s="6"/>
      <c r="AZ125" s="6"/>
      <c r="BA125" s="6"/>
      <c r="BB125" s="6"/>
      <c r="BC125" s="6"/>
      <c r="BD125" s="6"/>
      <c r="BE125" s="108" t="s">
        <v>325</v>
      </c>
      <c r="BF125" s="109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8" t="s">
        <v>325</v>
      </c>
      <c r="BX125" s="109" t="s">
        <v>326</v>
      </c>
      <c r="BY125" s="114"/>
      <c r="BZ125" s="114"/>
      <c r="CA125" s="135">
        <v>1173.1500000000001</v>
      </c>
      <c r="CB125" s="114"/>
      <c r="CC125" s="114"/>
      <c r="CD125" s="114"/>
      <c r="CE125" s="114"/>
      <c r="CF125" s="114"/>
      <c r="CG125" s="6"/>
      <c r="CH125" s="6"/>
      <c r="CI125" s="6"/>
      <c r="CJ125" s="6"/>
      <c r="CK125" s="6"/>
      <c r="CL125" s="6"/>
      <c r="CM125" s="6" t="s">
        <v>548</v>
      </c>
      <c r="CN125" s="114"/>
      <c r="CO125" s="114"/>
      <c r="CP125" s="6"/>
      <c r="CQ125" s="108" t="s">
        <v>325</v>
      </c>
      <c r="CR125" s="109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24" t="s">
        <v>535</v>
      </c>
      <c r="F126" s="324"/>
      <c r="G126" s="324"/>
      <c r="H126" s="324"/>
      <c r="J126" s="6"/>
      <c r="K126" s="122"/>
      <c r="L126" s="6"/>
      <c r="M126" s="6"/>
      <c r="N126" s="6"/>
      <c r="O126" s="6"/>
      <c r="P126" s="6" t="s">
        <v>428</v>
      </c>
      <c r="Q126" s="6"/>
      <c r="R126" s="6"/>
      <c r="S126" s="6"/>
      <c r="T126" s="123">
        <f>K132</f>
        <v>208.55560337725498</v>
      </c>
      <c r="U126" s="124">
        <f>U132</f>
        <v>25394.240916408646</v>
      </c>
      <c r="V126" s="335" t="s">
        <v>419</v>
      </c>
      <c r="W126" s="335"/>
      <c r="X126" s="335"/>
      <c r="Y126" s="335"/>
      <c r="Z126" s="335"/>
      <c r="AA126" s="6"/>
      <c r="AB126" s="6"/>
      <c r="AC126" s="6"/>
      <c r="AD126" s="122"/>
      <c r="AE126" s="6"/>
      <c r="AF126" s="6"/>
      <c r="AG126" s="6"/>
      <c r="AH126" s="6"/>
      <c r="AI126" s="6" t="s">
        <v>534</v>
      </c>
      <c r="AJ126" s="6"/>
      <c r="AK126" s="6"/>
      <c r="AL126" s="6"/>
      <c r="AM126" s="123">
        <f>AD132</f>
        <v>208.55560337725498</v>
      </c>
      <c r="AN126" s="124">
        <f>AN132</f>
        <v>25394.240916408646</v>
      </c>
      <c r="AO126" s="335" t="s">
        <v>561</v>
      </c>
      <c r="AP126" s="335"/>
      <c r="AQ126" s="335"/>
      <c r="AR126" s="335"/>
      <c r="AS126" s="335"/>
      <c r="AT126" s="6"/>
      <c r="AU126" s="6"/>
      <c r="AV126" s="122"/>
      <c r="AW126" s="6"/>
      <c r="AX126" s="6"/>
      <c r="AY126" s="6"/>
      <c r="AZ126" s="6"/>
      <c r="BA126" s="6" t="s">
        <v>562</v>
      </c>
      <c r="BB126" s="6"/>
      <c r="BC126" s="6"/>
      <c r="BD126" s="6"/>
      <c r="BE126" s="123">
        <f>AV132</f>
        <v>208.55560337725498</v>
      </c>
      <c r="BF126" s="124">
        <f>BF132</f>
        <v>25394.240916408646</v>
      </c>
      <c r="BG126" s="335" t="s">
        <v>443</v>
      </c>
      <c r="BH126" s="335"/>
      <c r="BI126" s="335"/>
      <c r="BJ126" s="335"/>
      <c r="BK126" s="335"/>
      <c r="BL126" s="6"/>
      <c r="BM126" s="6"/>
      <c r="BN126" s="122"/>
      <c r="BO126" s="6"/>
      <c r="BP126" s="6"/>
      <c r="BQ126" s="6"/>
      <c r="BR126" s="6"/>
      <c r="BS126" s="6" t="s">
        <v>493</v>
      </c>
      <c r="BT126" s="6"/>
      <c r="BU126" s="6"/>
      <c r="BV126" s="6"/>
      <c r="BW126" s="123">
        <f>BN132</f>
        <v>208.55560337725498</v>
      </c>
      <c r="BX126" s="124">
        <f>BX132</f>
        <v>25394.240916408646</v>
      </c>
      <c r="BY126" s="335" t="s">
        <v>444</v>
      </c>
      <c r="BZ126" s="335"/>
      <c r="CA126" s="335"/>
      <c r="CB126" s="335"/>
      <c r="CC126" s="335"/>
      <c r="CD126" s="6"/>
      <c r="CE126" s="6"/>
      <c r="CF126" s="114"/>
      <c r="CG126" s="6"/>
      <c r="CH126" s="6"/>
      <c r="CI126" s="6"/>
      <c r="CJ126" s="6"/>
      <c r="CK126" s="6"/>
      <c r="CL126" s="6"/>
      <c r="CM126" s="6"/>
      <c r="CN126" s="114"/>
      <c r="CO126" s="114"/>
      <c r="CP126" s="6"/>
      <c r="CQ126" s="123">
        <f>CH131</f>
        <v>111.00813284002646</v>
      </c>
      <c r="CR126" s="124">
        <f>CR131</f>
        <v>242016.07607977447</v>
      </c>
      <c r="DN126" s="346" t="s">
        <v>81</v>
      </c>
      <c r="DO126" s="346"/>
      <c r="DP126" s="346"/>
      <c r="DQ126" s="346"/>
      <c r="DR126" s="346"/>
      <c r="DS126" s="346"/>
      <c r="DT126" s="346"/>
      <c r="EA126" s="3" t="s">
        <v>571</v>
      </c>
      <c r="EF126" s="174">
        <f>DW134</f>
        <v>1309.8157778632656</v>
      </c>
      <c r="EG126" s="175">
        <f>EG134</f>
        <v>7072531.8830895294</v>
      </c>
      <c r="EH126" s="312" t="s">
        <v>430</v>
      </c>
      <c r="EI126" s="312"/>
      <c r="EJ126" s="312"/>
      <c r="EK126" s="312"/>
      <c r="EL126" s="312"/>
      <c r="EM126" s="312"/>
      <c r="EN126" s="312"/>
      <c r="ES126" s="1"/>
      <c r="ET126" s="1"/>
      <c r="EU126" s="1"/>
      <c r="EV126" s="1"/>
      <c r="EW126" s="1"/>
      <c r="EX126" s="1"/>
      <c r="EY126" s="3" t="s">
        <v>572</v>
      </c>
      <c r="FE126" s="50">
        <f>EV131</f>
        <v>616.23583583508366</v>
      </c>
      <c r="FF126" s="48">
        <f>FF131</f>
        <v>4157895.2984628798</v>
      </c>
      <c r="FG126" s="312" t="s">
        <v>424</v>
      </c>
      <c r="FH126" s="312"/>
      <c r="FI126" s="312"/>
      <c r="FJ126" s="312"/>
      <c r="FK126" s="312"/>
      <c r="FL126" s="312"/>
      <c r="FM126" s="312"/>
    </row>
    <row r="127" spans="5:169" ht="16.25" customHeight="1" thickBot="1" x14ac:dyDescent="0.25">
      <c r="E127" s="324"/>
      <c r="F127" s="324"/>
      <c r="G127" s="324"/>
      <c r="H127" s="32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36"/>
      <c r="W127" s="336"/>
      <c r="X127" s="336"/>
      <c r="Y127" s="336"/>
      <c r="Z127" s="33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5"/>
      <c r="AP127" s="335"/>
      <c r="AQ127" s="335"/>
      <c r="AR127" s="335"/>
      <c r="AS127" s="335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5"/>
      <c r="BH127" s="335"/>
      <c r="BI127" s="335"/>
      <c r="BJ127" s="335"/>
      <c r="BK127" s="335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5"/>
      <c r="BZ127" s="335"/>
      <c r="CA127" s="335"/>
      <c r="CB127" s="335"/>
      <c r="CC127" s="335"/>
      <c r="CD127" s="114"/>
      <c r="CE127" s="114"/>
      <c r="CF127" s="114"/>
      <c r="CG127" s="6"/>
      <c r="CH127" s="6"/>
      <c r="CI127" s="6"/>
      <c r="CJ127" s="6"/>
      <c r="CK127" s="6"/>
      <c r="CL127" s="6"/>
      <c r="CM127" s="6"/>
      <c r="CN127" s="114"/>
      <c r="CO127" s="114"/>
      <c r="CP127" s="6"/>
      <c r="CQ127" s="6"/>
      <c r="CR127" s="114"/>
      <c r="DN127" s="346"/>
      <c r="DO127" s="346"/>
      <c r="DP127" s="346"/>
      <c r="DQ127" s="346"/>
      <c r="DR127" s="346"/>
      <c r="DS127" s="346"/>
      <c r="DT127" s="346"/>
      <c r="EH127" s="312"/>
      <c r="EI127" s="312"/>
      <c r="EJ127" s="312"/>
      <c r="EK127" s="312"/>
      <c r="EL127" s="312"/>
      <c r="EM127" s="312"/>
      <c r="EN127" s="312"/>
      <c r="ES127" s="1"/>
      <c r="ET127" s="1"/>
      <c r="EU127" s="1"/>
      <c r="EV127" s="1"/>
      <c r="EW127" s="1"/>
      <c r="EX127" s="1"/>
      <c r="EY127" s="1"/>
      <c r="EZ127" s="1"/>
      <c r="FG127" s="312"/>
      <c r="FH127" s="312"/>
      <c r="FI127" s="312"/>
      <c r="FJ127" s="312"/>
      <c r="FK127" s="312"/>
      <c r="FL127" s="312"/>
      <c r="FM127" s="312"/>
    </row>
    <row r="128" spans="5:169" ht="19.75" customHeight="1" thickBot="1" x14ac:dyDescent="0.3">
      <c r="J128" s="4"/>
      <c r="K128" s="1" t="s">
        <v>575</v>
      </c>
      <c r="L128" s="1" t="s">
        <v>576</v>
      </c>
      <c r="M128" s="1" t="s">
        <v>578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577</v>
      </c>
      <c r="U128" s="1" t="s">
        <v>50</v>
      </c>
      <c r="V128" s="22" t="s">
        <v>434</v>
      </c>
      <c r="W128" s="101" t="s">
        <v>487</v>
      </c>
      <c r="X128" s="136" t="s">
        <v>349</v>
      </c>
      <c r="Y128" s="325" t="s">
        <v>345</v>
      </c>
      <c r="Z128" s="139" t="s">
        <v>318</v>
      </c>
      <c r="AA128" s="1"/>
      <c r="AB128" s="6"/>
      <c r="AC128" s="4"/>
      <c r="AD128" s="1" t="s">
        <v>575</v>
      </c>
      <c r="AE128" s="1" t="s">
        <v>576</v>
      </c>
      <c r="AF128" s="1" t="s">
        <v>578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577</v>
      </c>
      <c r="AN128" s="1" t="s">
        <v>50</v>
      </c>
      <c r="AO128" s="22" t="s">
        <v>434</v>
      </c>
      <c r="AP128" s="101" t="s">
        <v>487</v>
      </c>
      <c r="AQ128" s="136" t="s">
        <v>349</v>
      </c>
      <c r="AR128" s="325" t="s">
        <v>345</v>
      </c>
      <c r="AS128" s="139" t="s">
        <v>318</v>
      </c>
      <c r="AT128" s="1"/>
      <c r="AU128" s="4"/>
      <c r="AV128" s="1" t="s">
        <v>575</v>
      </c>
      <c r="AW128" s="1" t="s">
        <v>576</v>
      </c>
      <c r="AX128" s="1" t="s">
        <v>578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577</v>
      </c>
      <c r="BF128" s="1" t="s">
        <v>50</v>
      </c>
      <c r="BG128" s="22" t="s">
        <v>434</v>
      </c>
      <c r="BH128" s="101" t="s">
        <v>487</v>
      </c>
      <c r="BI128" s="136" t="s">
        <v>349</v>
      </c>
      <c r="BJ128" s="325" t="s">
        <v>345</v>
      </c>
      <c r="BK128" s="139" t="s">
        <v>318</v>
      </c>
      <c r="BL128" s="1"/>
      <c r="BM128" s="4"/>
      <c r="BN128" s="1" t="s">
        <v>575</v>
      </c>
      <c r="BO128" s="1" t="s">
        <v>576</v>
      </c>
      <c r="BP128" s="1" t="s">
        <v>578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577</v>
      </c>
      <c r="BX128" s="1" t="s">
        <v>50</v>
      </c>
      <c r="BY128" s="22" t="s">
        <v>434</v>
      </c>
      <c r="BZ128" s="101" t="s">
        <v>487</v>
      </c>
      <c r="CA128" s="136" t="s">
        <v>349</v>
      </c>
      <c r="CB128" s="325" t="s">
        <v>345</v>
      </c>
      <c r="CC128" s="139" t="s">
        <v>318</v>
      </c>
      <c r="CD128" s="114"/>
      <c r="CE128" s="114"/>
      <c r="CF128" s="114"/>
      <c r="CG128" s="4"/>
      <c r="CH128" s="1" t="s">
        <v>575</v>
      </c>
      <c r="CI128" s="1" t="s">
        <v>576</v>
      </c>
      <c r="CJ128" s="1" t="s">
        <v>578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577</v>
      </c>
      <c r="CR128" s="1" t="s">
        <v>50</v>
      </c>
      <c r="DN128" s="346"/>
      <c r="DO128" s="346"/>
      <c r="DP128" s="346"/>
      <c r="DQ128" s="346"/>
      <c r="DR128" s="346"/>
      <c r="DS128" s="346"/>
      <c r="DT128" s="346"/>
      <c r="DV128" s="4"/>
      <c r="DW128" s="1" t="s">
        <v>575</v>
      </c>
      <c r="DX128" s="1" t="s">
        <v>576</v>
      </c>
      <c r="DY128" s="1" t="s">
        <v>578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577</v>
      </c>
      <c r="EG128" s="1" t="s">
        <v>50</v>
      </c>
      <c r="EH128" s="312"/>
      <c r="EI128" s="312"/>
      <c r="EJ128" s="312"/>
      <c r="EK128" s="312"/>
      <c r="EL128" s="312"/>
      <c r="EM128" s="312"/>
      <c r="EN128" s="312"/>
      <c r="ET128" s="1"/>
      <c r="EU128" s="1"/>
      <c r="EV128" s="1" t="s">
        <v>575</v>
      </c>
      <c r="EW128" s="1" t="s">
        <v>576</v>
      </c>
      <c r="EX128" s="1" t="s">
        <v>578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577</v>
      </c>
      <c r="FF128" s="1" t="s">
        <v>50</v>
      </c>
      <c r="FG128" s="312"/>
      <c r="FH128" s="312"/>
      <c r="FI128" s="312"/>
      <c r="FJ128" s="312"/>
      <c r="FK128" s="312"/>
      <c r="FL128" s="312"/>
      <c r="FM128" s="312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4" t="s">
        <v>48</v>
      </c>
      <c r="W129" s="112" t="s">
        <v>48</v>
      </c>
      <c r="X129" s="112" t="s">
        <v>325</v>
      </c>
      <c r="Y129" s="326"/>
      <c r="Z129" s="137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4" t="s">
        <v>48</v>
      </c>
      <c r="AP129" s="112" t="s">
        <v>48</v>
      </c>
      <c r="AQ129" s="112" t="s">
        <v>325</v>
      </c>
      <c r="AR129" s="326"/>
      <c r="AS129" s="137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4" t="s">
        <v>48</v>
      </c>
      <c r="BH129" s="112" t="s">
        <v>48</v>
      </c>
      <c r="BI129" s="112" t="s">
        <v>325</v>
      </c>
      <c r="BJ129" s="326"/>
      <c r="BK129" s="137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4" t="s">
        <v>48</v>
      </c>
      <c r="BZ129" s="112" t="s">
        <v>48</v>
      </c>
      <c r="CA129" s="112" t="s">
        <v>325</v>
      </c>
      <c r="CB129" s="326"/>
      <c r="CC129" s="137" t="s">
        <v>83</v>
      </c>
      <c r="CD129" s="114"/>
      <c r="CE129" s="114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487</v>
      </c>
      <c r="DQ129" s="162" t="s">
        <v>338</v>
      </c>
      <c r="DR129" s="347" t="s">
        <v>345</v>
      </c>
      <c r="DS129" s="103" t="s">
        <v>318</v>
      </c>
      <c r="DT129" s="1"/>
      <c r="DV129" s="4" t="s">
        <v>41</v>
      </c>
      <c r="DW129" s="1" t="s">
        <v>89</v>
      </c>
      <c r="DX129" s="1" t="s">
        <v>579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487</v>
      </c>
      <c r="EK129" s="193" t="s">
        <v>338</v>
      </c>
      <c r="EL129" s="316" t="s">
        <v>345</v>
      </c>
      <c r="EM129" s="103" t="s">
        <v>318</v>
      </c>
      <c r="EU129" s="2" t="s">
        <v>41</v>
      </c>
      <c r="EV129" s="1" t="s">
        <v>89</v>
      </c>
      <c r="EW129" s="1" t="s">
        <v>579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18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5">
        <f>AN142</f>
        <v>7.1782646247188149</v>
      </c>
      <c r="W130" s="125">
        <f>SUM(U126,U140,U163,U151)-$AN$126-AN142</f>
        <v>257.85050016817019</v>
      </c>
      <c r="X130" s="195">
        <f>SUM(T126,T140,T151,T163) - SUM(AM126,AM142)</f>
        <v>0</v>
      </c>
      <c r="Y130" s="140" t="s">
        <v>342</v>
      </c>
      <c r="Z130" s="137">
        <f>(($AG$130*($AM$130-T130))/(U140+U151))</f>
        <v>0</v>
      </c>
      <c r="AA130" s="4"/>
      <c r="AB130" s="318" t="s">
        <v>534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5">
        <f>0</f>
        <v>0</v>
      </c>
      <c r="AP130" s="125">
        <f>AN126+AS113-BF126</f>
        <v>2824.885647744919</v>
      </c>
      <c r="AQ130" s="195">
        <f>BE126-AM126</f>
        <v>0</v>
      </c>
      <c r="AR130" s="140" t="s">
        <v>342</v>
      </c>
      <c r="AS130" s="137">
        <f>((AY130*(BE130-AM130)/AS113))</f>
        <v>0</v>
      </c>
      <c r="AT130" s="333" t="s">
        <v>562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5">
        <f>BZ114+BZ138</f>
        <v>0</v>
      </c>
      <c r="BH130" s="125">
        <f>BF126+BJ116-BX126</f>
        <v>34.678095164115803</v>
      </c>
      <c r="BI130" s="195">
        <f>BW126-BE126</f>
        <v>0</v>
      </c>
      <c r="BJ130" s="140" t="s">
        <v>342</v>
      </c>
      <c r="BK130" s="137">
        <f>((BQ130*(BW130-BE130)/BJ116))</f>
        <v>0</v>
      </c>
      <c r="BL130" s="318" t="s">
        <v>547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5">
        <f>CR114+CR138</f>
        <v>1065729361.2410759</v>
      </c>
      <c r="BZ130" s="125">
        <f>BX126+BX140+BX152-CR114-CR126-CR138</f>
        <v>12426778.193116665</v>
      </c>
      <c r="CA130" s="195">
        <f>SUM(CQ138,CQ126,CQ114) - SUM(BW126,BW140,BW152)</f>
        <v>0</v>
      </c>
      <c r="CB130" s="140" t="s">
        <v>342</v>
      </c>
      <c r="CC130" s="137" t="s">
        <v>99</v>
      </c>
      <c r="CD130" s="114"/>
      <c r="CE130" s="114"/>
      <c r="CF130" s="223" t="s">
        <v>548</v>
      </c>
      <c r="CG130" s="113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6">
        <f>CK130/CK131</f>
        <v>1</v>
      </c>
      <c r="CN130" s="126">
        <f>LN(CM130)</f>
        <v>0</v>
      </c>
      <c r="CO130" s="126">
        <f>RT0*CN130</f>
        <v>0</v>
      </c>
      <c r="CP130" s="33">
        <f>CO130+CL130</f>
        <v>122.25799999999992</v>
      </c>
      <c r="CQ130" s="33">
        <f>CP130*CM130</f>
        <v>122.25799999999992</v>
      </c>
      <c r="CR130" s="126">
        <f>CQ130*CK131</f>
        <v>242016.07607977447</v>
      </c>
      <c r="DO130" s="214" t="s">
        <v>48</v>
      </c>
      <c r="DP130" s="9" t="s">
        <v>48</v>
      </c>
      <c r="DQ130" s="1" t="s">
        <v>90</v>
      </c>
      <c r="DR130" s="348"/>
      <c r="DS130" s="137" t="s">
        <v>83</v>
      </c>
      <c r="DT130" s="4"/>
      <c r="DU130" s="318" t="s">
        <v>571</v>
      </c>
      <c r="DV130" s="8" t="s">
        <v>15</v>
      </c>
      <c r="DW130" s="176">
        <f>Fe2O3_BF_in</f>
        <v>881.06000000000006</v>
      </c>
      <c r="DX130" s="176">
        <f>DW130/$DW$134</f>
        <v>0.67265947997457687</v>
      </c>
      <c r="DY130" s="177">
        <f>MW_Fe2O3</f>
        <v>0.1596882</v>
      </c>
      <c r="DZ130" s="177">
        <f>DW130/DY130</f>
        <v>5517.3769884061567</v>
      </c>
      <c r="EA130" s="177">
        <f>b_ch_Fe2O3</f>
        <v>17.358400000000074</v>
      </c>
      <c r="EB130" s="177">
        <f>DZ130/$DZ$134</f>
        <v>0.21197353787675174</v>
      </c>
      <c r="EC130" s="178">
        <f>LN(EB130)</f>
        <v>-1.5512938334370325</v>
      </c>
      <c r="ED130" s="178">
        <f>RT0*EC130</f>
        <v>-3.5229403607560474</v>
      </c>
      <c r="EE130" s="178">
        <f>EA130+ED130</f>
        <v>13.835459639244027</v>
      </c>
      <c r="EF130" s="178">
        <f>EE130*EB130</f>
        <v>2.9327513278815638</v>
      </c>
      <c r="EG130" s="178">
        <f>$DZ$134*EF130</f>
        <v>76335.446637587142</v>
      </c>
      <c r="EI130" s="214" t="s">
        <v>48</v>
      </c>
      <c r="EJ130" s="9" t="s">
        <v>48</v>
      </c>
      <c r="EK130" s="9" t="s">
        <v>90</v>
      </c>
      <c r="EL130" s="317"/>
      <c r="EM130" s="137" t="s">
        <v>83</v>
      </c>
      <c r="ET130" s="223" t="s">
        <v>572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3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18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40" t="s">
        <v>343</v>
      </c>
      <c r="Z131" s="137">
        <f>($AN$126+AN142)/(SUM(U126,U140,U163,U151))</f>
        <v>0.98995098054731168</v>
      </c>
      <c r="AA131" s="4"/>
      <c r="AB131" s="318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40" t="s">
        <v>343</v>
      </c>
      <c r="AS131" s="137">
        <f>BF126/(AS113+AN126)</f>
        <v>0.89989464623142024</v>
      </c>
      <c r="AT131" s="333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40" t="s">
        <v>343</v>
      </c>
      <c r="BK131" s="137">
        <f>BX126/(BJ113+BF126)</f>
        <v>0.99885105550639652</v>
      </c>
      <c r="BL131" s="318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4"/>
      <c r="BZ131" s="6"/>
      <c r="CB131" s="140" t="s">
        <v>343</v>
      </c>
      <c r="CC131" s="137">
        <f>(CR138+CR126+CR114)/(BX140+BX126+BX152)</f>
        <v>0.98847663255948648</v>
      </c>
      <c r="CD131" s="114"/>
      <c r="CE131" s="114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4"/>
      <c r="CO131" s="114"/>
      <c r="CP131" s="6"/>
      <c r="CQ131" s="6">
        <f>SUM(CQ130)</f>
        <v>122.25799999999992</v>
      </c>
      <c r="CR131" s="6">
        <f>SUM(CR130)</f>
        <v>242016.07607977447</v>
      </c>
      <c r="DO131" s="105">
        <f>0</f>
        <v>0</v>
      </c>
      <c r="DP131" s="100">
        <f>(CR126+BW42+CP206)-(EG126)</f>
        <v>49789.327834718861</v>
      </c>
      <c r="DQ131" s="142">
        <f>EF126-CQ126-CO206-BV42</f>
        <v>0</v>
      </c>
      <c r="DR131" s="140" t="s">
        <v>342</v>
      </c>
      <c r="DS131" s="104" t="s">
        <v>99</v>
      </c>
      <c r="DT131" s="4"/>
      <c r="DU131" s="318"/>
      <c r="DV131" s="1" t="s">
        <v>17</v>
      </c>
      <c r="DW131" s="179">
        <f>SiO2_BF_in</f>
        <v>118.94000000000001</v>
      </c>
      <c r="DX131" s="179">
        <f t="shared" ref="DX131:DX133" si="42">DW131/$DW$134</f>
        <v>9.0806663051524489E-2</v>
      </c>
      <c r="DY131" s="168">
        <f>MW_SIO2</f>
        <v>6.00843E-2</v>
      </c>
      <c r="DZ131" s="168">
        <f>DW131/DY131</f>
        <v>1979.5520626852608</v>
      </c>
      <c r="EA131" s="168">
        <f>b_ch_SiO2</f>
        <v>1.5260000000000673</v>
      </c>
      <c r="EB131" s="168">
        <f>DZ131/$DZ$134</f>
        <v>7.6052924246496442E-2</v>
      </c>
      <c r="EC131" s="180">
        <f t="shared" ref="EC131:EC133" si="43">LN(EB131)</f>
        <v>-2.5763258093856205</v>
      </c>
      <c r="ED131" s="180">
        <f>RT0*EC131</f>
        <v>-5.8507563046472342</v>
      </c>
      <c r="EE131" s="180">
        <f t="shared" ref="EE131:EE133" si="44">EA131+ED131</f>
        <v>-4.3247563046471669</v>
      </c>
      <c r="EF131" s="180">
        <f t="shared" ref="EF131:EF133" si="45">EE131*EB131</f>
        <v>-0.32891036362188886</v>
      </c>
      <c r="EG131" s="180">
        <f>$DZ$134*EF131</f>
        <v>-8561.0802634753836</v>
      </c>
      <c r="EI131" s="105">
        <f>FF141+FF104</f>
        <v>500587.32575948373</v>
      </c>
      <c r="EJ131" s="284">
        <f>SUM(EG101,EG114,EG126,EG140,EG152)-(FF126+FF141+FF104)</f>
        <v>9123683.0829609409</v>
      </c>
      <c r="EK131" s="283">
        <f>(SUM(BF_SolidWaste,FE126,FE141))-SUM(EF101,EF114,EF126,EF140,EF152)</f>
        <v>0</v>
      </c>
      <c r="EL131" s="140" t="s">
        <v>342</v>
      </c>
      <c r="EM131" s="104" t="s">
        <v>99</v>
      </c>
      <c r="EU131" s="8" t="s">
        <v>19</v>
      </c>
      <c r="EV131" s="8">
        <f t="shared" ref="EV131" si="46">SUM(EV130:EV130)</f>
        <v>616.23583583508366</v>
      </c>
      <c r="EW131" s="8"/>
      <c r="EX131" s="8">
        <f t="shared" ref="EX131:FF131" si="47">SUM(EX130:EX130)</f>
        <v>5.5844999999999999E-2</v>
      </c>
      <c r="EY131" s="8">
        <f t="shared" si="47"/>
        <v>11034.753976812313</v>
      </c>
      <c r="EZ131" s="8">
        <f t="shared" si="47"/>
        <v>376.8</v>
      </c>
      <c r="FA131" s="8">
        <f t="shared" si="47"/>
        <v>1</v>
      </c>
      <c r="FB131" s="8">
        <f t="shared" si="47"/>
        <v>0</v>
      </c>
      <c r="FC131" s="8">
        <f t="shared" si="47"/>
        <v>0</v>
      </c>
      <c r="FD131" s="8">
        <f t="shared" si="47"/>
        <v>376.8</v>
      </c>
      <c r="FE131" s="8">
        <f t="shared" si="47"/>
        <v>376.8</v>
      </c>
      <c r="FF131" s="8">
        <f t="shared" si="47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7"/>
      <c r="R132" s="127"/>
      <c r="S132" s="127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1" t="s">
        <v>409</v>
      </c>
      <c r="Z132" s="138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7"/>
      <c r="AK132" s="127"/>
      <c r="AL132" s="127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1" t="s">
        <v>409</v>
      </c>
      <c r="AS132" s="138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7"/>
      <c r="BC132" s="127"/>
      <c r="BD132" s="127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1" t="s">
        <v>409</v>
      </c>
      <c r="BK132" s="138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7"/>
      <c r="BU132" s="127"/>
      <c r="BV132" s="127"/>
      <c r="BW132" s="27">
        <f>SUM(BW130:BW131)</f>
        <v>12.073926610257685</v>
      </c>
      <c r="BX132" s="27">
        <f>SUM(BX130:BX131)</f>
        <v>25394.240916408646</v>
      </c>
      <c r="BY132" s="114"/>
      <c r="BZ132" s="114"/>
      <c r="CB132" s="141" t="s">
        <v>409</v>
      </c>
      <c r="CC132" s="138">
        <f>CR130/(BX126+BX152+BX140)</f>
        <v>2.2442181938382317E-4</v>
      </c>
      <c r="CD132" s="114"/>
      <c r="CE132" s="114"/>
      <c r="CG132" s="6"/>
      <c r="CH132" s="6" t="s">
        <v>325</v>
      </c>
      <c r="CI132" s="6"/>
      <c r="CJ132" s="114" t="s">
        <v>332</v>
      </c>
      <c r="CK132" s="114" t="s">
        <v>333</v>
      </c>
      <c r="CL132" s="6"/>
      <c r="CM132" s="6"/>
      <c r="CN132" s="114"/>
      <c r="CO132" s="114"/>
      <c r="CP132" s="114"/>
      <c r="CQ132" s="114" t="s">
        <v>334</v>
      </c>
      <c r="CR132" s="6" t="s">
        <v>326</v>
      </c>
      <c r="DP132" s="4"/>
      <c r="DQ132" s="4"/>
      <c r="DR132" s="140" t="s">
        <v>343</v>
      </c>
      <c r="DS132" s="104">
        <f>EG126/(CR126+CP206+BW42)</f>
        <v>0.99300939590335358</v>
      </c>
      <c r="DT132" s="4"/>
      <c r="DU132" s="318"/>
      <c r="DV132" s="1" t="s">
        <v>124</v>
      </c>
      <c r="DW132" s="179">
        <f>CQ126</f>
        <v>111.00813284002646</v>
      </c>
      <c r="DX132" s="179">
        <f t="shared" si="42"/>
        <v>8.4750951023904092E-2</v>
      </c>
      <c r="DY132" s="168">
        <f>MW_CaO</f>
        <v>5.6077400000000006E-2</v>
      </c>
      <c r="DZ132" s="168">
        <f>DW132/DY132</f>
        <v>1979.5520626852608</v>
      </c>
      <c r="EA132" s="168">
        <f>b_ch_CaO</f>
        <v>122.25799999999992</v>
      </c>
      <c r="EB132" s="168">
        <f>DZ132/$DZ$134</f>
        <v>7.6052924246496442E-2</v>
      </c>
      <c r="EC132" s="180">
        <f t="shared" si="43"/>
        <v>-2.5763258093856205</v>
      </c>
      <c r="ED132" s="180">
        <f>RT0*EC132</f>
        <v>-5.8507563046472342</v>
      </c>
      <c r="EE132" s="180">
        <f t="shared" si="44"/>
        <v>116.40724369535269</v>
      </c>
      <c r="EF132" s="180">
        <f t="shared" si="45"/>
        <v>8.8531112865061079</v>
      </c>
      <c r="EG132" s="180">
        <f>$DZ$134*EF132</f>
        <v>230434.19936864119</v>
      </c>
      <c r="EJ132" s="4"/>
      <c r="EK132" s="4"/>
      <c r="EL132" s="140" t="s">
        <v>343</v>
      </c>
      <c r="EM132" s="104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4" t="s">
        <v>332</v>
      </c>
      <c r="N133" s="114" t="s">
        <v>333</v>
      </c>
      <c r="O133" s="6"/>
      <c r="P133" s="6"/>
      <c r="Q133" s="114"/>
      <c r="R133" s="114"/>
      <c r="S133" s="114"/>
      <c r="T133" s="114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4" t="s">
        <v>332</v>
      </c>
      <c r="AG133" s="114" t="s">
        <v>333</v>
      </c>
      <c r="AH133" s="6"/>
      <c r="AI133" s="6"/>
      <c r="AJ133" s="114"/>
      <c r="AK133" s="114"/>
      <c r="AL133" s="114"/>
      <c r="AM133" s="114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4" t="s">
        <v>332</v>
      </c>
      <c r="AY133" s="114" t="s">
        <v>333</v>
      </c>
      <c r="AZ133" s="6"/>
      <c r="BA133" s="6"/>
      <c r="BB133" s="114"/>
      <c r="BC133" s="114"/>
      <c r="BD133" s="114"/>
      <c r="BE133" s="114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4" t="s">
        <v>332</v>
      </c>
      <c r="BQ133" s="114" t="s">
        <v>333</v>
      </c>
      <c r="BR133" s="6"/>
      <c r="BS133" s="6"/>
      <c r="BT133" s="114"/>
      <c r="BU133" s="114"/>
      <c r="BV133" s="114"/>
      <c r="BW133" s="114" t="s">
        <v>334</v>
      </c>
      <c r="BX133" s="6" t="s">
        <v>326</v>
      </c>
      <c r="BY133" s="114"/>
      <c r="BZ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4"/>
      <c r="CR133" s="114"/>
      <c r="DR133" s="141" t="s">
        <v>409</v>
      </c>
      <c r="DS133" s="100">
        <f>EG130/(CR126+CP206+BW42)</f>
        <v>1.0717776463170951E-2</v>
      </c>
      <c r="DT133" s="4"/>
      <c r="DU133" s="318"/>
      <c r="DV133" s="1" t="s">
        <v>18</v>
      </c>
      <c r="DW133" s="179">
        <f>Coking_BF_in</f>
        <v>198.80764502323905</v>
      </c>
      <c r="DX133" s="179">
        <f t="shared" si="42"/>
        <v>0.15178290594999461</v>
      </c>
      <c r="DY133" s="168">
        <f>MW_C</f>
        <v>1.2010999999999999E-2</v>
      </c>
      <c r="DZ133" s="168">
        <f>DW133/DY133</f>
        <v>16552.130965218472</v>
      </c>
      <c r="EA133" s="168">
        <f>b_ch_C</f>
        <v>410.3</v>
      </c>
      <c r="EB133" s="168">
        <f>DZ133/$DZ$134</f>
        <v>0.63592061363025532</v>
      </c>
      <c r="EC133" s="180">
        <f t="shared" si="43"/>
        <v>-0.45268154476892275</v>
      </c>
      <c r="ED133" s="180">
        <f>RT0*EC133</f>
        <v>-1.0280258003104901</v>
      </c>
      <c r="EE133" s="180">
        <f t="shared" si="44"/>
        <v>409.27197419968951</v>
      </c>
      <c r="EF133" s="180">
        <f t="shared" si="45"/>
        <v>260.26448497473257</v>
      </c>
      <c r="EG133" s="180">
        <f>$DZ$134*EF133</f>
        <v>6774323.3173467768</v>
      </c>
      <c r="EL133" s="141" t="s">
        <v>409</v>
      </c>
      <c r="EM133" s="100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6"/>
      <c r="BH134" s="4"/>
      <c r="BI134" s="4"/>
      <c r="BJ134" s="4"/>
      <c r="BK134" s="4"/>
      <c r="BL134" s="4"/>
      <c r="BM134" s="4"/>
      <c r="BN134" s="4"/>
      <c r="BO134" s="4"/>
      <c r="BP134" s="4"/>
      <c r="BS134" s="4"/>
      <c r="BT134" s="4"/>
      <c r="BX134" s="114"/>
      <c r="DO134" s="4"/>
      <c r="DP134" s="4"/>
      <c r="DQ134" s="4"/>
      <c r="DR134" s="4"/>
      <c r="DS134" s="4"/>
      <c r="DT134" s="4"/>
      <c r="DV134" s="8" t="s">
        <v>19</v>
      </c>
      <c r="DW134" s="176">
        <f>SUM(DW130:DW133)</f>
        <v>1309.8157778632656</v>
      </c>
      <c r="DX134" s="176"/>
      <c r="DY134" s="177">
        <f>SUM(DY130:DY133)</f>
        <v>0.28786090000000003</v>
      </c>
      <c r="DZ134" s="177">
        <f>SUM(DZ130:DZ133)</f>
        <v>26028.612078995153</v>
      </c>
      <c r="EA134" s="177"/>
      <c r="EB134" s="177">
        <f>SUM(EB130:EB133)</f>
        <v>1</v>
      </c>
      <c r="EC134" s="177"/>
      <c r="ED134" s="177"/>
      <c r="EE134" s="177"/>
      <c r="EF134" s="177"/>
      <c r="EG134" s="177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S135" s="4"/>
      <c r="BT135" s="4"/>
      <c r="DW135" s="181" t="s">
        <v>90</v>
      </c>
      <c r="DX135" s="181"/>
      <c r="DY135" s="168" t="s">
        <v>92</v>
      </c>
      <c r="DZ135" s="168" t="s">
        <v>88</v>
      </c>
      <c r="EA135" s="182"/>
      <c r="EB135" s="182"/>
      <c r="EC135" s="168"/>
      <c r="ED135" s="168"/>
      <c r="EE135" s="168"/>
      <c r="EF135" s="168" t="s">
        <v>97</v>
      </c>
      <c r="EG135" s="180" t="s">
        <v>94</v>
      </c>
      <c r="EL135" s="4"/>
      <c r="ET135" s="4"/>
      <c r="EU135" s="1"/>
      <c r="EV135" s="1"/>
      <c r="EY135" s="4"/>
      <c r="EZ135" s="4"/>
      <c r="FE135" s="1"/>
    </row>
    <row r="136" spans="2:164" ht="16" x14ac:dyDescent="0.2"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1"/>
      <c r="CA136" s="1"/>
      <c r="CB136" s="1"/>
      <c r="CC136" s="1"/>
      <c r="CD136" s="1"/>
      <c r="CE136" s="1"/>
      <c r="CH136" s="4"/>
      <c r="CI136" s="4"/>
      <c r="CQ136" s="63" t="s">
        <v>1</v>
      </c>
      <c r="CR136" s="58" t="s">
        <v>0</v>
      </c>
      <c r="EA136" s="179"/>
      <c r="EB136" s="168"/>
      <c r="EC136" s="168"/>
      <c r="ED136" s="168"/>
      <c r="EE136" s="168"/>
      <c r="EF136" s="168"/>
      <c r="EG136" s="168"/>
      <c r="EH136" s="168"/>
      <c r="EI136" s="168"/>
      <c r="EJ136" s="168"/>
      <c r="EW136" s="4"/>
      <c r="EX136" s="1"/>
      <c r="EY136" s="1"/>
      <c r="FB136" s="4"/>
      <c r="FC136" s="4"/>
    </row>
    <row r="137" spans="2:164" ht="19" thickBot="1" x14ac:dyDescent="0.3">
      <c r="B137" s="313" t="s">
        <v>497</v>
      </c>
      <c r="C137" s="313"/>
      <c r="D137" s="313"/>
      <c r="E137" s="313"/>
      <c r="F137" s="313"/>
      <c r="G137" s="313"/>
      <c r="H137" s="313"/>
      <c r="S137" s="4"/>
      <c r="T137" s="4"/>
      <c r="U137" s="4"/>
      <c r="V137" s="4"/>
      <c r="W137" s="90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1"/>
      <c r="CA137" s="1"/>
      <c r="CB137" s="1"/>
      <c r="CC137" s="1"/>
      <c r="CD137" s="1"/>
      <c r="CE137" s="1"/>
      <c r="CH137" s="4"/>
      <c r="CI137" s="4"/>
      <c r="CQ137" s="65" t="s">
        <v>90</v>
      </c>
      <c r="CR137" s="64" t="s">
        <v>94</v>
      </c>
      <c r="DW137" s="179"/>
      <c r="DX137" s="179"/>
      <c r="DY137" s="168"/>
      <c r="DZ137" s="168"/>
      <c r="EA137" s="168"/>
      <c r="EB137" s="168"/>
      <c r="EC137" s="168"/>
      <c r="ED137" s="168"/>
      <c r="EE137" s="168"/>
      <c r="EF137" s="168"/>
      <c r="EG137" s="168"/>
      <c r="ET137" s="4"/>
      <c r="EU137" s="1"/>
      <c r="EV137" s="1"/>
      <c r="EY137" s="4"/>
      <c r="EZ137" s="4"/>
      <c r="FE137" s="1"/>
      <c r="FH137" s="1"/>
    </row>
    <row r="138" spans="2:164" ht="17" thickBot="1" x14ac:dyDescent="0.25">
      <c r="B138" s="314"/>
      <c r="C138" s="314"/>
      <c r="D138" s="314"/>
      <c r="E138" s="314"/>
      <c r="F138" s="314"/>
      <c r="G138" s="314"/>
      <c r="H138" s="31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V138" s="160" t="s">
        <v>341</v>
      </c>
      <c r="BW138" s="158" t="s">
        <v>1</v>
      </c>
      <c r="BX138" s="58" t="s">
        <v>0</v>
      </c>
      <c r="CC138" s="1"/>
      <c r="CD138" s="1"/>
      <c r="CE138" s="1"/>
      <c r="CF138" s="1"/>
      <c r="CG138" s="1"/>
      <c r="CH138" s="1"/>
      <c r="CK138" s="4"/>
      <c r="CL138" s="4"/>
      <c r="CM138" s="3" t="s">
        <v>549</v>
      </c>
      <c r="CQ138" s="50">
        <f>CH146</f>
        <v>21178.628376204575</v>
      </c>
      <c r="CR138" s="48">
        <f>CR146</f>
        <v>1065721621.9898958</v>
      </c>
      <c r="DW138" s="179"/>
      <c r="DX138" s="179"/>
      <c r="DY138" s="168"/>
      <c r="DZ138" s="168"/>
      <c r="EA138" s="168"/>
      <c r="EB138" s="168"/>
      <c r="EC138" s="168"/>
      <c r="ED138" s="168"/>
      <c r="EE138" s="168"/>
      <c r="EF138" s="183" t="s">
        <v>1</v>
      </c>
      <c r="EG138" s="184" t="s">
        <v>0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5" t="s">
        <v>264</v>
      </c>
      <c r="D139" s="115" t="s">
        <v>236</v>
      </c>
      <c r="E139" s="115" t="s">
        <v>236</v>
      </c>
      <c r="F139" s="115" t="s">
        <v>236</v>
      </c>
      <c r="G139" s="116" t="s">
        <v>323</v>
      </c>
      <c r="H139" s="115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V139" s="161" t="s">
        <v>63</v>
      </c>
      <c r="BW139" s="23" t="s">
        <v>90</v>
      </c>
      <c r="BX139" s="64" t="s">
        <v>94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9"/>
      <c r="DX139" s="179"/>
      <c r="DY139" s="168"/>
      <c r="DZ139" s="168"/>
      <c r="EA139" s="168"/>
      <c r="EB139" s="168"/>
      <c r="EC139" s="168"/>
      <c r="ED139" s="168"/>
      <c r="EE139" s="168"/>
      <c r="EF139" s="185" t="s">
        <v>90</v>
      </c>
      <c r="EG139" s="186" t="s">
        <v>94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5" t="s">
        <v>329</v>
      </c>
      <c r="E140" s="115" t="s">
        <v>330</v>
      </c>
      <c r="F140" s="115" t="s">
        <v>48</v>
      </c>
      <c r="G140" s="116" t="s">
        <v>99</v>
      </c>
      <c r="H140" s="115" t="s">
        <v>48</v>
      </c>
      <c r="J140" s="4"/>
      <c r="K140" s="4"/>
      <c r="L140" s="4"/>
      <c r="M140" s="4"/>
      <c r="N140" s="4"/>
      <c r="O140" s="4"/>
      <c r="P140" s="205" t="s">
        <v>596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4"/>
      <c r="X140" s="4"/>
      <c r="Y140" s="4"/>
      <c r="Z140" s="4"/>
      <c r="AA140" s="4"/>
      <c r="AD140" s="4"/>
      <c r="AE140" s="4"/>
      <c r="AM140" s="63" t="s">
        <v>1</v>
      </c>
      <c r="AN140" s="58" t="s">
        <v>0</v>
      </c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S140" s="3" t="s">
        <v>542</v>
      </c>
      <c r="BV140" s="123">
        <v>298.14999999999998</v>
      </c>
      <c r="BW140" s="159">
        <f>BN146</f>
        <v>287.74918282404701</v>
      </c>
      <c r="BX140" s="48">
        <f>BX146</f>
        <v>2228.753251272266</v>
      </c>
      <c r="CG140" s="4"/>
      <c r="CH140" s="1" t="s">
        <v>575</v>
      </c>
      <c r="CI140" s="1" t="s">
        <v>576</v>
      </c>
      <c r="CJ140" s="1" t="s">
        <v>578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577</v>
      </c>
      <c r="CR140" s="1" t="s">
        <v>50</v>
      </c>
      <c r="DW140" s="179"/>
      <c r="DX140" s="179"/>
      <c r="DY140" s="168"/>
      <c r="DZ140" s="168"/>
      <c r="EA140" s="168"/>
      <c r="EB140" s="168" t="s">
        <v>542</v>
      </c>
      <c r="EC140" s="168"/>
      <c r="ED140" s="168"/>
      <c r="EE140" s="168"/>
      <c r="EF140" s="174">
        <f>DW146</f>
        <v>2870.841834451006</v>
      </c>
      <c r="EG140" s="175">
        <f>EG146</f>
        <v>23611.293462025522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5" t="s">
        <v>271</v>
      </c>
      <c r="D141" s="15">
        <v>5570</v>
      </c>
      <c r="E141" s="115">
        <f t="shared" ref="E141:E148" si="48">D141*Btu_to_kJ</f>
        <v>5876.6842000000006</v>
      </c>
      <c r="F141" s="115">
        <f t="shared" ref="F141:F148" si="49">E141*($AD$131/1000)</f>
        <v>61.28077095942907</v>
      </c>
      <c r="G141" s="115">
        <v>1.06</v>
      </c>
      <c r="H141" s="115">
        <f t="shared" ref="H141:H148" si="50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9"/>
      <c r="DX141" s="179"/>
      <c r="DY141" s="168"/>
      <c r="DZ141" s="168"/>
      <c r="EA141" s="168"/>
      <c r="EB141" s="168"/>
      <c r="EC141" s="168"/>
      <c r="ED141" s="168"/>
      <c r="EE141" s="168"/>
      <c r="EF141" s="168"/>
      <c r="EG141" s="168"/>
      <c r="ET141" s="1"/>
      <c r="EU141" s="1"/>
      <c r="EV141" s="1"/>
      <c r="EY141" s="4"/>
      <c r="EZ141" s="4" t="s">
        <v>573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5">
        <f t="shared" si="48"/>
        <v>5423.0084000000006</v>
      </c>
      <c r="F142" s="115">
        <f t="shared" si="49"/>
        <v>56.549939449096122</v>
      </c>
      <c r="G142" s="115">
        <v>1.06</v>
      </c>
      <c r="H142" s="115">
        <f t="shared" si="50"/>
        <v>59.942935816041896</v>
      </c>
      <c r="J142" s="4"/>
      <c r="K142" s="3" t="s">
        <v>581</v>
      </c>
      <c r="L142" s="1" t="s">
        <v>575</v>
      </c>
      <c r="M142" s="1" t="s">
        <v>578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577</v>
      </c>
      <c r="U142" s="1" t="s">
        <v>50</v>
      </c>
      <c r="V142" s="4"/>
      <c r="W142" s="4"/>
      <c r="X142" s="4"/>
      <c r="Y142" s="4"/>
      <c r="Z142" s="4"/>
      <c r="AA142" s="4"/>
      <c r="AB142" s="1"/>
      <c r="AC142" s="1"/>
      <c r="AD142" s="1"/>
      <c r="AG142" s="4"/>
      <c r="AH142" s="4"/>
      <c r="AI142" s="3" t="s">
        <v>563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13" t="s">
        <v>536</v>
      </c>
      <c r="BI142" s="313"/>
      <c r="BJ142" s="313"/>
      <c r="BK142" s="313"/>
      <c r="BM142" s="4"/>
      <c r="BN142" s="1" t="s">
        <v>575</v>
      </c>
      <c r="BO142" s="1" t="s">
        <v>576</v>
      </c>
      <c r="BP142" s="1" t="s">
        <v>578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577</v>
      </c>
      <c r="BX142" s="1" t="s">
        <v>50</v>
      </c>
      <c r="BY142" s="1"/>
      <c r="CF142" s="315" t="s">
        <v>549</v>
      </c>
      <c r="CG142" s="17" t="s">
        <v>23</v>
      </c>
      <c r="CH142" s="8">
        <f>CO2_Kiln_Out+CO2_Kiln_Out_ADD</f>
        <v>258.78111600158365</v>
      </c>
      <c r="CI142" s="8">
        <f>CH142/CH146</f>
        <v>1.2218974307719538E-2</v>
      </c>
      <c r="CJ142" s="1">
        <f>MW_CO2</f>
        <v>4.4009800000000002E-2</v>
      </c>
      <c r="CK142" s="1">
        <f>CH142/CJ142</f>
        <v>5880.0793459998376</v>
      </c>
      <c r="CL142" s="1">
        <f>b_ch_CO2</f>
        <v>19.900000000000034</v>
      </c>
      <c r="CM142" s="1">
        <f>CK142/$CK$146</f>
        <v>4.5130640866266353E-3</v>
      </c>
      <c r="CN142" s="1">
        <f>LN(CM142)</f>
        <v>-5.4007789577890319</v>
      </c>
      <c r="CO142" s="1">
        <f>RT0*CN142</f>
        <v>-12.265002129069096</v>
      </c>
      <c r="CP142" s="1">
        <f>CL142+CO142</f>
        <v>7.6349978709309383</v>
      </c>
      <c r="CQ142" s="1">
        <f>CP142*CM142</f>
        <v>3.4457234692769241E-2</v>
      </c>
      <c r="CR142" s="8">
        <f>$CK$146*CQ142</f>
        <v>44894.393287613748</v>
      </c>
      <c r="DQ142" s="313" t="s">
        <v>536</v>
      </c>
      <c r="DR142" s="313"/>
      <c r="DS142" s="313"/>
      <c r="DT142" s="313"/>
      <c r="DV142" s="4"/>
      <c r="DW142" s="1" t="s">
        <v>575</v>
      </c>
      <c r="DX142" s="1" t="s">
        <v>576</v>
      </c>
      <c r="DY142" s="1" t="s">
        <v>578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577</v>
      </c>
      <c r="EG142" s="1" t="s">
        <v>50</v>
      </c>
      <c r="EH142" s="1"/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5">
        <f t="shared" si="48"/>
        <v>7230.3261800000009</v>
      </c>
      <c r="F143" s="115">
        <f t="shared" si="49"/>
        <v>75.396251954213184</v>
      </c>
      <c r="G143" s="115">
        <v>1.06</v>
      </c>
      <c r="H143" s="115">
        <f t="shared" si="50"/>
        <v>79.920027071465981</v>
      </c>
      <c r="J143" s="4" t="s">
        <v>41</v>
      </c>
      <c r="K143" s="3" t="s">
        <v>580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/>
      <c r="X143" s="4"/>
      <c r="Y143" s="4"/>
      <c r="Z143" s="4"/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13"/>
      <c r="BI143" s="313"/>
      <c r="BJ143" s="313"/>
      <c r="BK143" s="313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CF143" s="315"/>
      <c r="CG143" s="3" t="s">
        <v>65</v>
      </c>
      <c r="CH143" s="146">
        <f>CH4_Kiln_out</f>
        <v>20556.443397615094</v>
      </c>
      <c r="CI143" s="1">
        <f>CH143/$CH$146</f>
        <v>0.97062203616129639</v>
      </c>
      <c r="CJ143" s="1">
        <f>MW_CH4</f>
        <v>1.604276E-2</v>
      </c>
      <c r="CK143" s="1">
        <f>CH143/CJ143</f>
        <v>1281353.29566827</v>
      </c>
      <c r="CL143" s="1">
        <f>b_ch_CH4</f>
        <v>831.8</v>
      </c>
      <c r="CM143" s="1">
        <f>CK143/$CK$146</f>
        <v>0.98346114068939461</v>
      </c>
      <c r="CN143" s="1">
        <f t="shared" ref="CN143:CN145" si="51">LN(CM143)</f>
        <v>-1.6677153179780288E-2</v>
      </c>
      <c r="CO143" s="1">
        <f>RT0*CN143</f>
        <v>-3.7873299547247774E-2</v>
      </c>
      <c r="CP143" s="1">
        <f t="shared" ref="CP143:CP145" si="52">CL143+CO143</f>
        <v>831.76212670045265</v>
      </c>
      <c r="CQ143" s="1">
        <f t="shared" ref="CQ143:CQ145" si="53">CP143*CM143</f>
        <v>818.00572990706394</v>
      </c>
      <c r="CR143" s="1">
        <f>$CK$146*CQ143</f>
        <v>1065781142.2596742</v>
      </c>
      <c r="DQ143" s="313"/>
      <c r="DR143" s="313"/>
      <c r="DS143" s="313"/>
      <c r="DT143" s="313"/>
      <c r="DV143" s="95" t="s">
        <v>41</v>
      </c>
      <c r="DW143" s="187" t="s">
        <v>89</v>
      </c>
      <c r="DX143" s="1" t="s">
        <v>579</v>
      </c>
      <c r="DY143" s="188" t="s">
        <v>91</v>
      </c>
      <c r="DZ143" s="188" t="s">
        <v>87</v>
      </c>
      <c r="EA143" s="188" t="s">
        <v>96</v>
      </c>
      <c r="EB143" s="188" t="s">
        <v>25</v>
      </c>
      <c r="EC143" s="188" t="s">
        <v>99</v>
      </c>
      <c r="ED143" s="188" t="s">
        <v>96</v>
      </c>
      <c r="EE143" s="188" t="s">
        <v>96</v>
      </c>
      <c r="EF143" s="188" t="s">
        <v>95</v>
      </c>
      <c r="EG143" s="188" t="s">
        <v>93</v>
      </c>
      <c r="EH143" s="1"/>
      <c r="EU143" s="1"/>
      <c r="EV143" s="1" t="s">
        <v>575</v>
      </c>
      <c r="EW143" s="1" t="s">
        <v>576</v>
      </c>
      <c r="EX143" s="1" t="s">
        <v>578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577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5">
        <f t="shared" si="48"/>
        <v>3270.6860000000001</v>
      </c>
      <c r="F144" s="115">
        <f t="shared" si="49"/>
        <v>34.105994609377035</v>
      </c>
      <c r="G144" s="115">
        <v>1.06</v>
      </c>
      <c r="H144" s="115">
        <f t="shared" si="50"/>
        <v>36.152354285939658</v>
      </c>
      <c r="I144" s="285" t="s">
        <v>596</v>
      </c>
      <c r="J144" s="62" t="s">
        <v>500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575</v>
      </c>
      <c r="AE144" s="1" t="s">
        <v>576</v>
      </c>
      <c r="AF144" s="1" t="s">
        <v>578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577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15" t="s">
        <v>542</v>
      </c>
      <c r="BM144" s="8" t="s">
        <v>304</v>
      </c>
      <c r="BN144" s="17">
        <f>0.21*BN146</f>
        <v>60.427328393049869</v>
      </c>
      <c r="BO144" s="17">
        <f>O2_Kiln_in/BN146</f>
        <v>0.21</v>
      </c>
      <c r="BP144" s="3">
        <f>MW_O2</f>
        <v>3.1998800000000001E-2</v>
      </c>
      <c r="BQ144" s="3">
        <f>BN144/BP144</f>
        <v>1888.4248282138665</v>
      </c>
      <c r="BR144" s="3">
        <f>b_ch_O2</f>
        <v>4</v>
      </c>
      <c r="BS144" s="3">
        <f>BQ144/BQ146</f>
        <v>0.18878290627548347</v>
      </c>
      <c r="BT144" s="1">
        <f>LN(BS144)</f>
        <v>-1.6671575681647295</v>
      </c>
      <c r="BU144" s="1">
        <f>RT0*BT144</f>
        <v>-3.786063322133244</v>
      </c>
      <c r="BV144" s="1">
        <f>BR144+BU144</f>
        <v>0.21393667786675596</v>
      </c>
      <c r="BW144" s="1">
        <f>BV144*BS144</f>
        <v>4.0387587806608088E-2</v>
      </c>
      <c r="BX144" s="1">
        <f>BQ146*BW144</f>
        <v>404.00333414917395</v>
      </c>
      <c r="CF144" s="315"/>
      <c r="CG144" s="3" t="s">
        <v>68</v>
      </c>
      <c r="CH144" s="1">
        <f>H2O_Kiln_Out</f>
        <v>136.08200815689884</v>
      </c>
      <c r="CI144" s="1">
        <f>CH144/$CH$146</f>
        <v>6.4254401059227664E-3</v>
      </c>
      <c r="CJ144" s="6">
        <f>MW_H2O</f>
        <v>1.8015280000000002E-2</v>
      </c>
      <c r="CK144" s="1">
        <f t="shared" ref="CK144:CK145" si="54">CH144/CJ144</f>
        <v>7553.6993128554659</v>
      </c>
      <c r="CL144" s="6">
        <f>b_ch_H2O</f>
        <v>9.5113440000000082</v>
      </c>
      <c r="CM144" s="1">
        <f>CK144/$CK$146</f>
        <v>5.797596781277386E-3</v>
      </c>
      <c r="CN144" s="1">
        <f t="shared" si="51"/>
        <v>-5.1503117953512616</v>
      </c>
      <c r="CO144" s="1">
        <f>RT0*CN144</f>
        <v>-11.696198942608238</v>
      </c>
      <c r="CP144" s="1">
        <f t="shared" si="52"/>
        <v>-2.1848549426082293</v>
      </c>
      <c r="CQ144" s="1">
        <f>CP144*CM144</f>
        <v>-1.2666907982823458E-2</v>
      </c>
      <c r="CR144" s="1">
        <f>$CK$146*CQ144</f>
        <v>-16503.73727866865</v>
      </c>
      <c r="DU144" s="315" t="s">
        <v>542</v>
      </c>
      <c r="DV144" s="1" t="s">
        <v>304</v>
      </c>
      <c r="DW144" s="179">
        <f>O2_BF_in+O2_added_BF+((((DZ118*O2_Naturalgas_molcoeff)+(DZ105*O2_Oil_molcoeff)))*DY144)</f>
        <v>750.02828160126808</v>
      </c>
      <c r="DX144" s="176">
        <f>DW144/DW146</f>
        <v>0.26125726349696193</v>
      </c>
      <c r="DY144" s="262">
        <f>MW_O2</f>
        <v>3.1998800000000001E-2</v>
      </c>
      <c r="DZ144" s="168">
        <f>DW144/DY144</f>
        <v>23439.262772393591</v>
      </c>
      <c r="EA144" s="168">
        <f>b_ch_O2</f>
        <v>4</v>
      </c>
      <c r="EB144" s="168">
        <f>DZ144/$DZ$146</f>
        <v>0.23641120950762273</v>
      </c>
      <c r="EC144" s="180">
        <f>LN(EB144)</f>
        <v>-1.4421825770294348</v>
      </c>
      <c r="ED144" s="180">
        <f>RT0*EC144</f>
        <v>-3.2751520689922158</v>
      </c>
      <c r="EE144" s="180">
        <f>EA144+ED144</f>
        <v>0.72484793100778422</v>
      </c>
      <c r="EF144" s="180">
        <f>EE144*EB144</f>
        <v>0.17136217607864815</v>
      </c>
      <c r="EG144" s="180">
        <f>$DZ$146*EF144</f>
        <v>16989.901124917276</v>
      </c>
      <c r="EU144" s="2" t="s">
        <v>41</v>
      </c>
      <c r="EV144" s="1" t="s">
        <v>89</v>
      </c>
      <c r="EW144" s="1" t="s">
        <v>579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5">
        <f t="shared" si="48"/>
        <v>1118.3636000000001</v>
      </c>
      <c r="F145" s="115">
        <f t="shared" si="49"/>
        <v>11.662049769657957</v>
      </c>
      <c r="G145" s="115">
        <v>1.06</v>
      </c>
      <c r="H145" s="115">
        <f t="shared" si="50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15"/>
      <c r="BM145" s="60" t="s">
        <v>67</v>
      </c>
      <c r="BN145" s="28">
        <f>BN146-BN144</f>
        <v>227.32185443099715</v>
      </c>
      <c r="BO145" s="3">
        <f>N2_Kiln_in/BN146</f>
        <v>0.79</v>
      </c>
      <c r="BP145" s="28">
        <f>MW_N2</f>
        <v>2.801348E-2</v>
      </c>
      <c r="BQ145" s="28">
        <f>BN145/BP145</f>
        <v>8114.7309948994962</v>
      </c>
      <c r="BR145" s="28">
        <f>b_ch_N2</f>
        <v>0.7</v>
      </c>
      <c r="BS145" s="28">
        <f>BQ145/BQ146</f>
        <v>0.81121709372451656</v>
      </c>
      <c r="BT145" s="2">
        <f>LN(BS145)</f>
        <v>-0.20921957422162568</v>
      </c>
      <c r="BU145" s="2">
        <f>RT0*BT145</f>
        <v>-0.47513118817246847</v>
      </c>
      <c r="BV145" s="2">
        <f>BR145+BU145</f>
        <v>0.22486881182753149</v>
      </c>
      <c r="BW145" s="2">
        <f>BV145*BS145</f>
        <v>0.18241742400001529</v>
      </c>
      <c r="BX145" s="2">
        <f>BQ146*BW145</f>
        <v>1824.749917123092</v>
      </c>
      <c r="CF145" s="315"/>
      <c r="CG145" s="7" t="s">
        <v>67</v>
      </c>
      <c r="CH145" s="28">
        <f>N2_Kiln_in</f>
        <v>227.32185443099715</v>
      </c>
      <c r="CI145" s="1">
        <f>CH145/$CH$146</f>
        <v>1.0733549425061282E-2</v>
      </c>
      <c r="CJ145" s="6">
        <f>MW_N2</f>
        <v>2.801348E-2</v>
      </c>
      <c r="CK145" s="1">
        <f t="shared" si="54"/>
        <v>8114.7309948994962</v>
      </c>
      <c r="CL145" s="6">
        <f>b_ch_N2</f>
        <v>0.7</v>
      </c>
      <c r="CM145" s="1">
        <f>CK145/$CK$146</f>
        <v>6.2281984427014145E-3</v>
      </c>
      <c r="CN145" s="1">
        <f t="shared" si="51"/>
        <v>-5.0786681625280483</v>
      </c>
      <c r="CO145" s="1">
        <f>RT0*CN145</f>
        <v>-11.533498466254974</v>
      </c>
      <c r="CP145" s="1">
        <f t="shared" si="52"/>
        <v>-10.833498466254975</v>
      </c>
      <c r="CQ145" s="1">
        <f t="shared" si="53"/>
        <v>-6.7473178276537399E-2</v>
      </c>
      <c r="CR145" s="1">
        <f>$CK$146*CQ145</f>
        <v>-87910.925787315398</v>
      </c>
      <c r="DU145" s="315"/>
      <c r="DV145" s="60" t="s">
        <v>67</v>
      </c>
      <c r="DW145" s="189">
        <f>N2_BF_out+N2_added_BF+(((DZ105+N2_molcoeff)+(DZ118*N2_molcoeff))*DY145)</f>
        <v>2120.8135528497378</v>
      </c>
      <c r="DX145" s="189">
        <f>DW145/DW146</f>
        <v>0.73874273650303801</v>
      </c>
      <c r="DY145" s="268">
        <f>MW_N2</f>
        <v>2.801348E-2</v>
      </c>
      <c r="DZ145" s="190">
        <f>DW145/DY145</f>
        <v>75706.893711518089</v>
      </c>
      <c r="EA145" s="190">
        <f>b_ch_N2</f>
        <v>0.7</v>
      </c>
      <c r="EB145" s="190">
        <f>DZ145/$DZ$146</f>
        <v>0.76358879049237727</v>
      </c>
      <c r="EC145" s="188">
        <f>LN(EB145)</f>
        <v>-0.26972586705445795</v>
      </c>
      <c r="ED145" s="188">
        <f>RT0*EC145</f>
        <v>-0.61253910955138202</v>
      </c>
      <c r="EE145" s="188">
        <f>EA145+ED145</f>
        <v>8.7460890448617934E-2</v>
      </c>
      <c r="EF145" s="188">
        <f>EE145*EB145</f>
        <v>6.6784155553046481E-2</v>
      </c>
      <c r="EG145" s="188">
        <f>$DZ$146*EF145</f>
        <v>6621.3923371082456</v>
      </c>
      <c r="ET145" s="315" t="s">
        <v>573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8" t="s">
        <v>275</v>
      </c>
      <c r="D146" s="15">
        <v>60</v>
      </c>
      <c r="E146" s="115">
        <f t="shared" si="48"/>
        <v>63.303600000000003</v>
      </c>
      <c r="F146" s="115">
        <f t="shared" si="49"/>
        <v>0.6601160246976201</v>
      </c>
      <c r="G146" s="115">
        <v>1.06</v>
      </c>
      <c r="H146" s="115">
        <f t="shared" si="50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15" t="s">
        <v>509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(Air_to_Kiln*BN132)/Ore_to_Kiln</f>
        <v>287.74918282404701</v>
      </c>
      <c r="BO146" s="17"/>
      <c r="BP146" s="3">
        <f>SUM(BP144:BP145)</f>
        <v>6.0012280000000001E-2</v>
      </c>
      <c r="BQ146" s="3">
        <f>SUM(BQ144:BQ145)</f>
        <v>10003.155823113362</v>
      </c>
      <c r="BS146" s="3">
        <f>SUM(BS144:BS145)</f>
        <v>1</v>
      </c>
      <c r="BW146" s="3">
        <f>SUM(BW144:BW145)</f>
        <v>0.22280501180662338</v>
      </c>
      <c r="BX146" s="3">
        <f>SUM(BX144:BX145)</f>
        <v>2228.753251272266</v>
      </c>
      <c r="CG146" s="17" t="s">
        <v>19</v>
      </c>
      <c r="CH146" s="1">
        <f>SUM(CH142:CH145)</f>
        <v>21178.628376204575</v>
      </c>
      <c r="CI146" s="8">
        <f>SUM(CI142:CI145)</f>
        <v>1</v>
      </c>
      <c r="CJ146" s="17"/>
      <c r="CK146" s="8">
        <f>SUM(CK142:CK145)</f>
        <v>1302901.8053220247</v>
      </c>
      <c r="CL146" s="62"/>
      <c r="CM146" s="8">
        <f>SUM(CM142:CM145)</f>
        <v>1</v>
      </c>
      <c r="CN146" s="17"/>
      <c r="CO146" s="17"/>
      <c r="CP146" s="17"/>
      <c r="CQ146" s="8">
        <f>SUM(CQ142:CQ145)</f>
        <v>817.9600470554974</v>
      </c>
      <c r="CR146" s="8">
        <f>SUM(CR142:CR145)</f>
        <v>1065721621.9898958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T146" s="315"/>
      <c r="EU146" s="3" t="s">
        <v>460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5">
        <v>170</v>
      </c>
      <c r="E147" s="115">
        <f t="shared" si="48"/>
        <v>179.36020000000002</v>
      </c>
      <c r="F147" s="115">
        <f t="shared" si="49"/>
        <v>1.8703287366432571</v>
      </c>
      <c r="G147" s="115">
        <v>1.06</v>
      </c>
      <c r="H147" s="115">
        <f t="shared" si="50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15"/>
      <c r="AC147" s="3" t="s">
        <v>68</v>
      </c>
      <c r="AD147" s="1">
        <f t="shared" ref="AD147:AD148" si="55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56">LN(AI147)</f>
        <v>-2.0511356460546359</v>
      </c>
      <c r="AK147" s="1">
        <f>RT0*AJ147</f>
        <v>-4.6580656720986147</v>
      </c>
      <c r="AL147" s="1">
        <f t="shared" ref="AL147:AL148" si="57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H147" s="1" t="s">
        <v>90</v>
      </c>
      <c r="CI147" s="1"/>
      <c r="CJ147" s="3" t="s">
        <v>92</v>
      </c>
      <c r="CK147" s="3" t="s">
        <v>88</v>
      </c>
      <c r="CL147" s="4"/>
      <c r="CM147" s="4"/>
      <c r="CQ147" s="3" t="s">
        <v>97</v>
      </c>
      <c r="CR147" s="1" t="s">
        <v>94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15"/>
      <c r="EU147" s="60" t="s">
        <v>67</v>
      </c>
      <c r="EV147" s="181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5" t="s">
        <v>278</v>
      </c>
      <c r="D148" s="115">
        <v>6</v>
      </c>
      <c r="E148" s="115">
        <f t="shared" si="48"/>
        <v>6.3303600000000007</v>
      </c>
      <c r="F148" s="115">
        <f t="shared" si="49"/>
        <v>6.601160246976201E-2</v>
      </c>
      <c r="G148" s="115">
        <v>1.06</v>
      </c>
      <c r="H148" s="115">
        <f t="shared" si="50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15"/>
      <c r="AC148" s="7" t="s">
        <v>67</v>
      </c>
      <c r="AD148" s="1">
        <f t="shared" si="55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56"/>
        <v>-0.30228308701000028</v>
      </c>
      <c r="AK148" s="1">
        <f>RT0*AJ148</f>
        <v>-0.68647555005232197</v>
      </c>
      <c r="AL148" s="1">
        <f t="shared" si="57"/>
        <v>-0.65846207005232193</v>
      </c>
      <c r="AM148" s="1">
        <f t="shared" ref="AM148" si="58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15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60" t="s">
        <v>341</v>
      </c>
      <c r="BW150" s="158" t="s">
        <v>1</v>
      </c>
      <c r="BX150" s="58" t="s">
        <v>0</v>
      </c>
      <c r="EF150" s="183" t="s">
        <v>1</v>
      </c>
      <c r="EG150" s="184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5" t="s">
        <v>597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200"/>
      <c r="BG151" s="200"/>
      <c r="BH151" s="200"/>
      <c r="BI151" s="200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5" t="s">
        <v>90</v>
      </c>
      <c r="EG151" s="186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485</v>
      </c>
      <c r="BV152" s="123">
        <v>298.14999999999998</v>
      </c>
      <c r="BW152" s="69">
        <f>BO156</f>
        <v>20798.316475388398</v>
      </c>
      <c r="BX152" s="48">
        <f>BX156</f>
        <v>1078370532.5161049</v>
      </c>
      <c r="EB152" s="3" t="s">
        <v>541</v>
      </c>
      <c r="EF152" s="174">
        <f>DW160</f>
        <v>48.707873030693563</v>
      </c>
      <c r="EG152" s="175">
        <f>EG160</f>
        <v>4161190.674154886</v>
      </c>
    </row>
    <row r="153" spans="2:162" ht="19.25" customHeight="1" x14ac:dyDescent="0.25">
      <c r="B153" s="313" t="s">
        <v>498</v>
      </c>
      <c r="C153" s="313"/>
      <c r="D153" s="313"/>
      <c r="E153" s="313"/>
      <c r="F153" s="313"/>
      <c r="G153" s="313"/>
      <c r="H153" s="313"/>
      <c r="J153" s="4"/>
      <c r="K153" s="3" t="s">
        <v>581</v>
      </c>
      <c r="L153" s="1" t="s">
        <v>575</v>
      </c>
      <c r="M153" s="1" t="s">
        <v>578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577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14"/>
      <c r="C154" s="314"/>
      <c r="D154" s="314"/>
      <c r="E154" s="314"/>
      <c r="F154" s="314"/>
      <c r="G154" s="314"/>
      <c r="H154" s="314"/>
      <c r="J154" s="4" t="s">
        <v>41</v>
      </c>
      <c r="K154" s="3" t="s">
        <v>580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13" t="s">
        <v>484</v>
      </c>
      <c r="BI154" s="313"/>
      <c r="BJ154" s="313"/>
      <c r="BK154" s="313"/>
      <c r="BM154" s="4"/>
      <c r="BN154" s="3" t="s">
        <v>581</v>
      </c>
      <c r="BO154" s="1" t="s">
        <v>575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575</v>
      </c>
      <c r="DX154" s="1" t="s">
        <v>576</v>
      </c>
      <c r="DY154" s="1" t="s">
        <v>578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577</v>
      </c>
      <c r="EG154" s="1" t="s">
        <v>50</v>
      </c>
      <c r="EH154" s="1"/>
    </row>
    <row r="155" spans="2:162" ht="18" x14ac:dyDescent="0.25">
      <c r="B155" s="15" t="s">
        <v>265</v>
      </c>
      <c r="C155" s="115" t="s">
        <v>264</v>
      </c>
      <c r="D155" s="115" t="s">
        <v>236</v>
      </c>
      <c r="E155" s="115" t="s">
        <v>236</v>
      </c>
      <c r="F155" s="115" t="s">
        <v>236</v>
      </c>
      <c r="G155" s="116" t="s">
        <v>323</v>
      </c>
      <c r="H155" s="115" t="s">
        <v>317</v>
      </c>
      <c r="I155" s="285" t="s">
        <v>597</v>
      </c>
      <c r="J155" s="62" t="s">
        <v>499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13"/>
      <c r="BI155" s="313"/>
      <c r="BJ155" s="313"/>
      <c r="BK155" s="313"/>
      <c r="BM155" s="4"/>
      <c r="BN155" s="3" t="s">
        <v>580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579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5" t="s">
        <v>329</v>
      </c>
      <c r="E156" s="115" t="s">
        <v>330</v>
      </c>
      <c r="F156" s="115" t="s">
        <v>48</v>
      </c>
      <c r="G156" s="116" t="s">
        <v>99</v>
      </c>
      <c r="H156" s="115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7" t="s">
        <v>322</v>
      </c>
      <c r="BK156" s="4"/>
      <c r="BL156" s="257" t="s">
        <v>485</v>
      </c>
      <c r="BM156" s="96" t="s">
        <v>65</v>
      </c>
      <c r="BN156" s="96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19" t="s">
        <v>541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496</v>
      </c>
      <c r="C157" s="115" t="s">
        <v>277</v>
      </c>
      <c r="D157" s="115">
        <v>2040</v>
      </c>
      <c r="E157" s="115">
        <f>D157*Btu_to_kJ</f>
        <v>2152.3224</v>
      </c>
      <c r="F157" s="115">
        <f>E157*($AD$131/1000)</f>
        <v>22.443944839719084</v>
      </c>
      <c r="G157" s="115">
        <v>1.04</v>
      </c>
      <c r="H157" s="115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19"/>
      <c r="DV157" s="3" t="s">
        <v>65</v>
      </c>
      <c r="DW157" s="3">
        <f>CH4_to_BF</f>
        <v>18.691700922521807</v>
      </c>
      <c r="DX157" s="3">
        <f t="shared" ref="DX157:DX159" si="59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0">LN(EB157)</f>
        <v>-2.5429226700357286</v>
      </c>
      <c r="ED157" s="3">
        <f>RT0*EC157</f>
        <v>-5.7748988073406355</v>
      </c>
      <c r="EE157" s="3">
        <f t="shared" ref="EE157:EE159" si="61">EA157+ED157</f>
        <v>826.02510119265935</v>
      </c>
      <c r="EF157" s="3">
        <f t="shared" ref="EF157:EF159" si="62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19"/>
      <c r="DV158" s="240" t="s">
        <v>24</v>
      </c>
      <c r="DW158" s="3">
        <f>O2_to_BF_from_coke</f>
        <v>1.7477818558410245</v>
      </c>
      <c r="DX158" s="3">
        <f t="shared" si="59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0"/>
        <v>-5.6030955660719171</v>
      </c>
      <c r="ED158" s="3">
        <f>RT0*EC158</f>
        <v>-12.724456894896331</v>
      </c>
      <c r="EE158" s="3">
        <f t="shared" si="61"/>
        <v>-8.7244568948963312</v>
      </c>
      <c r="EF158" s="3">
        <f t="shared" si="62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8" t="s">
        <v>281</v>
      </c>
      <c r="F159" s="4" t="s">
        <v>282</v>
      </c>
      <c r="I159" s="223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19"/>
      <c r="DV159" s="7" t="s">
        <v>67</v>
      </c>
      <c r="DW159" s="3">
        <f>N2_to_BF_from_coke</f>
        <v>0.92544958758317764</v>
      </c>
      <c r="DX159" s="3">
        <f t="shared" si="59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0"/>
        <v>-6.1059060788071511</v>
      </c>
      <c r="ED159" s="3">
        <f>RT0*EC159</f>
        <v>-13.866324032473203</v>
      </c>
      <c r="EE159" s="3">
        <f t="shared" si="61"/>
        <v>-13.166324032473204</v>
      </c>
      <c r="EF159" s="3">
        <f t="shared" si="62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7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7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7"/>
    </row>
    <row r="163" spans="1:137" ht="17" thickBot="1" x14ac:dyDescent="0.25">
      <c r="P163" s="3" t="s">
        <v>542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7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7"/>
      <c r="EE164" s="168"/>
    </row>
    <row r="165" spans="1:137" ht="18" x14ac:dyDescent="0.25">
      <c r="E165" s="313" t="s">
        <v>536</v>
      </c>
      <c r="F165" s="313"/>
      <c r="G165" s="313"/>
      <c r="H165" s="313"/>
      <c r="J165" s="4"/>
      <c r="K165" s="1" t="s">
        <v>575</v>
      </c>
      <c r="L165" s="1" t="s">
        <v>576</v>
      </c>
      <c r="M165" s="1" t="s">
        <v>578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577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7"/>
      <c r="DW165" s="179"/>
    </row>
    <row r="166" spans="1:137" ht="18" x14ac:dyDescent="0.25">
      <c r="E166" s="313"/>
      <c r="F166" s="313"/>
      <c r="G166" s="313"/>
      <c r="H166" s="313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7"/>
    </row>
    <row r="167" spans="1:137" ht="18" x14ac:dyDescent="0.25">
      <c r="I167" s="315" t="s">
        <v>542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7"/>
    </row>
    <row r="168" spans="1:137" ht="18" x14ac:dyDescent="0.25">
      <c r="I168" s="315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7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7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7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7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7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7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7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7"/>
    </row>
    <row r="176" spans="1:137" ht="17" thickBot="1" x14ac:dyDescent="0.2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143"/>
      <c r="BN176" s="144"/>
      <c r="BO176" s="144"/>
      <c r="BP176" s="99"/>
      <c r="BQ176" s="99"/>
      <c r="BR176" s="91"/>
      <c r="BS176" s="91"/>
      <c r="BT176" s="99"/>
      <c r="BU176" s="99"/>
      <c r="BV176" s="99"/>
      <c r="BW176" s="99"/>
      <c r="BX176" s="144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DU176" s="267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7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22" t="s">
        <v>440</v>
      </c>
      <c r="W182" s="322"/>
      <c r="X182" s="322"/>
      <c r="Y182" s="322"/>
      <c r="Z182" s="322"/>
      <c r="AA182" s="322"/>
      <c r="AB182" s="322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6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9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63">X185*Btu_to_kJ</f>
        <v>139267.92000000001</v>
      </c>
      <c r="Z185" s="13">
        <f t="shared" ref="Z185:Z194" si="64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63"/>
        <v>61826.516000000003</v>
      </c>
      <c r="Z186" s="13">
        <f t="shared" si="64"/>
        <v>17737.041629099938</v>
      </c>
      <c r="AA186" s="13">
        <v>1</v>
      </c>
      <c r="AB186" s="13">
        <f t="shared" ref="AB186:AB194" si="65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63"/>
        <v>4346.8472000000002</v>
      </c>
      <c r="Z187" s="13">
        <f t="shared" si="64"/>
        <v>1247.041152080064</v>
      </c>
      <c r="AA187" s="13">
        <v>1</v>
      </c>
      <c r="AB187" s="13">
        <f t="shared" si="65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22" t="s">
        <v>441</v>
      </c>
      <c r="AN187" s="322"/>
      <c r="AO187" s="322"/>
      <c r="AP187" s="322"/>
      <c r="AQ187" s="322"/>
      <c r="AR187" s="322"/>
      <c r="AS187" s="322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22" t="s">
        <v>442</v>
      </c>
      <c r="BE187" s="322"/>
      <c r="BF187" s="322"/>
      <c r="BG187" s="322"/>
      <c r="BH187" s="322"/>
      <c r="BI187" s="322"/>
      <c r="BJ187" s="322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63"/>
        <v>36610.582000000002</v>
      </c>
      <c r="Z188" s="13">
        <f t="shared" si="64"/>
        <v>10502.99222747044</v>
      </c>
      <c r="AA188" s="13">
        <v>1</v>
      </c>
      <c r="AB188" s="13">
        <f t="shared" si="65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6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6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63"/>
        <v>18463.550000000003</v>
      </c>
      <c r="Z189" s="13">
        <f t="shared" si="64"/>
        <v>5296.8980974274564</v>
      </c>
      <c r="AA189" s="13">
        <v>1</v>
      </c>
      <c r="AB189" s="13">
        <f t="shared" si="65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27" t="s">
        <v>365</v>
      </c>
      <c r="O190" s="327"/>
      <c r="P190" s="327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63"/>
        <v>4948.2314000000006</v>
      </c>
      <c r="Z190" s="13">
        <f t="shared" si="64"/>
        <v>1419.5686901105582</v>
      </c>
      <c r="AA190" s="13">
        <v>1</v>
      </c>
      <c r="AB190" s="13">
        <f t="shared" si="65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8"/>
    </row>
    <row r="191" spans="14:125" ht="16" x14ac:dyDescent="0.2">
      <c r="N191" s="101" t="s">
        <v>487</v>
      </c>
      <c r="O191" s="325" t="s">
        <v>345</v>
      </c>
      <c r="P191" s="103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63"/>
        <v>1856.9056000000003</v>
      </c>
      <c r="Z191" s="13">
        <f t="shared" si="64"/>
        <v>532.71660865556134</v>
      </c>
      <c r="AA191" s="13">
        <v>1</v>
      </c>
      <c r="AB191" s="13">
        <f t="shared" si="65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66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26"/>
      <c r="P192" s="104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63"/>
        <v>2489.9416000000001</v>
      </c>
      <c r="Z192" s="13">
        <f t="shared" si="64"/>
        <v>714.32454342450262</v>
      </c>
      <c r="AA192" s="13">
        <v>1</v>
      </c>
      <c r="AB192" s="13">
        <f t="shared" si="65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66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2">
        <f>0-U206</f>
        <v>-8746311.5419027284</v>
      </c>
      <c r="O193" s="140" t="s">
        <v>342</v>
      </c>
      <c r="P193" s="104">
        <f>((N210*(T210-0)/AB195))</f>
        <v>112.97498946045621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63"/>
        <v>150.87358</v>
      </c>
      <c r="Z193" s="13">
        <f t="shared" si="64"/>
        <v>43.283224453264353</v>
      </c>
      <c r="AA193" s="13">
        <v>1</v>
      </c>
      <c r="AB193" s="13">
        <f t="shared" si="65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66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40" t="s">
        <v>343</v>
      </c>
      <c r="P194" s="104">
        <f>U206/AB195</f>
        <v>112.92932406235479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63"/>
        <v>6.3303600000000007</v>
      </c>
      <c r="Z194" s="13">
        <f t="shared" si="64"/>
        <v>1.8160793476894135</v>
      </c>
      <c r="AA194" s="13">
        <v>1</v>
      </c>
      <c r="AB194" s="13">
        <f t="shared" si="65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66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1" t="s">
        <v>344</v>
      </c>
      <c r="P195" s="100">
        <f>U210/AB195</f>
        <v>112.97501431215093</v>
      </c>
      <c r="S195" s="4"/>
      <c r="T195" s="4"/>
      <c r="U195" s="4"/>
      <c r="V195" s="329" t="s">
        <v>520</v>
      </c>
      <c r="W195" s="330"/>
      <c r="X195" s="265"/>
      <c r="Y195" s="265"/>
      <c r="Z195" s="265">
        <f>SUM(Z185:Z186,Z187:Z188,Z189:Z190,Z191:Z192,Z193:Z194)</f>
        <v>77449.427901236573</v>
      </c>
      <c r="AA195" s="264">
        <v>1</v>
      </c>
      <c r="AB195" s="266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2"/>
      <c r="W196" s="172"/>
      <c r="X196" s="172"/>
      <c r="Y196" s="172"/>
      <c r="Z196" s="172"/>
      <c r="AA196" s="172"/>
      <c r="AB196" s="172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2"/>
      <c r="W197" s="172"/>
      <c r="X197" s="172"/>
      <c r="Y197" s="172"/>
      <c r="Z197" s="172"/>
      <c r="AA197" s="172"/>
      <c r="AB197" s="172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2"/>
      <c r="W198" s="172"/>
      <c r="X198" s="172"/>
      <c r="Y198" s="172"/>
      <c r="Z198" s="172"/>
      <c r="AA198" s="172"/>
      <c r="AB198" s="172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2"/>
      <c r="W199" s="172"/>
      <c r="X199" s="172"/>
      <c r="Y199" s="172"/>
      <c r="Z199" s="172"/>
      <c r="AA199" s="172"/>
      <c r="AB199" s="172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539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559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23" t="s">
        <v>429</v>
      </c>
      <c r="P206" s="323"/>
      <c r="Q206" s="323"/>
      <c r="R206" s="4"/>
      <c r="S206" s="4"/>
      <c r="T206" s="50">
        <f>K217</f>
        <v>286.88405520213911</v>
      </c>
      <c r="U206" s="48">
        <f>U217</f>
        <v>8746311.5419027284</v>
      </c>
      <c r="V206" s="328" t="s">
        <v>420</v>
      </c>
      <c r="W206" s="328"/>
      <c r="X206" s="328"/>
      <c r="Y206" s="328"/>
      <c r="Z206" s="328"/>
      <c r="AA206" s="328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8746311.5419027284</v>
      </c>
      <c r="AO206" s="328" t="s">
        <v>560</v>
      </c>
      <c r="AP206" s="328"/>
      <c r="AQ206" s="328"/>
      <c r="AR206" s="328"/>
      <c r="AS206" s="328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8746311.5419027284</v>
      </c>
      <c r="BG206" s="328" t="s">
        <v>465</v>
      </c>
      <c r="BH206" s="328"/>
      <c r="BI206" s="328"/>
      <c r="BJ206" s="328"/>
      <c r="BK206" s="328"/>
      <c r="BL206" s="4"/>
      <c r="BM206" s="4"/>
      <c r="BN206" s="4"/>
      <c r="BO206" s="4"/>
      <c r="BP206" s="4"/>
      <c r="BQ206" s="4"/>
      <c r="BR206" s="4"/>
      <c r="BS206" s="4" t="s">
        <v>540</v>
      </c>
      <c r="BT206" s="4"/>
      <c r="BU206" s="4"/>
      <c r="BV206" s="4"/>
      <c r="BW206" s="50">
        <f>BN217</f>
        <v>286.88405520213911</v>
      </c>
      <c r="BX206" s="48">
        <f>BX217</f>
        <v>8746311.5419027284</v>
      </c>
      <c r="BY206" s="328" t="s">
        <v>439</v>
      </c>
      <c r="BZ206" s="328"/>
      <c r="CA206" s="328"/>
      <c r="CB206" s="328"/>
      <c r="CC206" s="328"/>
      <c r="CK206" s="3" t="s">
        <v>543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28"/>
      <c r="W207" s="328"/>
      <c r="X207" s="328"/>
      <c r="Y207" s="328"/>
      <c r="Z207" s="328"/>
      <c r="AA207" s="328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28"/>
      <c r="AP207" s="328"/>
      <c r="AQ207" s="328"/>
      <c r="AR207" s="328"/>
      <c r="AS207" s="328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28"/>
      <c r="BH207" s="328"/>
      <c r="BI207" s="328"/>
      <c r="BJ207" s="328"/>
      <c r="BK207" s="328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28"/>
      <c r="BZ207" s="328"/>
      <c r="CA207" s="328"/>
      <c r="CB207" s="328"/>
      <c r="CC207" s="328"/>
      <c r="CN207" s="4"/>
      <c r="CO207" s="4"/>
    </row>
    <row r="208" spans="5:94" ht="19.25" customHeight="1" x14ac:dyDescent="0.25">
      <c r="E208" s="313" t="s">
        <v>451</v>
      </c>
      <c r="F208" s="313"/>
      <c r="G208" s="313"/>
      <c r="H208" s="313"/>
      <c r="J208" s="4"/>
      <c r="K208" s="1" t="s">
        <v>575</v>
      </c>
      <c r="L208" s="1" t="s">
        <v>576</v>
      </c>
      <c r="M208" s="1" t="s">
        <v>578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577</v>
      </c>
      <c r="U208" s="1" t="s">
        <v>50</v>
      </c>
      <c r="V208" s="4"/>
      <c r="W208" s="22" t="s">
        <v>434</v>
      </c>
      <c r="X208" s="22" t="s">
        <v>487</v>
      </c>
      <c r="Y208" s="258" t="s">
        <v>338</v>
      </c>
      <c r="Z208" s="325" t="s">
        <v>345</v>
      </c>
      <c r="AA208" s="103" t="s">
        <v>318</v>
      </c>
      <c r="AB208" s="1"/>
      <c r="AC208" s="4"/>
      <c r="AD208" s="1" t="s">
        <v>575</v>
      </c>
      <c r="AE208" s="1" t="s">
        <v>576</v>
      </c>
      <c r="AF208" s="1" t="s">
        <v>578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577</v>
      </c>
      <c r="AN208" s="1" t="s">
        <v>50</v>
      </c>
      <c r="AO208" s="22" t="s">
        <v>434</v>
      </c>
      <c r="AP208" s="22" t="s">
        <v>487</v>
      </c>
      <c r="AQ208" s="162" t="s">
        <v>338</v>
      </c>
      <c r="AR208" s="325" t="s">
        <v>345</v>
      </c>
      <c r="AS208" s="139" t="s">
        <v>318</v>
      </c>
      <c r="AT208" s="1"/>
      <c r="AU208" s="4"/>
      <c r="AV208" s="1" t="s">
        <v>575</v>
      </c>
      <c r="AW208" s="1" t="s">
        <v>576</v>
      </c>
      <c r="AX208" s="1" t="s">
        <v>578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577</v>
      </c>
      <c r="BF208" s="1" t="s">
        <v>50</v>
      </c>
      <c r="BG208" s="22" t="s">
        <v>434</v>
      </c>
      <c r="BH208" s="22" t="s">
        <v>487</v>
      </c>
      <c r="BI208" s="162" t="s">
        <v>338</v>
      </c>
      <c r="BJ208" s="325" t="s">
        <v>345</v>
      </c>
      <c r="BK208" s="139" t="s">
        <v>318</v>
      </c>
      <c r="BL208" s="1"/>
      <c r="BM208" s="4"/>
      <c r="BN208" s="1" t="s">
        <v>575</v>
      </c>
      <c r="BO208" s="1" t="s">
        <v>576</v>
      </c>
      <c r="BP208" s="1" t="s">
        <v>578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577</v>
      </c>
      <c r="BX208" s="1" t="s">
        <v>50</v>
      </c>
      <c r="BY208" s="22" t="s">
        <v>434</v>
      </c>
      <c r="BZ208" s="22" t="s">
        <v>487</v>
      </c>
      <c r="CA208" s="193" t="s">
        <v>338</v>
      </c>
      <c r="CB208" s="325" t="s">
        <v>345</v>
      </c>
      <c r="CC208" s="139" t="s">
        <v>318</v>
      </c>
      <c r="CD208" s="1"/>
      <c r="CE208" s="4"/>
      <c r="CF208" s="1" t="s">
        <v>575</v>
      </c>
      <c r="CG208" s="1" t="s">
        <v>576</v>
      </c>
      <c r="CH208" s="1" t="s">
        <v>578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577</v>
      </c>
      <c r="CP208" s="1" t="s">
        <v>50</v>
      </c>
    </row>
    <row r="209" spans="2:94" ht="18" x14ac:dyDescent="0.25">
      <c r="E209" s="313"/>
      <c r="F209" s="313"/>
      <c r="G209" s="313"/>
      <c r="H209" s="313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4" t="s">
        <v>48</v>
      </c>
      <c r="X209" s="9" t="s">
        <v>48</v>
      </c>
      <c r="Y209" s="64" t="s">
        <v>90</v>
      </c>
      <c r="Z209" s="326"/>
      <c r="AA209" s="137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4" t="s">
        <v>48</v>
      </c>
      <c r="AP209" s="9" t="s">
        <v>48</v>
      </c>
      <c r="AQ209" s="1" t="s">
        <v>90</v>
      </c>
      <c r="AR209" s="326"/>
      <c r="AS209" s="137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4" t="s">
        <v>48</v>
      </c>
      <c r="BH209" s="9" t="s">
        <v>48</v>
      </c>
      <c r="BI209" s="1" t="s">
        <v>90</v>
      </c>
      <c r="BJ209" s="326"/>
      <c r="BK209" s="137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4" t="s">
        <v>48</v>
      </c>
      <c r="BZ209" s="9" t="s">
        <v>48</v>
      </c>
      <c r="CA209" s="9" t="s">
        <v>90</v>
      </c>
      <c r="CB209" s="326"/>
      <c r="CC209" s="137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2" t="s">
        <v>429</v>
      </c>
      <c r="J210" s="62" t="str">
        <f>_xlfn.CONCAT("C"," ",mol_C_Coal_in," ","H"," ",mol_H_Coal," ","O",mol_O_Coal," ","N"," ",mol_N_Coal)</f>
        <v>C 1 H 2.49286325694876 O0.00856679817712224 N 0.00259072137794826</v>
      </c>
      <c r="K210" s="62">
        <f>COG_needed+C_for_BF</f>
        <v>268.39032078137268</v>
      </c>
      <c r="L210" s="62">
        <f t="shared" ref="L210:L216" si="67">K210/$AV$217</f>
        <v>0.93553585817888796</v>
      </c>
      <c r="M210" s="62" t="s">
        <v>390</v>
      </c>
      <c r="N210" s="62">
        <f>mol_Coal</f>
        <v>1162788108.6625118</v>
      </c>
      <c r="O210" s="62">
        <f>AH210</f>
        <v>7.5253875053686598E-3</v>
      </c>
      <c r="P210" s="62">
        <f t="shared" ref="P210:P216" si="68">N210/$AY$217</f>
        <v>0.99999978002485901</v>
      </c>
      <c r="Q210" s="62">
        <f>LN(P210)</f>
        <v>-2.1997516518601452E-7</v>
      </c>
      <c r="R210" s="62">
        <f t="shared" ref="R210:R216" si="69">RT0*Q210</f>
        <v>-4.9955680290483474E-7</v>
      </c>
      <c r="S210" s="62">
        <f>R210+O210</f>
        <v>7.5248879485657547E-3</v>
      </c>
      <c r="T210" s="62">
        <f>S210*P210</f>
        <v>7.5248862932774671E-3</v>
      </c>
      <c r="U210" s="62">
        <f t="shared" ref="U210:U216" si="70">T210*$AY$217</f>
        <v>8749850.2256101035</v>
      </c>
      <c r="V210" s="4"/>
      <c r="W210" s="105">
        <f>AN227</f>
        <v>569.94401045704944</v>
      </c>
      <c r="X210" s="100">
        <f>SUM(AB195,U206,U222,U236) - SUM(AN206,AN227)</f>
        <v>97694.96069194749</v>
      </c>
      <c r="Y210" s="259">
        <f>AM206-T206</f>
        <v>0</v>
      </c>
      <c r="Z210" s="140" t="s">
        <v>342</v>
      </c>
      <c r="AA210" s="104">
        <f>(($AG$210*($AM$210-T210))/AB195)</f>
        <v>0</v>
      </c>
      <c r="AB210" s="212" t="s">
        <v>555</v>
      </c>
      <c r="AC210" s="62" t="str">
        <f>_xlfn.CONCAT("C"," ",mol_C_Coal_in," ","H"," ",mol_H_Coal," ","O",mol_O_Coal," ","N"," ",mol_N_Coal)</f>
        <v>C 1 H 2.49286325694876 O0.00856679817712224 N 0.00259072137794826</v>
      </c>
      <c r="AD210" s="62">
        <f>COG_needed+C_for_BF</f>
        <v>268.39032078137268</v>
      </c>
      <c r="AE210" s="62">
        <f t="shared" ref="AE210:AE216" si="71">AD210/$AV$217</f>
        <v>0.93553585817888796</v>
      </c>
      <c r="AF210" s="62" t="s">
        <v>390</v>
      </c>
      <c r="AG210" s="62">
        <f>mol_Coal</f>
        <v>1162788108.6625118</v>
      </c>
      <c r="AH210" s="62">
        <f>AZ210</f>
        <v>7.5253875053686598E-3</v>
      </c>
      <c r="AI210" s="62">
        <f t="shared" ref="AI210:AI216" si="72">AG210/$AY$217</f>
        <v>0.99999978002485901</v>
      </c>
      <c r="AJ210" s="62">
        <f>LN(AI210)</f>
        <v>-2.1997516518601452E-7</v>
      </c>
      <c r="AK210" s="62">
        <f t="shared" ref="AK210:AK216" si="73">RT0*AJ210</f>
        <v>-4.9955680290483474E-7</v>
      </c>
      <c r="AL210" s="62">
        <f>AK210+AH210</f>
        <v>7.5248879485657547E-3</v>
      </c>
      <c r="AM210" s="62">
        <f>AL210*AI210</f>
        <v>7.5248862932774671E-3</v>
      </c>
      <c r="AN210" s="62">
        <f t="shared" ref="AN210:AN216" si="74">AM210*$AY$217</f>
        <v>8749850.2256101035</v>
      </c>
      <c r="AO210" s="105">
        <f>0</f>
        <v>0</v>
      </c>
      <c r="AP210" s="100">
        <f>AN206+AS190-BF206</f>
        <v>160253.43323591538</v>
      </c>
      <c r="AQ210" s="142">
        <f>BE206-AM206</f>
        <v>0</v>
      </c>
      <c r="AR210" s="140" t="s">
        <v>342</v>
      </c>
      <c r="AS210" s="137">
        <f>((AY210*(BE210-AM210))/AS190)</f>
        <v>0</v>
      </c>
      <c r="AT210" s="212" t="s">
        <v>559</v>
      </c>
      <c r="AU210" s="201" t="str">
        <f>_xlfn.CONCAT("C"," ",mol_C_Coal_in," ","H"," ",mol_H_Coal," ","O",mol_O_Coal," ","N"," ",mol_N_Coal)</f>
        <v>C 1 H 2.49286325694876 O0.00856679817712224 N 0.00259072137794826</v>
      </c>
      <c r="AV210" s="62">
        <f>COG_needed+C_for_BF</f>
        <v>268.39032078137268</v>
      </c>
      <c r="AW210" s="62">
        <f t="shared" ref="AW210:AW216" si="75">AV210/$AV$217</f>
        <v>0.93553585817888796</v>
      </c>
      <c r="AX210" s="62" t="s">
        <v>390</v>
      </c>
      <c r="AY210" s="62">
        <f>mol_Coal</f>
        <v>1162788108.6625118</v>
      </c>
      <c r="AZ210" s="62">
        <f>BR210</f>
        <v>7.5253875053686598E-3</v>
      </c>
      <c r="BA210" s="62">
        <f t="shared" ref="BA210:BA216" si="76">AY210/$AY$217</f>
        <v>0.99999978002485901</v>
      </c>
      <c r="BB210" s="62">
        <f>LN(BA210)</f>
        <v>-2.1997516518601452E-7</v>
      </c>
      <c r="BC210" s="62">
        <f t="shared" ref="BC210:BC216" si="77">RT0*BB210</f>
        <v>-4.9955680290483474E-7</v>
      </c>
      <c r="BD210" s="62">
        <f>BC210+AZ210</f>
        <v>7.5248879485657547E-3</v>
      </c>
      <c r="BE210" s="62">
        <f>BD210*BA210</f>
        <v>7.5248862932774671E-3</v>
      </c>
      <c r="BF210" s="62">
        <f t="shared" ref="BF210:BF216" si="78">BE210*$AY$217</f>
        <v>8749850.2256101035</v>
      </c>
      <c r="BG210" s="105" t="str">
        <f>CA217</f>
        <v>[mol i]</v>
      </c>
      <c r="BH210" s="100">
        <f>(BJ195+BF206)-BX206</f>
        <v>28604.157765781507</v>
      </c>
      <c r="BI210" s="142">
        <f>BW206-BE206</f>
        <v>0</v>
      </c>
      <c r="BJ210" s="140" t="s">
        <v>342</v>
      </c>
      <c r="BK210" s="137">
        <f>((BQ210*(BW210-BE210))/BJ195)</f>
        <v>0</v>
      </c>
      <c r="BL210" s="212" t="s">
        <v>494</v>
      </c>
      <c r="BM210" s="201" t="str">
        <f>_xlfn.CONCAT("C"," ",mol_C_Coal_in," ","H"," ",mol_H_Coal," ","O",mol_O_Coal," ","N"," ",mol_N_Coal)</f>
        <v>C 1 H 2.49286325694876 O0.00856679817712224 N 0.00259072137794826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mol_Coal</f>
        <v>1162788108.6625118</v>
      </c>
      <c r="BR210" s="62">
        <f>(b_ch_coal*BN210)/BQ210</f>
        <v>7.5253875053686598E-3</v>
      </c>
      <c r="BS210" s="62">
        <f>BQ210/$BQ$217</f>
        <v>0.99999978002485901</v>
      </c>
      <c r="BT210" s="62">
        <f>LN(BS210)</f>
        <v>-2.1997516518601452E-7</v>
      </c>
      <c r="BU210" s="62">
        <f t="shared" ref="BU210:BU216" si="79">RT0*BT210</f>
        <v>-4.9955680290483474E-7</v>
      </c>
      <c r="BV210" s="62">
        <f>BU210+BR210</f>
        <v>7.5248879485657547E-3</v>
      </c>
      <c r="BW210" s="62">
        <f>BV210*BS210</f>
        <v>7.5248862932774671E-3</v>
      </c>
      <c r="BX210" s="62">
        <f>BW210*$BQ$217</f>
        <v>8749850.2256101035</v>
      </c>
      <c r="BY210" s="105">
        <f>SUM(BX206,BX225,BX242,BX254) - SUM(CP250,CP233,CP217,CP206)</f>
        <v>-2265181.0799943823</v>
      </c>
      <c r="BZ210" s="100">
        <f>SUM(BX254,BX206,BX225,BX242) - SUM(CP206,CP217,CP233,CP250)</f>
        <v>-2265181.0799943805</v>
      </c>
      <c r="CA210" s="195">
        <f>ROUND(CO206+CO217+CO233+CO250-BW206-BW225-BW242-BW254, 10)</f>
        <v>0</v>
      </c>
      <c r="CB210" s="140" t="s">
        <v>342</v>
      </c>
      <c r="CC210" s="137" t="s">
        <v>99</v>
      </c>
      <c r="CD210" s="257" t="s">
        <v>551</v>
      </c>
      <c r="CE210" s="96" t="s">
        <v>18</v>
      </c>
      <c r="CF210" s="171">
        <f>C_for_BF</f>
        <v>198.80764502323905</v>
      </c>
      <c r="CG210" s="96">
        <f>CF210/CF211</f>
        <v>1</v>
      </c>
      <c r="CH210" s="96">
        <f>MW_C</f>
        <v>1.2010999999999999E-2</v>
      </c>
      <c r="CI210" s="96">
        <f>CF210/CH210</f>
        <v>16552.130965218472</v>
      </c>
      <c r="CJ210" s="96">
        <f>b_ch_C</f>
        <v>410.3</v>
      </c>
      <c r="CK210" s="96">
        <f>CI210/CI211</f>
        <v>1</v>
      </c>
      <c r="CL210" s="96">
        <f>LN(CK210)</f>
        <v>0</v>
      </c>
      <c r="CM210" s="96">
        <f>RT0*CL210</f>
        <v>0</v>
      </c>
      <c r="CN210" s="97">
        <f>CM210+CJ210</f>
        <v>410.3</v>
      </c>
      <c r="CO210" s="97">
        <f>CN210*CK210</f>
        <v>410.3</v>
      </c>
      <c r="CP210" s="96">
        <f>CO210*CI211</f>
        <v>6791339.3350291392</v>
      </c>
    </row>
    <row r="211" spans="2:94" ht="17" x14ac:dyDescent="0.25">
      <c r="I211" s="332" t="s">
        <v>557</v>
      </c>
      <c r="J211" s="62" t="s">
        <v>308</v>
      </c>
      <c r="K211" s="62">
        <f t="shared" ref="K211:K216" si="80">AD211</f>
        <v>6.8833679514092623</v>
      </c>
      <c r="L211" s="62">
        <f t="shared" si="67"/>
        <v>2.3993553585817892E-2</v>
      </c>
      <c r="M211" s="62">
        <f>MW_Al2O3</f>
        <v>0.10196127799999999</v>
      </c>
      <c r="N211" s="62">
        <f t="shared" ref="N211:N216" si="81">K211/M211</f>
        <v>67.509628031626505</v>
      </c>
      <c r="O211" s="62">
        <f>b_ch_Al2O3</f>
        <v>31.875999999999976</v>
      </c>
      <c r="P211" s="62">
        <f t="shared" si="68"/>
        <v>5.8058396605757329E-8</v>
      </c>
      <c r="Q211" s="62">
        <f t="shared" ref="Q211:Q216" si="82">LN(P211)</f>
        <v>-16.661816494891141</v>
      </c>
      <c r="R211" s="62">
        <f t="shared" si="69"/>
        <v>-37.838470409768085</v>
      </c>
      <c r="S211" s="62">
        <f t="shared" ref="S211:S216" si="83">R211+O211</f>
        <v>-5.9624704097681089</v>
      </c>
      <c r="T211" s="62">
        <f t="shared" ref="T211:T216" si="84">S211*P211</f>
        <v>-3.4617147180040931E-7</v>
      </c>
      <c r="U211" s="62">
        <f t="shared" si="70"/>
        <v>-402.52415951302476</v>
      </c>
      <c r="V211" s="4"/>
      <c r="W211" s="4"/>
      <c r="X211" s="4"/>
      <c r="Y211" s="4"/>
      <c r="Z211" s="140" t="s">
        <v>343</v>
      </c>
      <c r="AA211" s="104">
        <f>(AN206+AN227)/($AB$195+U206+U222+U236)</f>
        <v>0.98895425221527189</v>
      </c>
      <c r="AB211" s="332" t="s">
        <v>556</v>
      </c>
      <c r="AC211" s="62" t="s">
        <v>308</v>
      </c>
      <c r="AD211" s="62">
        <f t="shared" ref="AD211:AD216" si="85">AV211</f>
        <v>6.8833679514092623</v>
      </c>
      <c r="AE211" s="62">
        <f t="shared" si="71"/>
        <v>2.3993553585817892E-2</v>
      </c>
      <c r="AF211" s="62">
        <f>MW_Al2O3</f>
        <v>0.10196127799999999</v>
      </c>
      <c r="AG211" s="62">
        <f t="shared" ref="AG211:AG216" si="86">AD211/AF211</f>
        <v>67.509628031626505</v>
      </c>
      <c r="AH211" s="62">
        <f>b_ch_Al2O3</f>
        <v>31.875999999999976</v>
      </c>
      <c r="AI211" s="62">
        <f t="shared" si="72"/>
        <v>5.8058396605757329E-8</v>
      </c>
      <c r="AJ211" s="62">
        <f t="shared" ref="AJ211:AJ216" si="87">LN(AI211)</f>
        <v>-16.661816494891141</v>
      </c>
      <c r="AK211" s="62">
        <f t="shared" si="73"/>
        <v>-37.838470409768085</v>
      </c>
      <c r="AL211" s="62">
        <f t="shared" ref="AL211:AL216" si="88">AK211+AH211</f>
        <v>-5.9624704097681089</v>
      </c>
      <c r="AM211" s="62">
        <f t="shared" ref="AM211:AM216" si="89">AL211*AI211</f>
        <v>-3.4617147180040931E-7</v>
      </c>
      <c r="AN211" s="62">
        <f t="shared" si="74"/>
        <v>-402.52415951302476</v>
      </c>
      <c r="AO211" s="4"/>
      <c r="AP211" s="4"/>
      <c r="AR211" s="140" t="s">
        <v>343</v>
      </c>
      <c r="AS211" s="137">
        <f>BF206/(AN206+AS190)</f>
        <v>0.9820072683820037</v>
      </c>
      <c r="AT211" s="332" t="s">
        <v>554</v>
      </c>
      <c r="AU211" s="62" t="s">
        <v>308</v>
      </c>
      <c r="AV211" s="62">
        <f>CF221</f>
        <v>6.8833679514092623</v>
      </c>
      <c r="AW211" s="62">
        <f t="shared" si="75"/>
        <v>2.3993553585817892E-2</v>
      </c>
      <c r="AX211" s="62">
        <f>MW_Al2O3</f>
        <v>0.10196127799999999</v>
      </c>
      <c r="AY211" s="62">
        <f t="shared" ref="AY211:AY216" si="90">AV211/AX211</f>
        <v>67.509628031626505</v>
      </c>
      <c r="AZ211" s="62">
        <f>b_ch_Al2O3</f>
        <v>31.875999999999976</v>
      </c>
      <c r="BA211" s="62">
        <f t="shared" si="76"/>
        <v>5.8058396605757329E-8</v>
      </c>
      <c r="BB211" s="62">
        <f t="shared" ref="BB211:BB216" si="91">LN(BA211)</f>
        <v>-16.661816494891141</v>
      </c>
      <c r="BC211" s="62">
        <f t="shared" si="77"/>
        <v>-37.838470409768085</v>
      </c>
      <c r="BD211" s="62">
        <f t="shared" ref="BD211:BD216" si="92">BC211+AZ211</f>
        <v>-5.9624704097681089</v>
      </c>
      <c r="BE211" s="62">
        <f t="shared" ref="BE211:BE216" si="93">BD211*BA211</f>
        <v>-3.4617147180040931E-7</v>
      </c>
      <c r="BF211" s="62">
        <f t="shared" si="78"/>
        <v>-402.52415951302476</v>
      </c>
      <c r="BG211" s="4"/>
      <c r="BH211" s="4"/>
      <c r="BJ211" s="140" t="s">
        <v>343</v>
      </c>
      <c r="BK211" s="137">
        <f>BX206/(BJ195+BF206)</f>
        <v>0.99674023560512814</v>
      </c>
      <c r="BL211" s="332" t="s">
        <v>553</v>
      </c>
      <c r="BM211" s="62" t="s">
        <v>308</v>
      </c>
      <c r="BN211" s="62">
        <f>AV211</f>
        <v>6.8833679514092623</v>
      </c>
      <c r="BO211" s="62">
        <f t="shared" ref="BO211:BO216" si="94">BN211/$BN$217</f>
        <v>2.3993553585817892E-2</v>
      </c>
      <c r="BP211" s="62">
        <f>MW_Al2O3</f>
        <v>0.10196127799999999</v>
      </c>
      <c r="BQ211" s="62">
        <f t="shared" ref="BQ211:BQ216" si="95">BN211/BP211</f>
        <v>67.509628031626505</v>
      </c>
      <c r="BR211" s="62">
        <f>b_ch_Al2O3</f>
        <v>31.875999999999976</v>
      </c>
      <c r="BS211" s="62">
        <f t="shared" ref="BS211:BS216" si="96">BQ211/$BQ$217</f>
        <v>5.8058396605757329E-8</v>
      </c>
      <c r="BT211" s="62">
        <f t="shared" ref="BT211:BT216" si="97">LN(BS211)</f>
        <v>-16.661816494891141</v>
      </c>
      <c r="BU211" s="62">
        <f t="shared" si="79"/>
        <v>-37.838470409768085</v>
      </c>
      <c r="BV211" s="62">
        <f t="shared" ref="BV211:BV216" si="98">BU211+BR211</f>
        <v>-5.9624704097681089</v>
      </c>
      <c r="BW211" s="62">
        <f t="shared" ref="BW211:BW216" si="99">BV211*BS211</f>
        <v>-3.4617147180040931E-7</v>
      </c>
      <c r="BX211" s="62">
        <f>BW211*$BQ$217</f>
        <v>-402.52415951302476</v>
      </c>
      <c r="BY211" s="4"/>
      <c r="BZ211" s="4"/>
      <c r="CB211" s="140" t="s">
        <v>343</v>
      </c>
      <c r="CC211" s="137">
        <f>(CP217+CP206+CP233+CP250)/(BX254+BX206+BX225+BX242)</f>
        <v>1.2153716768418652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32"/>
      <c r="J212" s="4" t="s">
        <v>124</v>
      </c>
      <c r="K212" s="4">
        <f t="shared" si="80"/>
        <v>1.2908626625694963</v>
      </c>
      <c r="L212" s="4">
        <f t="shared" si="67"/>
        <v>4.4995970991136185E-3</v>
      </c>
      <c r="M212" s="4">
        <f>MW_CaO</f>
        <v>5.6077400000000006E-2</v>
      </c>
      <c r="N212" s="4">
        <f t="shared" si="81"/>
        <v>23.019303009224682</v>
      </c>
      <c r="O212" s="4">
        <f>b_ch_CaO</f>
        <v>122.25799999999992</v>
      </c>
      <c r="P212" s="4">
        <f t="shared" si="68"/>
        <v>1.9796640311387453E-8</v>
      </c>
      <c r="Q212" s="4">
        <f t="shared" si="82"/>
        <v>-17.73775359488647</v>
      </c>
      <c r="R212" s="4">
        <f t="shared" si="69"/>
        <v>-40.281890317401093</v>
      </c>
      <c r="S212" s="4">
        <f t="shared" si="83"/>
        <v>81.976109682598832</v>
      </c>
      <c r="T212" s="4">
        <f t="shared" si="84"/>
        <v>1.6228515575132553E-6</v>
      </c>
      <c r="U212" s="4">
        <f t="shared" si="70"/>
        <v>1887.0329083011798</v>
      </c>
      <c r="V212" s="4"/>
      <c r="W212" s="4"/>
      <c r="X212" s="4"/>
      <c r="Y212" s="4"/>
      <c r="Z212" s="141" t="s">
        <v>409</v>
      </c>
      <c r="AA212" s="100">
        <f>$AN$210/($AB$195+U206+U222+U236)</f>
        <v>0.98928990872916378</v>
      </c>
      <c r="AB212" s="332"/>
      <c r="AC212" s="4" t="s">
        <v>124</v>
      </c>
      <c r="AD212" s="4">
        <f t="shared" si="85"/>
        <v>1.2908626625694963</v>
      </c>
      <c r="AE212" s="4">
        <f t="shared" si="71"/>
        <v>4.4995970991136185E-3</v>
      </c>
      <c r="AF212" s="4">
        <f>MW_CaO</f>
        <v>5.6077400000000006E-2</v>
      </c>
      <c r="AG212" s="4">
        <f t="shared" si="86"/>
        <v>23.019303009224682</v>
      </c>
      <c r="AH212" s="4">
        <f>b_ch_CaO</f>
        <v>122.25799999999992</v>
      </c>
      <c r="AI212" s="4">
        <f t="shared" si="72"/>
        <v>1.9796640311387453E-8</v>
      </c>
      <c r="AJ212" s="4">
        <f t="shared" si="87"/>
        <v>-17.73775359488647</v>
      </c>
      <c r="AK212" s="4">
        <f t="shared" si="73"/>
        <v>-40.281890317401093</v>
      </c>
      <c r="AL212" s="4">
        <f t="shared" si="88"/>
        <v>81.976109682598832</v>
      </c>
      <c r="AM212" s="4">
        <f t="shared" si="89"/>
        <v>1.6228515575132553E-6</v>
      </c>
      <c r="AN212" s="4">
        <f t="shared" si="74"/>
        <v>1887.0329083011798</v>
      </c>
      <c r="AO212" s="4"/>
      <c r="AP212" s="4"/>
      <c r="AR212" s="141" t="s">
        <v>409</v>
      </c>
      <c r="AS212" s="138">
        <f>BF210/(AN206+AS190)</f>
        <v>0.98240458022077126</v>
      </c>
      <c r="AT212" s="332"/>
      <c r="AU212" s="4" t="s">
        <v>124</v>
      </c>
      <c r="AV212" s="4">
        <f t="shared" ref="AV212:AV216" si="100">CF222</f>
        <v>1.2908626625694963</v>
      </c>
      <c r="AW212" s="4">
        <f t="shared" si="75"/>
        <v>4.4995970991136185E-3</v>
      </c>
      <c r="AX212" s="4">
        <f>MW_CaO</f>
        <v>5.6077400000000006E-2</v>
      </c>
      <c r="AY212" s="4">
        <f t="shared" si="90"/>
        <v>23.019303009224682</v>
      </c>
      <c r="AZ212" s="4">
        <f>b_ch_CaO</f>
        <v>122.25799999999992</v>
      </c>
      <c r="BA212" s="4">
        <f t="shared" si="76"/>
        <v>1.9796640311387453E-8</v>
      </c>
      <c r="BB212" s="4">
        <f t="shared" si="91"/>
        <v>-17.73775359488647</v>
      </c>
      <c r="BC212" s="4">
        <f t="shared" si="77"/>
        <v>-40.281890317401093</v>
      </c>
      <c r="BD212" s="4">
        <f t="shared" si="92"/>
        <v>81.976109682598832</v>
      </c>
      <c r="BE212" s="4">
        <f t="shared" si="93"/>
        <v>1.6228515575132553E-6</v>
      </c>
      <c r="BF212" s="4">
        <f t="shared" si="78"/>
        <v>1887.0329083011798</v>
      </c>
      <c r="BG212" s="4"/>
      <c r="BH212" s="4"/>
      <c r="BJ212" s="141" t="s">
        <v>409</v>
      </c>
      <c r="BK212" s="138">
        <f>BX210/(BJ195+BF206)</f>
        <v>0.99714350827787968</v>
      </c>
      <c r="BL212" s="332"/>
      <c r="BM212" s="4" t="s">
        <v>124</v>
      </c>
      <c r="BN212" s="4">
        <f t="shared" ref="BN212:BN216" si="101">AV212</f>
        <v>1.2908626625694963</v>
      </c>
      <c r="BO212" s="4">
        <f t="shared" si="94"/>
        <v>4.4995970991136185E-3</v>
      </c>
      <c r="BP212" s="4">
        <f>MW_CaO</f>
        <v>5.6077400000000006E-2</v>
      </c>
      <c r="BQ212" s="4">
        <f t="shared" si="95"/>
        <v>23.019303009224682</v>
      </c>
      <c r="BR212" s="4">
        <f>b_ch_CaO</f>
        <v>122.25799999999992</v>
      </c>
      <c r="BS212" s="4">
        <f t="shared" si="96"/>
        <v>1.9796640311387453E-8</v>
      </c>
      <c r="BT212" s="4">
        <f t="shared" si="97"/>
        <v>-17.73775359488647</v>
      </c>
      <c r="BU212" s="4">
        <f t="shared" si="79"/>
        <v>-40.281890317401093</v>
      </c>
      <c r="BV212" s="4">
        <f t="shared" si="98"/>
        <v>81.976109682598832</v>
      </c>
      <c r="BW212" s="4">
        <f t="shared" si="99"/>
        <v>1.6228515575132553E-6</v>
      </c>
      <c r="BX212" s="4">
        <f t="shared" ref="BX212:BX216" si="102">BW212*$BQ$217</f>
        <v>1887.0329083011798</v>
      </c>
      <c r="BY212" s="4"/>
      <c r="BZ212" s="4"/>
      <c r="CB212" s="141" t="s">
        <v>409</v>
      </c>
      <c r="CC212" s="138">
        <f>CP206/(BX254+BX206+BX225+BX242)</f>
        <v>0.6457153264722536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32"/>
      <c r="J213" s="4" t="s">
        <v>180</v>
      </c>
      <c r="K213" s="4">
        <f t="shared" si="80"/>
        <v>0.22932230681750362</v>
      </c>
      <c r="L213" s="4">
        <f t="shared" si="67"/>
        <v>7.993553585817889E-4</v>
      </c>
      <c r="M213" s="4">
        <f>MW_MgO</f>
        <v>4.0304400000000004E-2</v>
      </c>
      <c r="N213" s="4">
        <f t="shared" si="81"/>
        <v>5.6897586074350093</v>
      </c>
      <c r="O213" s="4">
        <f>b_ch_MgO</f>
        <v>62.576000000000022</v>
      </c>
      <c r="P213" s="4">
        <f t="shared" si="68"/>
        <v>4.8932022209739977E-9</v>
      </c>
      <c r="Q213" s="4">
        <f t="shared" si="82"/>
        <v>-19.135418896866003</v>
      </c>
      <c r="R213" s="4">
        <f t="shared" si="69"/>
        <v>-43.455945030338775</v>
      </c>
      <c r="S213" s="4">
        <f t="shared" si="83"/>
        <v>19.120054969661247</v>
      </c>
      <c r="T213" s="4">
        <f t="shared" si="84"/>
        <v>9.3558295442691335E-8</v>
      </c>
      <c r="U213" s="4">
        <f t="shared" si="70"/>
        <v>108.7884973382606</v>
      </c>
      <c r="V213" s="4"/>
      <c r="W213" s="4"/>
      <c r="X213" s="4"/>
      <c r="Y213" s="4"/>
      <c r="Z213" s="4"/>
      <c r="AA213" s="4"/>
      <c r="AB213" s="332"/>
      <c r="AC213" s="4" t="s">
        <v>180</v>
      </c>
      <c r="AD213" s="4">
        <f t="shared" si="85"/>
        <v>0.22932230681750362</v>
      </c>
      <c r="AE213" s="4">
        <f t="shared" si="71"/>
        <v>7.993553585817889E-4</v>
      </c>
      <c r="AF213" s="4">
        <f>MW_MgO</f>
        <v>4.0304400000000004E-2</v>
      </c>
      <c r="AG213" s="4">
        <f t="shared" si="86"/>
        <v>5.6897586074350093</v>
      </c>
      <c r="AH213" s="4">
        <f>b_ch_MgO</f>
        <v>62.576000000000022</v>
      </c>
      <c r="AI213" s="4">
        <f t="shared" si="72"/>
        <v>4.8932022209739977E-9</v>
      </c>
      <c r="AJ213" s="4">
        <f t="shared" si="87"/>
        <v>-19.135418896866003</v>
      </c>
      <c r="AK213" s="4">
        <f t="shared" si="73"/>
        <v>-43.455945030338775</v>
      </c>
      <c r="AL213" s="4">
        <f t="shared" si="88"/>
        <v>19.120054969661247</v>
      </c>
      <c r="AM213" s="4">
        <f t="shared" si="89"/>
        <v>9.3558295442691335E-8</v>
      </c>
      <c r="AN213" s="4">
        <f t="shared" si="74"/>
        <v>108.7884973382606</v>
      </c>
      <c r="AO213" s="4"/>
      <c r="AP213" s="4"/>
      <c r="AR213" s="4"/>
      <c r="AS213" s="4"/>
      <c r="AT213" s="332"/>
      <c r="AU213" s="4" t="s">
        <v>180</v>
      </c>
      <c r="AV213" s="4">
        <f t="shared" si="100"/>
        <v>0.22932230681750362</v>
      </c>
      <c r="AW213" s="4">
        <f t="shared" si="75"/>
        <v>7.993553585817889E-4</v>
      </c>
      <c r="AX213" s="4">
        <f>MW_MgO</f>
        <v>4.0304400000000004E-2</v>
      </c>
      <c r="AY213" s="4">
        <f t="shared" si="90"/>
        <v>5.6897586074350093</v>
      </c>
      <c r="AZ213" s="4">
        <f>b_ch_MgO</f>
        <v>62.576000000000022</v>
      </c>
      <c r="BA213" s="4">
        <f t="shared" si="76"/>
        <v>4.8932022209739977E-9</v>
      </c>
      <c r="BB213" s="4">
        <f t="shared" si="91"/>
        <v>-19.135418896866003</v>
      </c>
      <c r="BC213" s="4">
        <f t="shared" si="77"/>
        <v>-43.455945030338775</v>
      </c>
      <c r="BD213" s="4">
        <f t="shared" si="92"/>
        <v>19.120054969661247</v>
      </c>
      <c r="BE213" s="4">
        <f t="shared" si="93"/>
        <v>9.3558295442691335E-8</v>
      </c>
      <c r="BF213" s="4">
        <f t="shared" si="78"/>
        <v>108.7884973382606</v>
      </c>
      <c r="BG213" s="4"/>
      <c r="BH213" s="4"/>
      <c r="BI213" s="4"/>
      <c r="BJ213" s="4"/>
      <c r="BK213" s="4"/>
      <c r="BL213" s="332"/>
      <c r="BM213" s="4" t="s">
        <v>180</v>
      </c>
      <c r="BN213" s="4">
        <f t="shared" si="101"/>
        <v>0.22932230681750362</v>
      </c>
      <c r="BO213" s="4">
        <f t="shared" si="94"/>
        <v>7.993553585817889E-4</v>
      </c>
      <c r="BP213" s="4">
        <f>MW_MgO</f>
        <v>4.0304400000000004E-2</v>
      </c>
      <c r="BQ213" s="4">
        <f t="shared" si="95"/>
        <v>5.6897586074350093</v>
      </c>
      <c r="BR213" s="4">
        <f>b_ch_MgO</f>
        <v>62.576000000000022</v>
      </c>
      <c r="BS213" s="4">
        <f t="shared" si="96"/>
        <v>4.8932022209739977E-9</v>
      </c>
      <c r="BT213" s="4">
        <f t="shared" si="97"/>
        <v>-19.135418896866003</v>
      </c>
      <c r="BU213" s="4">
        <f t="shared" si="79"/>
        <v>-43.455945030338775</v>
      </c>
      <c r="BV213" s="4">
        <f t="shared" si="98"/>
        <v>19.120054969661247</v>
      </c>
      <c r="BW213" s="4">
        <f t="shared" si="99"/>
        <v>9.3558295442691335E-8</v>
      </c>
      <c r="BX213" s="4">
        <f t="shared" si="102"/>
        <v>108.7884973382606</v>
      </c>
      <c r="BY213" s="4"/>
      <c r="BZ213" s="4"/>
      <c r="CN213" s="4"/>
      <c r="CO213" s="4"/>
    </row>
    <row r="214" spans="2:94" ht="19" thickBot="1" x14ac:dyDescent="0.3">
      <c r="I214" s="332"/>
      <c r="J214" s="4" t="s">
        <v>309</v>
      </c>
      <c r="K214" s="4">
        <f t="shared" si="80"/>
        <v>7.0276190798912411E-2</v>
      </c>
      <c r="L214" s="4">
        <f t="shared" si="67"/>
        <v>2.4496373892022569E-4</v>
      </c>
      <c r="M214" s="4">
        <f>MW_Na2O</f>
        <v>6.1978936000000005E-2</v>
      </c>
      <c r="N214" s="4">
        <f t="shared" si="81"/>
        <v>1.1338721722959622</v>
      </c>
      <c r="O214" s="4">
        <f>b_ch_Na2O</f>
        <v>298.64000000000004</v>
      </c>
      <c r="P214" s="4">
        <f t="shared" si="68"/>
        <v>9.7513202485059706E-10</v>
      </c>
      <c r="Q214" s="4">
        <f t="shared" si="82"/>
        <v>-20.748448243994645</v>
      </c>
      <c r="R214" s="4">
        <f t="shared" si="69"/>
        <v>-47.119084835061095</v>
      </c>
      <c r="S214" s="4">
        <f t="shared" si="83"/>
        <v>251.52091516493894</v>
      </c>
      <c r="T214" s="4">
        <f t="shared" si="84"/>
        <v>2.4526609929706214E-7</v>
      </c>
      <c r="U214" s="4">
        <f t="shared" si="70"/>
        <v>285.19256645593771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32"/>
      <c r="AC214" s="4" t="s">
        <v>309</v>
      </c>
      <c r="AD214" s="4">
        <f t="shared" si="85"/>
        <v>7.0276190798912411E-2</v>
      </c>
      <c r="AE214" s="4">
        <f t="shared" si="71"/>
        <v>2.4496373892022569E-4</v>
      </c>
      <c r="AF214" s="4">
        <f>MW_Na2O</f>
        <v>6.1978936000000005E-2</v>
      </c>
      <c r="AG214" s="4">
        <f t="shared" si="86"/>
        <v>1.1338721722959622</v>
      </c>
      <c r="AH214" s="4">
        <f>b_ch_Na2O</f>
        <v>298.64000000000004</v>
      </c>
      <c r="AI214" s="4">
        <f t="shared" si="72"/>
        <v>9.7513202485059706E-10</v>
      </c>
      <c r="AJ214" s="4">
        <f t="shared" si="87"/>
        <v>-20.748448243994645</v>
      </c>
      <c r="AK214" s="4">
        <f t="shared" si="73"/>
        <v>-47.119084835061095</v>
      </c>
      <c r="AL214" s="4">
        <f t="shared" si="88"/>
        <v>251.52091516493894</v>
      </c>
      <c r="AM214" s="4">
        <f t="shared" si="89"/>
        <v>2.4526609929706214E-7</v>
      </c>
      <c r="AN214" s="4">
        <f t="shared" si="74"/>
        <v>285.19256645593771</v>
      </c>
      <c r="AO214" s="4"/>
      <c r="AP214" s="4"/>
      <c r="AQ214" s="4"/>
      <c r="AR214" s="4"/>
      <c r="AS214" s="4"/>
      <c r="AT214" s="332"/>
      <c r="AU214" s="4" t="s">
        <v>309</v>
      </c>
      <c r="AV214" s="4">
        <f t="shared" si="100"/>
        <v>7.0276190798912411E-2</v>
      </c>
      <c r="AW214" s="4">
        <f t="shared" si="75"/>
        <v>2.4496373892022569E-4</v>
      </c>
      <c r="AX214" s="4">
        <f>MW_Na2O</f>
        <v>6.1978936000000005E-2</v>
      </c>
      <c r="AY214" s="4">
        <f t="shared" si="90"/>
        <v>1.1338721722959622</v>
      </c>
      <c r="AZ214" s="4">
        <f>b_ch_Na2O</f>
        <v>298.64000000000004</v>
      </c>
      <c r="BA214" s="4">
        <f t="shared" si="76"/>
        <v>9.7513202485059706E-10</v>
      </c>
      <c r="BB214" s="4">
        <f t="shared" si="91"/>
        <v>-20.748448243994645</v>
      </c>
      <c r="BC214" s="4">
        <f t="shared" si="77"/>
        <v>-47.119084835061095</v>
      </c>
      <c r="BD214" s="4">
        <f t="shared" si="92"/>
        <v>251.52091516493894</v>
      </c>
      <c r="BE214" s="4">
        <f t="shared" si="93"/>
        <v>2.4526609929706214E-7</v>
      </c>
      <c r="BF214" s="4">
        <f t="shared" si="78"/>
        <v>285.19256645593771</v>
      </c>
      <c r="BG214" s="4"/>
      <c r="BH214" s="4"/>
      <c r="BI214" s="4"/>
      <c r="BJ214" s="4"/>
      <c r="BK214" s="4"/>
      <c r="BL214" s="332"/>
      <c r="BM214" s="4" t="s">
        <v>309</v>
      </c>
      <c r="BN214" s="4">
        <f t="shared" si="101"/>
        <v>7.0276190798912411E-2</v>
      </c>
      <c r="BO214" s="4">
        <f t="shared" si="94"/>
        <v>2.4496373892022569E-4</v>
      </c>
      <c r="BP214" s="4">
        <f>MW_Na2O</f>
        <v>6.1978936000000005E-2</v>
      </c>
      <c r="BQ214" s="4">
        <f t="shared" si="95"/>
        <v>1.1338721722959622</v>
      </c>
      <c r="BR214" s="4">
        <f>b_ch_Na2O</f>
        <v>298.64000000000004</v>
      </c>
      <c r="BS214" s="4">
        <f t="shared" si="96"/>
        <v>9.7513202485059706E-10</v>
      </c>
      <c r="BT214" s="4">
        <f t="shared" si="97"/>
        <v>-20.748448243994645</v>
      </c>
      <c r="BU214" s="4">
        <f t="shared" si="79"/>
        <v>-47.119084835061095</v>
      </c>
      <c r="BV214" s="4">
        <f t="shared" si="98"/>
        <v>251.52091516493894</v>
      </c>
      <c r="BW214" s="4">
        <f t="shared" si="99"/>
        <v>2.4526609929706214E-7</v>
      </c>
      <c r="BX214" s="4">
        <f t="shared" si="102"/>
        <v>285.19256645593771</v>
      </c>
      <c r="BY214" s="4"/>
      <c r="BZ214" s="4"/>
      <c r="CN214" s="4"/>
      <c r="CO214" s="4"/>
    </row>
    <row r="215" spans="2:94" ht="18" x14ac:dyDescent="0.25">
      <c r="I215" s="332"/>
      <c r="J215" s="1" t="s">
        <v>15</v>
      </c>
      <c r="K215" s="4">
        <f t="shared" si="80"/>
        <v>0.80262807386126278</v>
      </c>
      <c r="L215" s="4">
        <f t="shared" si="67"/>
        <v>2.7977437550362615E-3</v>
      </c>
      <c r="M215" s="4">
        <f>MW_Fe2O3</f>
        <v>0.1596882</v>
      </c>
      <c r="N215" s="4">
        <f t="shared" si="81"/>
        <v>5.0262203084590018</v>
      </c>
      <c r="O215" s="4">
        <f>b_ch_Fe2O3</f>
        <v>17.358400000000074</v>
      </c>
      <c r="P215" s="4">
        <f t="shared" si="68"/>
        <v>4.3225581388141737E-9</v>
      </c>
      <c r="Q215" s="4">
        <f t="shared" si="82"/>
        <v>-19.259418448186445</v>
      </c>
      <c r="R215" s="4">
        <f t="shared" si="69"/>
        <v>-43.737544179801361</v>
      </c>
      <c r="S215" s="4">
        <f t="shared" si="83"/>
        <v>-26.379144179801287</v>
      </c>
      <c r="T215" s="4">
        <f t="shared" si="84"/>
        <v>-1.1402538436935259E-7</v>
      </c>
      <c r="U215" s="4">
        <f t="shared" si="70"/>
        <v>-132.5873901962853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32"/>
      <c r="AC215" s="1" t="s">
        <v>15</v>
      </c>
      <c r="AD215" s="4">
        <f t="shared" si="85"/>
        <v>0.80262807386126278</v>
      </c>
      <c r="AE215" s="4">
        <f t="shared" si="71"/>
        <v>2.7977437550362615E-3</v>
      </c>
      <c r="AF215" s="4">
        <f>MW_Fe2O3</f>
        <v>0.1596882</v>
      </c>
      <c r="AG215" s="4">
        <f t="shared" si="86"/>
        <v>5.0262203084590018</v>
      </c>
      <c r="AH215" s="4">
        <f>b_ch_Fe2O3</f>
        <v>17.358400000000074</v>
      </c>
      <c r="AI215" s="4">
        <f t="shared" si="72"/>
        <v>4.3225581388141737E-9</v>
      </c>
      <c r="AJ215" s="4">
        <f t="shared" si="87"/>
        <v>-19.259418448186445</v>
      </c>
      <c r="AK215" s="4">
        <f t="shared" si="73"/>
        <v>-43.737544179801361</v>
      </c>
      <c r="AL215" s="4">
        <f t="shared" si="88"/>
        <v>-26.379144179801287</v>
      </c>
      <c r="AM215" s="4">
        <f t="shared" si="89"/>
        <v>-1.1402538436935259E-7</v>
      </c>
      <c r="AN215" s="4">
        <f t="shared" si="74"/>
        <v>-132.5873901962853</v>
      </c>
      <c r="AO215" s="4"/>
      <c r="AP215" s="4"/>
      <c r="AQ215" s="4"/>
      <c r="AR215" s="4"/>
      <c r="AS215" s="4"/>
      <c r="AT215" s="332"/>
      <c r="AU215" s="1" t="s">
        <v>15</v>
      </c>
      <c r="AV215" s="4">
        <f t="shared" si="100"/>
        <v>0.80262807386126278</v>
      </c>
      <c r="AW215" s="4">
        <f t="shared" si="75"/>
        <v>2.7977437550362615E-3</v>
      </c>
      <c r="AX215" s="4">
        <f>MW_Fe2O3</f>
        <v>0.1596882</v>
      </c>
      <c r="AY215" s="4">
        <f t="shared" si="90"/>
        <v>5.0262203084590018</v>
      </c>
      <c r="AZ215" s="4">
        <f>b_ch_Fe2O3</f>
        <v>17.358400000000074</v>
      </c>
      <c r="BA215" s="4">
        <f t="shared" si="76"/>
        <v>4.3225581388141737E-9</v>
      </c>
      <c r="BB215" s="4">
        <f t="shared" si="91"/>
        <v>-19.259418448186445</v>
      </c>
      <c r="BC215" s="4">
        <f t="shared" si="77"/>
        <v>-43.737544179801361</v>
      </c>
      <c r="BD215" s="4">
        <f t="shared" si="92"/>
        <v>-26.379144179801287</v>
      </c>
      <c r="BE215" s="4">
        <f t="shared" si="93"/>
        <v>-1.1402538436935259E-7</v>
      </c>
      <c r="BF215" s="4">
        <f t="shared" si="78"/>
        <v>-132.5873901962853</v>
      </c>
      <c r="BG215" s="4"/>
      <c r="BH215" s="4"/>
      <c r="BI215" s="4"/>
      <c r="BJ215" s="4"/>
      <c r="BK215" s="4"/>
      <c r="BL215" s="332"/>
      <c r="BM215" s="1" t="s">
        <v>15</v>
      </c>
      <c r="BN215" s="4">
        <f t="shared" si="101"/>
        <v>0.80262807386126278</v>
      </c>
      <c r="BO215" s="4">
        <f t="shared" si="94"/>
        <v>2.7977437550362615E-3</v>
      </c>
      <c r="BP215" s="4">
        <f>MW_Fe2O3</f>
        <v>0.1596882</v>
      </c>
      <c r="BQ215" s="4">
        <f t="shared" si="95"/>
        <v>5.0262203084590018</v>
      </c>
      <c r="BR215" s="4">
        <f>b_ch_Fe2O3</f>
        <v>17.358400000000074</v>
      </c>
      <c r="BS215" s="4">
        <f t="shared" si="96"/>
        <v>4.3225581388141737E-9</v>
      </c>
      <c r="BT215" s="4">
        <f t="shared" si="97"/>
        <v>-19.259418448186445</v>
      </c>
      <c r="BU215" s="4">
        <f t="shared" si="79"/>
        <v>-43.737544179801361</v>
      </c>
      <c r="BV215" s="4">
        <f t="shared" si="98"/>
        <v>-26.379144179801287</v>
      </c>
      <c r="BW215" s="4">
        <f t="shared" si="99"/>
        <v>-1.1402538436935259E-7</v>
      </c>
      <c r="BX215" s="4">
        <f t="shared" si="102"/>
        <v>-132.5873901962853</v>
      </c>
      <c r="BY215" s="4"/>
      <c r="BZ215" s="4"/>
      <c r="CA215" s="3" t="s">
        <v>3</v>
      </c>
      <c r="CB215" s="3" t="s">
        <v>2</v>
      </c>
      <c r="CN215" s="4"/>
      <c r="CO215" s="63" t="s">
        <v>1</v>
      </c>
      <c r="CP215" s="58" t="s">
        <v>0</v>
      </c>
    </row>
    <row r="216" spans="2:94" ht="18.5" customHeight="1" x14ac:dyDescent="0.25">
      <c r="I216" s="332"/>
      <c r="J216" s="1" t="s">
        <v>17</v>
      </c>
      <c r="K216" s="4">
        <f t="shared" si="80"/>
        <v>9.2172772353099859</v>
      </c>
      <c r="L216" s="4">
        <f t="shared" si="67"/>
        <v>3.2128928283642229E-2</v>
      </c>
      <c r="M216" s="3">
        <f>MW_SIO2</f>
        <v>6.00843E-2</v>
      </c>
      <c r="N216" s="4">
        <f t="shared" si="81"/>
        <v>153.40575217336286</v>
      </c>
      <c r="O216" s="3">
        <f>b_ch_SiO2</f>
        <v>1.5260000000000673</v>
      </c>
      <c r="P216" s="4">
        <f t="shared" si="68"/>
        <v>1.3192921159502107E-7</v>
      </c>
      <c r="Q216" s="4">
        <f t="shared" si="82"/>
        <v>-15.841000334002629</v>
      </c>
      <c r="R216" s="4">
        <f t="shared" si="69"/>
        <v>-35.974422271609647</v>
      </c>
      <c r="S216" s="4">
        <f t="shared" si="83"/>
        <v>-34.44842227160958</v>
      </c>
      <c r="T216" s="4">
        <f t="shared" si="84"/>
        <v>-4.5447531909858167E-6</v>
      </c>
      <c r="U216" s="4">
        <f t="shared" si="70"/>
        <v>-5284.5861297618922</v>
      </c>
      <c r="V216" s="332" t="s">
        <v>381</v>
      </c>
      <c r="W216" s="62" t="s">
        <v>308</v>
      </c>
      <c r="X216" s="62">
        <f t="shared" ref="X216:X221" si="103">$X$222*Y216</f>
        <v>16.732655961692366</v>
      </c>
      <c r="Y216" s="173">
        <v>0.3715</v>
      </c>
      <c r="Z216" s="173">
        <v>0.37219999999999998</v>
      </c>
      <c r="AB216" s="332"/>
      <c r="AC216" s="1" t="s">
        <v>17</v>
      </c>
      <c r="AD216" s="4">
        <f t="shared" si="85"/>
        <v>9.2172772353099859</v>
      </c>
      <c r="AE216" s="4">
        <f t="shared" si="71"/>
        <v>3.2128928283642229E-2</v>
      </c>
      <c r="AF216" s="3">
        <f>MW_SIO2</f>
        <v>6.00843E-2</v>
      </c>
      <c r="AG216" s="4">
        <f t="shared" si="86"/>
        <v>153.40575217336286</v>
      </c>
      <c r="AH216" s="3">
        <f>b_ch_SiO2</f>
        <v>1.5260000000000673</v>
      </c>
      <c r="AI216" s="4">
        <f t="shared" si="72"/>
        <v>1.3192921159502107E-7</v>
      </c>
      <c r="AJ216" s="4">
        <f t="shared" si="87"/>
        <v>-15.841000334002629</v>
      </c>
      <c r="AK216" s="4">
        <f t="shared" si="73"/>
        <v>-35.974422271609647</v>
      </c>
      <c r="AL216" s="4">
        <f t="shared" si="88"/>
        <v>-34.44842227160958</v>
      </c>
      <c r="AM216" s="4">
        <f t="shared" si="89"/>
        <v>-4.5447531909858167E-6</v>
      </c>
      <c r="AN216" s="4">
        <f t="shared" si="74"/>
        <v>-5284.5861297618922</v>
      </c>
      <c r="AO216" s="4"/>
      <c r="AP216" s="4"/>
      <c r="AQ216" s="4"/>
      <c r="AR216" s="4"/>
      <c r="AS216" s="4"/>
      <c r="AT216" s="332"/>
      <c r="AU216" s="1" t="s">
        <v>17</v>
      </c>
      <c r="AV216" s="4">
        <f t="shared" si="100"/>
        <v>9.2172772353099859</v>
      </c>
      <c r="AW216" s="4">
        <f t="shared" si="75"/>
        <v>3.2128928283642229E-2</v>
      </c>
      <c r="AX216" s="3">
        <f>MW_SIO2</f>
        <v>6.00843E-2</v>
      </c>
      <c r="AY216" s="4">
        <f t="shared" si="90"/>
        <v>153.40575217336286</v>
      </c>
      <c r="AZ216" s="3">
        <f>b_ch_SiO2</f>
        <v>1.5260000000000673</v>
      </c>
      <c r="BA216" s="4">
        <f t="shared" si="76"/>
        <v>1.3192921159502107E-7</v>
      </c>
      <c r="BB216" s="4">
        <f t="shared" si="91"/>
        <v>-15.841000334002629</v>
      </c>
      <c r="BC216" s="4">
        <f t="shared" si="77"/>
        <v>-35.974422271609647</v>
      </c>
      <c r="BD216" s="4">
        <f t="shared" si="92"/>
        <v>-34.44842227160958</v>
      </c>
      <c r="BE216" s="4">
        <f t="shared" si="93"/>
        <v>-4.5447531909858167E-6</v>
      </c>
      <c r="BF216" s="4">
        <f t="shared" si="78"/>
        <v>-5284.5861297618922</v>
      </c>
      <c r="BG216" s="4"/>
      <c r="BH216" s="4"/>
      <c r="BI216" s="4"/>
      <c r="BJ216" s="4"/>
      <c r="BK216" s="4"/>
      <c r="BL216" s="332"/>
      <c r="BM216" s="1" t="s">
        <v>17</v>
      </c>
      <c r="BN216" s="4">
        <f t="shared" si="101"/>
        <v>9.2172772353099859</v>
      </c>
      <c r="BO216" s="4">
        <f t="shared" si="94"/>
        <v>3.2128928283642229E-2</v>
      </c>
      <c r="BP216" s="3">
        <f>MW_SIO2</f>
        <v>6.00843E-2</v>
      </c>
      <c r="BQ216" s="4">
        <f t="shared" si="95"/>
        <v>153.40575217336286</v>
      </c>
      <c r="BR216" s="3">
        <f>b_ch_SiO2</f>
        <v>1.5260000000000673</v>
      </c>
      <c r="BS216" s="4">
        <f t="shared" si="96"/>
        <v>1.3192921159502107E-7</v>
      </c>
      <c r="BT216" s="4">
        <f t="shared" si="97"/>
        <v>-15.841000334002629</v>
      </c>
      <c r="BU216" s="4">
        <f t="shared" si="79"/>
        <v>-35.974422271609647</v>
      </c>
      <c r="BV216" s="4">
        <f t="shared" si="98"/>
        <v>-34.44842227160958</v>
      </c>
      <c r="BW216" s="4">
        <f t="shared" si="99"/>
        <v>-4.5447531909858167E-6</v>
      </c>
      <c r="BX216" s="4">
        <f t="shared" si="102"/>
        <v>-5284.5861297618922</v>
      </c>
      <c r="BY216" s="4"/>
      <c r="BZ216" s="4"/>
      <c r="CA216" s="3" t="s">
        <v>364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1162788364.4470463</v>
      </c>
      <c r="O217" s="17"/>
      <c r="P217" s="62">
        <f>SUM(P210:P216)</f>
        <v>0.99999999999999978</v>
      </c>
      <c r="Q217" s="17"/>
      <c r="R217" s="17"/>
      <c r="S217" s="17"/>
      <c r="T217" s="62">
        <f>SUM(T210:T216)</f>
        <v>7.5218430191825655E-3</v>
      </c>
      <c r="U217" s="62">
        <f>SUM(U210:U216)</f>
        <v>8746311.5419027284</v>
      </c>
      <c r="V217" s="332"/>
      <c r="W217" s="4" t="s">
        <v>124</v>
      </c>
      <c r="X217" s="4">
        <f t="shared" si="103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1162788364.4470463</v>
      </c>
      <c r="AH217" s="17"/>
      <c r="AI217" s="62">
        <f>SUM(AI210:AI216)</f>
        <v>0.99999999999999978</v>
      </c>
      <c r="AJ217" s="17"/>
      <c r="AK217" s="17"/>
      <c r="AL217" s="17"/>
      <c r="AM217" s="62">
        <f>SUM(AM210:AM216)</f>
        <v>7.5218430191825655E-3</v>
      </c>
      <c r="AN217" s="62">
        <f>SUM(AN210:AN216)</f>
        <v>8746311.5419027284</v>
      </c>
      <c r="AO217" s="4"/>
      <c r="AP217" s="4"/>
      <c r="AQ217" s="4"/>
      <c r="AR217" s="4"/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1162788364.4470463</v>
      </c>
      <c r="AZ217" s="17"/>
      <c r="BA217" s="62">
        <f>SUM(BA210:BA216)</f>
        <v>0.99999999999999978</v>
      </c>
      <c r="BB217" s="17"/>
      <c r="BC217" s="17"/>
      <c r="BD217" s="17"/>
      <c r="BE217" s="62">
        <f>SUM(BE210:BE216)</f>
        <v>7.5218430191825655E-3</v>
      </c>
      <c r="BF217" s="62">
        <f>SUM(BF210:BF216)</f>
        <v>8746311.5419027284</v>
      </c>
      <c r="BG217" s="4"/>
      <c r="BH217" s="4"/>
      <c r="BI217" s="4"/>
      <c r="BJ217" s="4"/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1162788364.4470463</v>
      </c>
      <c r="BR217" s="17"/>
      <c r="BS217" s="62">
        <f>SUM(BS210:BS216)</f>
        <v>0.99999999999999978</v>
      </c>
      <c r="BT217" s="17"/>
      <c r="BU217" s="17"/>
      <c r="BV217" s="17"/>
      <c r="BW217" s="62">
        <f>SUM(BW210:BW216)</f>
        <v>7.5218430191825655E-3</v>
      </c>
      <c r="BX217" s="62">
        <f>SUM(BX210:BX216)</f>
        <v>8746311.5419027284</v>
      </c>
      <c r="BY217" s="4"/>
      <c r="BZ217" s="4"/>
      <c r="CA217" s="3" t="s">
        <v>42</v>
      </c>
      <c r="CK217" s="3" t="s">
        <v>544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32"/>
      <c r="W218" s="4" t="s">
        <v>180</v>
      </c>
      <c r="X218" s="4">
        <f t="shared" si="103"/>
        <v>0.55850587866752444</v>
      </c>
      <c r="Y218" s="4">
        <v>1.24E-2</v>
      </c>
      <c r="Z218" s="4">
        <f t="shared" ref="Z218:Z221" si="104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P218" s="4"/>
      <c r="AQ218" s="4"/>
      <c r="AR218" s="4"/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1"/>
      <c r="BH218" s="1"/>
      <c r="BI218" s="1"/>
      <c r="BJ218" s="1"/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3">
        <f>mol_C_to_BF+(2*CI238)+CI239+CI240+CI242+CI255</f>
        <v>19523.647284522081</v>
      </c>
      <c r="CB218" s="3">
        <f>BQ210+BQ230+BQ258</f>
        <v>1162789415.7252154</v>
      </c>
      <c r="CN218" s="4"/>
      <c r="CO218" s="4"/>
    </row>
    <row r="219" spans="2:94" ht="19" thickBot="1" x14ac:dyDescent="0.3">
      <c r="V219" s="332"/>
      <c r="W219" s="4" t="s">
        <v>309</v>
      </c>
      <c r="X219" s="4">
        <f t="shared" si="103"/>
        <v>0.17115502733359619</v>
      </c>
      <c r="Y219" s="4">
        <v>3.8E-3</v>
      </c>
      <c r="Z219" s="4">
        <f t="shared" si="104"/>
        <v>3.8E-3</v>
      </c>
      <c r="AO219" s="4"/>
      <c r="AP219" s="4"/>
      <c r="AQ219" s="4"/>
      <c r="AR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3">
        <f>(2*CI237)+(4*CI238)+(4*CI242)+(2*CI254)</f>
        <v>56452.751169032956</v>
      </c>
      <c r="CB219" s="3">
        <f>(2.492863257*BQ210)+(2*BQ2290+(4*BQ230)+(4*BQ258))</f>
        <v>2898676980.0121136</v>
      </c>
      <c r="CE219" s="4"/>
      <c r="CF219" s="1" t="s">
        <v>575</v>
      </c>
      <c r="CG219" s="1" t="s">
        <v>576</v>
      </c>
      <c r="CH219" s="1" t="s">
        <v>578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577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32"/>
      <c r="W220" s="1" t="s">
        <v>15</v>
      </c>
      <c r="X220" s="4">
        <f t="shared" si="103"/>
        <v>1.9547705753363356</v>
      </c>
      <c r="Y220" s="4">
        <v>4.3400000000000001E-2</v>
      </c>
      <c r="Z220" s="4">
        <f t="shared" si="104"/>
        <v>4.3400000000000001E-2</v>
      </c>
      <c r="AO220" s="4"/>
      <c r="AP220" s="4"/>
      <c r="AQ220" s="4"/>
      <c r="AR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32"/>
      <c r="W221" s="1" t="s">
        <v>17</v>
      </c>
      <c r="X221" s="4">
        <f t="shared" si="103"/>
        <v>22.448333058701145</v>
      </c>
      <c r="Y221" s="4">
        <v>0.49840000000000001</v>
      </c>
      <c r="Z221" s="4">
        <f t="shared" si="104"/>
        <v>0.49840000000000001</v>
      </c>
      <c r="AP221" s="4"/>
      <c r="BZ221" s="3" t="s">
        <v>364</v>
      </c>
      <c r="CD221" s="331" t="s">
        <v>544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05">CF221/CH221</f>
        <v>67.509628031626505</v>
      </c>
      <c r="CJ221" s="62">
        <f>b_ch_Al2O3</f>
        <v>31.875999999999976</v>
      </c>
      <c r="CK221" s="62">
        <f t="shared" ref="CK221:CK226" si="106">CI221/$CI$227</f>
        <v>0.26393162595128805</v>
      </c>
      <c r="CL221" s="62">
        <f t="shared" ref="CL221:CL226" si="107">LN(CK221)</f>
        <v>-1.3320652019889558</v>
      </c>
      <c r="CM221" s="62">
        <f t="shared" ref="CM221:CM226" si="108">RT0*CL221</f>
        <v>-3.0250789129021771</v>
      </c>
      <c r="CN221" s="62">
        <f t="shared" ref="CN221:CN226" si="109">CM221+CJ221</f>
        <v>28.850921087097799</v>
      </c>
      <c r="CO221" s="62">
        <f t="shared" ref="CO221:CO225" si="110">CN221*CK221</f>
        <v>7.6146705127100249</v>
      </c>
      <c r="CP221" s="62">
        <f>CO221*$CI$227</f>
        <v>1947.7149509597818</v>
      </c>
    </row>
    <row r="222" spans="2:94" ht="16" thickBot="1" x14ac:dyDescent="0.25">
      <c r="B222" s="313" t="s">
        <v>497</v>
      </c>
      <c r="C222" s="313"/>
      <c r="D222" s="313"/>
      <c r="E222" s="313"/>
      <c r="F222" s="313"/>
      <c r="G222" s="313"/>
      <c r="H222" s="313"/>
      <c r="J222" s="4"/>
      <c r="K222" s="4"/>
      <c r="L222" s="4"/>
      <c r="M222" s="4"/>
      <c r="N222" s="4"/>
      <c r="O222" s="4"/>
      <c r="P222" s="205" t="s">
        <v>596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CD222" s="331"/>
      <c r="CE222" s="4" t="s">
        <v>124</v>
      </c>
      <c r="CF222" s="4">
        <f>Y217*$CF$227</f>
        <v>1.2908626625694963</v>
      </c>
      <c r="CG222" s="4">
        <f t="shared" ref="CG222:CG226" si="111">CF222/$CF$227</f>
        <v>6.9800000000000001E-2</v>
      </c>
      <c r="CH222" s="4">
        <f>MW_CaO</f>
        <v>5.6077400000000006E-2</v>
      </c>
      <c r="CI222" s="4">
        <f t="shared" si="105"/>
        <v>23.019303009224682</v>
      </c>
      <c r="CJ222" s="4">
        <f>b_ch_CaO</f>
        <v>122.25799999999992</v>
      </c>
      <c r="CK222" s="4">
        <f t="shared" si="106"/>
        <v>8.9994897744716112E-2</v>
      </c>
      <c r="CL222" s="4">
        <f t="shared" si="107"/>
        <v>-2.4080023019842853</v>
      </c>
      <c r="CM222" s="4">
        <f t="shared" si="108"/>
        <v>-5.4684988205351805</v>
      </c>
      <c r="CN222" s="4">
        <f t="shared" si="109"/>
        <v>116.78950117946475</v>
      </c>
      <c r="CO222" s="4">
        <f t="shared" si="110"/>
        <v>10.510459216302332</v>
      </c>
      <c r="CP222" s="4">
        <f t="shared" ref="CP222:CP226" si="112">CO222*$CI$227</f>
        <v>2688.4129159463023</v>
      </c>
    </row>
    <row r="223" spans="2:94" x14ac:dyDescent="0.2">
      <c r="B223" s="314"/>
      <c r="C223" s="314"/>
      <c r="D223" s="314"/>
      <c r="E223" s="314"/>
      <c r="F223" s="314"/>
      <c r="G223" s="314"/>
      <c r="H223" s="31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BG223" s="25"/>
      <c r="BH223" s="25"/>
      <c r="BI223" s="25"/>
      <c r="BJ223" s="25"/>
      <c r="BK223" s="25"/>
      <c r="BW223" s="63" t="s">
        <v>1</v>
      </c>
      <c r="BX223" s="58" t="s">
        <v>0</v>
      </c>
      <c r="CD223" s="331"/>
      <c r="CE223" s="4" t="s">
        <v>180</v>
      </c>
      <c r="CF223" s="4">
        <f>Y218*$CF$227</f>
        <v>0.22932230681750362</v>
      </c>
      <c r="CG223" s="4">
        <f t="shared" si="111"/>
        <v>1.24E-2</v>
      </c>
      <c r="CH223" s="4">
        <f>MW_MgO</f>
        <v>4.0304400000000004E-2</v>
      </c>
      <c r="CI223" s="4">
        <f t="shared" si="105"/>
        <v>5.6897586074350093</v>
      </c>
      <c r="CJ223" s="4">
        <f>b_ch_MgO</f>
        <v>62.576000000000022</v>
      </c>
      <c r="CK223" s="4">
        <f t="shared" si="106"/>
        <v>2.2244341797101112E-2</v>
      </c>
      <c r="CL223" s="4">
        <f t="shared" si="107"/>
        <v>-3.8056676039638173</v>
      </c>
      <c r="CM223" s="4">
        <f t="shared" si="108"/>
        <v>-8.6425535334728654</v>
      </c>
      <c r="CN223" s="4">
        <f t="shared" si="109"/>
        <v>53.933446466527158</v>
      </c>
      <c r="CO223" s="4">
        <f t="shared" si="110"/>
        <v>1.1997140174970853</v>
      </c>
      <c r="CP223" s="4">
        <f t="shared" si="112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6" t="s">
        <v>323</v>
      </c>
      <c r="H224" s="13" t="s">
        <v>317</v>
      </c>
      <c r="J224" s="4"/>
      <c r="K224" s="3" t="s">
        <v>581</v>
      </c>
      <c r="L224" s="1" t="s">
        <v>575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577</v>
      </c>
      <c r="U224" s="1" t="s">
        <v>50</v>
      </c>
      <c r="X224" s="3" t="s">
        <v>311</v>
      </c>
      <c r="BG224" s="1"/>
      <c r="BH224" s="1"/>
      <c r="BI224" s="1"/>
      <c r="BJ224" s="1"/>
      <c r="BK224" s="1"/>
      <c r="BW224" s="65" t="s">
        <v>90</v>
      </c>
      <c r="BX224" s="64" t="s">
        <v>94</v>
      </c>
      <c r="CD224" s="331"/>
      <c r="CE224" s="4" t="s">
        <v>309</v>
      </c>
      <c r="CF224" s="4">
        <f>Y219*$CF$227</f>
        <v>7.0276190798912411E-2</v>
      </c>
      <c r="CG224" s="4">
        <f t="shared" si="111"/>
        <v>3.8000000000000004E-3</v>
      </c>
      <c r="CH224" s="4">
        <f>MW_Na2O</f>
        <v>6.1978936000000005E-2</v>
      </c>
      <c r="CI224" s="4">
        <f t="shared" si="105"/>
        <v>1.1338721722959622</v>
      </c>
      <c r="CJ224" s="4">
        <f>b_ch_Na2O</f>
        <v>298.64000000000004</v>
      </c>
      <c r="CK224" s="4">
        <f t="shared" si="106"/>
        <v>4.4329191965743692E-3</v>
      </c>
      <c r="CL224" s="4">
        <f t="shared" si="107"/>
        <v>-5.4186969510924596</v>
      </c>
      <c r="CM224" s="4">
        <f t="shared" si="108"/>
        <v>-12.305693338195185</v>
      </c>
      <c r="CN224" s="4">
        <f t="shared" si="109"/>
        <v>286.33430666180487</v>
      </c>
      <c r="CO224" s="4">
        <f t="shared" si="110"/>
        <v>1.269296844638927</v>
      </c>
      <c r="CP224" s="4">
        <f t="shared" si="112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580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BS225" s="3" t="s">
        <v>541</v>
      </c>
      <c r="BW225" s="50">
        <f>BN233</f>
        <v>10.437401363720047</v>
      </c>
      <c r="BX225" s="48">
        <f>BX233</f>
        <v>891683.71589033271</v>
      </c>
      <c r="CD225" s="331"/>
      <c r="CE225" s="1" t="s">
        <v>15</v>
      </c>
      <c r="CF225" s="4">
        <f>Y220*$CF$227</f>
        <v>0.80262807386126278</v>
      </c>
      <c r="CG225" s="4">
        <f t="shared" si="111"/>
        <v>4.3400000000000001E-2</v>
      </c>
      <c r="CH225" s="4">
        <f>MW_Fe2O3</f>
        <v>0.1596882</v>
      </c>
      <c r="CI225" s="4">
        <f t="shared" si="105"/>
        <v>5.0262203084590018</v>
      </c>
      <c r="CJ225" s="4">
        <f>b_ch_Fe2O3</f>
        <v>17.358400000000074</v>
      </c>
      <c r="CK225" s="4">
        <f t="shared" si="106"/>
        <v>1.9650211933911133E-2</v>
      </c>
      <c r="CL225" s="4">
        <f t="shared" si="107"/>
        <v>-3.929667155284259</v>
      </c>
      <c r="CM225" s="4">
        <f t="shared" si="108"/>
        <v>-8.9241526829354534</v>
      </c>
      <c r="CN225" s="4">
        <f t="shared" si="109"/>
        <v>8.4342473170646208</v>
      </c>
      <c r="CO225" s="4">
        <f t="shared" si="110"/>
        <v>0.16573474728334117</v>
      </c>
      <c r="CP225" s="4">
        <f t="shared" si="112"/>
        <v>42.392385151596045</v>
      </c>
      <c r="CU225" s="3" t="s">
        <v>463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5" t="s">
        <v>596</v>
      </c>
      <c r="J226" s="97" t="s">
        <v>500</v>
      </c>
      <c r="K226" s="96">
        <f>F229</f>
        <v>20969.662867987096</v>
      </c>
      <c r="L226" s="96">
        <f>K226/LHV_Diesel</f>
        <v>0.48766657832528126</v>
      </c>
      <c r="M226" s="96">
        <f>MW_C12H23</f>
        <v>0.16731462</v>
      </c>
      <c r="N226" s="96">
        <f>L226/M226</f>
        <v>2.9146680566544707</v>
      </c>
      <c r="O226" s="96">
        <f>b_ch_C12H23</f>
        <v>7141.5943565339712</v>
      </c>
      <c r="P226" s="96">
        <f>N226/N227</f>
        <v>1</v>
      </c>
      <c r="Q226" s="96">
        <f>LN(P226)</f>
        <v>0</v>
      </c>
      <c r="R226" s="96">
        <f>RT0*Q226</f>
        <v>0</v>
      </c>
      <c r="S226" s="96">
        <f>R226+O226</f>
        <v>7141.5943565339712</v>
      </c>
      <c r="T226" s="96">
        <f>P226*S226</f>
        <v>7141.5943565339712</v>
      </c>
      <c r="U226" s="96">
        <f>T226*N227</f>
        <v>20815.376944573403</v>
      </c>
      <c r="AD226" s="4"/>
      <c r="AE226" s="4"/>
      <c r="AM226" s="65" t="s">
        <v>90</v>
      </c>
      <c r="AN226" s="64" t="s">
        <v>94</v>
      </c>
      <c r="CD226" s="331"/>
      <c r="CE226" s="1" t="s">
        <v>17</v>
      </c>
      <c r="CF226" s="4">
        <f>Y221*$CF$227</f>
        <v>9.2172772353099859</v>
      </c>
      <c r="CG226" s="4">
        <f t="shared" si="111"/>
        <v>0.49840000000000007</v>
      </c>
      <c r="CH226" s="3">
        <f>MW_SIO2</f>
        <v>6.00843E-2</v>
      </c>
      <c r="CI226" s="4">
        <f t="shared" si="105"/>
        <v>153.40575217336286</v>
      </c>
      <c r="CJ226" s="3">
        <f>b_ch_SiO2</f>
        <v>1.5260000000000673</v>
      </c>
      <c r="CK226" s="4">
        <f t="shared" si="106"/>
        <v>0.59974600337640915</v>
      </c>
      <c r="CL226" s="4">
        <f t="shared" si="107"/>
        <v>-0.51124904110044445</v>
      </c>
      <c r="CM226" s="4">
        <f t="shared" si="108"/>
        <v>-1.1610307747437392</v>
      </c>
      <c r="CN226" s="4">
        <f t="shared" si="109"/>
        <v>0.36496922525632813</v>
      </c>
      <c r="CO226" s="4">
        <f>CN226*CK226</f>
        <v>0.2188888342028672</v>
      </c>
      <c r="CP226" s="4">
        <f t="shared" si="112"/>
        <v>55.988378520576518</v>
      </c>
      <c r="CR226" s="322" t="s">
        <v>442</v>
      </c>
      <c r="CS226" s="322"/>
      <c r="CT226" s="322"/>
      <c r="CU226" s="322"/>
      <c r="CV226" s="322"/>
      <c r="CW226" s="322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538</v>
      </c>
      <c r="AM227" s="50">
        <f>AD234</f>
        <v>7.5924566391801989</v>
      </c>
      <c r="AN227" s="48">
        <f>AN234</f>
        <v>569.94401045704944</v>
      </c>
      <c r="BG227" s="1"/>
      <c r="BH227" s="1"/>
      <c r="BI227" s="1"/>
      <c r="BJ227" s="1"/>
      <c r="BK227" s="1"/>
      <c r="BM227" s="4"/>
      <c r="BN227" s="1" t="s">
        <v>575</v>
      </c>
      <c r="BO227" s="1" t="s">
        <v>576</v>
      </c>
      <c r="BP227" s="1" t="s">
        <v>578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577</v>
      </c>
      <c r="BX227" s="1" t="s">
        <v>50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6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587</v>
      </c>
      <c r="CT228" s="13" t="s">
        <v>462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575</v>
      </c>
      <c r="AE229" s="1" t="s">
        <v>576</v>
      </c>
      <c r="AF229" s="1" t="s">
        <v>578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577</v>
      </c>
      <c r="AN229" s="1" t="s">
        <v>50</v>
      </c>
      <c r="BL229" s="315" t="s">
        <v>552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15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AB231" s="315" t="s">
        <v>538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AD231/AF231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15"/>
      <c r="BM231" s="240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AB232" s="315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 t="shared" ref="AG232" si="113">AD232/AF232</f>
        <v>33.518682651526412</v>
      </c>
      <c r="AH232" s="6">
        <f>b_ch_H2O</f>
        <v>9.5113440000000082</v>
      </c>
      <c r="AI232" s="1">
        <f t="shared" ref="AI232:AI233" si="114">AG232/$AG$234</f>
        <v>0.12743794326241134</v>
      </c>
      <c r="AJ232" s="1">
        <f t="shared" ref="AJ232:AJ233" si="115">LN(AI232)</f>
        <v>-2.0601257523805443</v>
      </c>
      <c r="AK232" s="1">
        <f>RT0*AJ232</f>
        <v>-4.6784819257704671</v>
      </c>
      <c r="AL232" s="1">
        <f t="shared" ref="AL232:AL233" si="116">AH232+AK232</f>
        <v>4.8328620742295412</v>
      </c>
      <c r="AM232" s="1">
        <f>AL232*AI232</f>
        <v>0.61589000281072381</v>
      </c>
      <c r="AN232" s="1">
        <f t="shared" ref="AN232:AN233" si="117">$AG$234*AM232</f>
        <v>161.99117016469765</v>
      </c>
      <c r="BL232" s="315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AB233" s="315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AD233/AF233</f>
        <v>194.52494610111935</v>
      </c>
      <c r="AH233" s="6">
        <f>MW_N2</f>
        <v>2.801348E-2</v>
      </c>
      <c r="AI233" s="1">
        <f t="shared" si="114"/>
        <v>0.73958333333333326</v>
      </c>
      <c r="AJ233" s="1">
        <f t="shared" si="115"/>
        <v>-0.30166831442652092</v>
      </c>
      <c r="AK233" s="1">
        <f>RT0*AJ233</f>
        <v>-0.68507942051171322</v>
      </c>
      <c r="AL233" s="1">
        <f t="shared" si="116"/>
        <v>-0.65706594051171319</v>
      </c>
      <c r="AM233" s="1">
        <f t="shared" ref="AM233" si="118">AL233*AI233</f>
        <v>-0.48595501850345452</v>
      </c>
      <c r="AN233" s="1">
        <f t="shared" si="117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545</v>
      </c>
      <c r="CO233" s="50">
        <f>CF243</f>
        <v>69.582675758133661</v>
      </c>
      <c r="CP233" s="48">
        <f>CP243</f>
        <v>5935408.0537775028</v>
      </c>
      <c r="CR233" s="328" t="s">
        <v>461</v>
      </c>
      <c r="CS233" s="328"/>
      <c r="CT233" s="328"/>
      <c r="CU233" s="328"/>
      <c r="CV233" s="328"/>
      <c r="DD233" s="3" t="s">
        <v>541</v>
      </c>
      <c r="DH233" s="50">
        <f>CY241</f>
        <v>69.582675758133661</v>
      </c>
      <c r="DI233" s="48">
        <f>DI241</f>
        <v>5944558.1059355522</v>
      </c>
      <c r="EH233" s="3" t="s">
        <v>541</v>
      </c>
      <c r="EM233" s="50">
        <f>ED241</f>
        <v>10.437401363720047</v>
      </c>
      <c r="EN233" s="48">
        <f>EN241</f>
        <v>891683.71589033271</v>
      </c>
      <c r="EP233" s="320" t="s">
        <v>424</v>
      </c>
      <c r="EQ233" s="321"/>
      <c r="ER233" s="321"/>
      <c r="ES233" s="321"/>
      <c r="ET233" s="321"/>
    </row>
    <row r="234" spans="2:150" ht="18" customHeight="1" thickBot="1" x14ac:dyDescent="0.3">
      <c r="T234" s="63" t="s">
        <v>1</v>
      </c>
      <c r="U234" s="58" t="s">
        <v>0</v>
      </c>
      <c r="AB234" s="315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28"/>
      <c r="CS234" s="328"/>
      <c r="CT234" s="328"/>
      <c r="CU234" s="328"/>
      <c r="CV234" s="328"/>
      <c r="EP234" s="321"/>
      <c r="EQ234" s="321"/>
      <c r="ER234" s="321"/>
      <c r="ES234" s="321"/>
      <c r="ET234" s="321"/>
    </row>
    <row r="235" spans="2:150" ht="18" x14ac:dyDescent="0.25">
      <c r="T235" s="65" t="s">
        <v>90</v>
      </c>
      <c r="U235" s="64" t="s">
        <v>94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575</v>
      </c>
      <c r="CG235" s="1" t="s">
        <v>576</v>
      </c>
      <c r="CH235" s="1" t="s">
        <v>578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577</v>
      </c>
      <c r="CP235" s="1" t="s">
        <v>50</v>
      </c>
      <c r="CR235" s="22" t="s">
        <v>434</v>
      </c>
      <c r="CS235" s="22" t="s">
        <v>487</v>
      </c>
      <c r="CT235" s="162" t="s">
        <v>338</v>
      </c>
      <c r="CU235" s="347" t="s">
        <v>345</v>
      </c>
      <c r="CV235" s="139" t="s">
        <v>318</v>
      </c>
      <c r="CX235" s="4"/>
      <c r="CY235" s="1" t="s">
        <v>575</v>
      </c>
      <c r="CZ235" s="1" t="s">
        <v>576</v>
      </c>
      <c r="DA235" s="1" t="s">
        <v>578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577</v>
      </c>
      <c r="DI235" s="1" t="s">
        <v>50</v>
      </c>
      <c r="EC235" s="4"/>
      <c r="ED235" s="1" t="s">
        <v>575</v>
      </c>
      <c r="EE235" s="1" t="s">
        <v>576</v>
      </c>
      <c r="EF235" s="1" t="s">
        <v>578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577</v>
      </c>
      <c r="EN235" s="1" t="s">
        <v>50</v>
      </c>
      <c r="EP235" s="321"/>
      <c r="EQ235" s="321"/>
      <c r="ER235" s="321"/>
      <c r="ES235" s="321"/>
      <c r="ET235" s="321"/>
    </row>
    <row r="236" spans="2:150" ht="19" thickBot="1" x14ac:dyDescent="0.3">
      <c r="P236" s="3" t="s">
        <v>558</v>
      </c>
      <c r="T236" s="50">
        <f>K242</f>
        <v>7.104790060854917</v>
      </c>
      <c r="U236" s="48">
        <f>U242</f>
        <v>9.9856594755010616E-2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4" t="s">
        <v>48</v>
      </c>
      <c r="CS236" s="9" t="s">
        <v>48</v>
      </c>
      <c r="CT236" s="1" t="s">
        <v>90</v>
      </c>
      <c r="CU236" s="348"/>
      <c r="CV236" s="137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CD237" s="315" t="s">
        <v>545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19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20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5">
        <f>0</f>
        <v>0</v>
      </c>
      <c r="CS237" s="100">
        <f>CP233+CW229-DI233</f>
        <v>40949.47438780684</v>
      </c>
      <c r="CT237" s="142">
        <f>DH233-CO233</f>
        <v>0</v>
      </c>
      <c r="CU237" s="140" t="s">
        <v>342</v>
      </c>
      <c r="CV237" s="137">
        <f>((DB238*(DH238-CO242)))/CW229</f>
        <v>0.32384219142951498</v>
      </c>
      <c r="CW237" s="318" t="s">
        <v>541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19" t="s">
        <v>541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13" t="s">
        <v>536</v>
      </c>
      <c r="F238" s="313"/>
      <c r="G238" s="313"/>
      <c r="H238" s="313"/>
      <c r="J238" s="4"/>
      <c r="K238" s="1" t="s">
        <v>575</v>
      </c>
      <c r="L238" s="1" t="s">
        <v>576</v>
      </c>
      <c r="M238" s="1" t="s">
        <v>578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577</v>
      </c>
      <c r="U238" s="1" t="s">
        <v>50</v>
      </c>
      <c r="CD238" s="315"/>
      <c r="CE238" s="4" t="s">
        <v>372</v>
      </c>
      <c r="CF238" s="3">
        <f t="shared" ref="CF238:CF242" si="121">$CF$243*CG238</f>
        <v>1.3916535151626732</v>
      </c>
      <c r="CG238" s="3">
        <v>0.02</v>
      </c>
      <c r="CH238" s="3">
        <f>MW_C2H4</f>
        <v>2.8053759999999997E-2</v>
      </c>
      <c r="CI238" s="3">
        <f t="shared" si="119"/>
        <v>49.60666645621383</v>
      </c>
      <c r="CJ238" s="3" cm="1">
        <f t="array" ref="CJ238">b_ch_C2H4</f>
        <v>1361.23</v>
      </c>
      <c r="CK238" s="3">
        <f t="shared" ref="CK238:CK242" si="122">CI238/$CI$243</f>
        <v>2.3174274526721371E-3</v>
      </c>
      <c r="CL238" s="3">
        <f t="shared" ref="CL238:CL242" si="123">LN(CK238)</f>
        <v>-6.0672975651470908</v>
      </c>
      <c r="CM238" s="3">
        <f t="shared" si="120"/>
        <v>-13.778645290954278</v>
      </c>
      <c r="CN238" s="3">
        <f t="shared" ref="CN238:CN242" si="124">CJ238+CM238</f>
        <v>1347.4513547090457</v>
      </c>
      <c r="CO238" s="3">
        <f t="shared" ref="CO238:CO242" si="125">CK238*CN238</f>
        <v>3.1226207605430041</v>
      </c>
      <c r="CP238" s="3">
        <f t="shared" ref="CP238:CP242" si="126">CO238*$CI$243</f>
        <v>66842.569919025103</v>
      </c>
      <c r="CR238" s="4"/>
      <c r="CS238" s="4"/>
      <c r="CU238" s="140" t="s">
        <v>343</v>
      </c>
      <c r="CV238" s="137">
        <f>DI233/(CP233+CW229)</f>
        <v>0.99315856277211589</v>
      </c>
      <c r="CW238" s="318"/>
      <c r="CX238" s="3" t="s">
        <v>65</v>
      </c>
      <c r="CY238" s="3">
        <f>CH4_out_COtreatment</f>
        <v>26.702429889316871</v>
      </c>
      <c r="CZ238" s="3">
        <f t="shared" ref="CZ238:CZ240" si="127">CY238/$CY$241</f>
        <v>0.38375112193347305</v>
      </c>
      <c r="DA238" s="3">
        <f>MW_CH4</f>
        <v>1.604276E-2</v>
      </c>
      <c r="DB238" s="3">
        <f t="shared" ref="DB238:DB240" si="128">CY238/DA238</f>
        <v>1664.4536157940947</v>
      </c>
      <c r="DC238" s="3">
        <f>b_ch_CH4</f>
        <v>831.8</v>
      </c>
      <c r="DD238" s="3">
        <f t="shared" ref="DD238:DD240" si="129">DB238/$DB$241</f>
        <v>7.8636235837663701E-2</v>
      </c>
      <c r="DE238" s="3">
        <f t="shared" ref="DE238:DE240" si="130">LN(DD238)</f>
        <v>-2.5429226700357286</v>
      </c>
      <c r="DF238" s="3">
        <f>RT0*DE238</f>
        <v>-5.7748988073406355</v>
      </c>
      <c r="DG238" s="3">
        <f t="shared" ref="DG238:DG240" si="131">DC238+DF238</f>
        <v>826.02510119265935</v>
      </c>
      <c r="DH238" s="3">
        <f t="shared" ref="DH238:DH240" si="132">DG238*DD238</f>
        <v>64.955504665215983</v>
      </c>
      <c r="DI238" s="3">
        <f t="shared" ref="DI238:DI240" si="133">DH238*$DB$241</f>
        <v>1374880.4664168048</v>
      </c>
      <c r="EB238" s="319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13"/>
      <c r="F239" s="313"/>
      <c r="G239" s="313"/>
      <c r="H239" s="313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CD239" s="315"/>
      <c r="CE239" s="3" t="s">
        <v>123</v>
      </c>
      <c r="CF239" s="3">
        <f t="shared" si="121"/>
        <v>3.1312204091160147</v>
      </c>
      <c r="CG239" s="3">
        <v>4.4999999999999998E-2</v>
      </c>
      <c r="CH239" s="3">
        <f>MW_CO</f>
        <v>2.8010399999999998E-2</v>
      </c>
      <c r="CI239" s="3">
        <f t="shared" si="119"/>
        <v>111.78777915045893</v>
      </c>
      <c r="CJ239" s="3">
        <f>b_ch_CO</f>
        <v>275.02296000000001</v>
      </c>
      <c r="CK239" s="3">
        <f t="shared" si="122"/>
        <v>5.2222833498636167E-3</v>
      </c>
      <c r="CL239" s="3">
        <f t="shared" si="123"/>
        <v>-5.254820549383771</v>
      </c>
      <c r="CM239" s="3">
        <f t="shared" si="120"/>
        <v>-11.933535093695568</v>
      </c>
      <c r="CN239" s="3">
        <f t="shared" si="124"/>
        <v>263.08942490630443</v>
      </c>
      <c r="CO239" s="3">
        <f>CK239*CN239</f>
        <v>1.3739275232133878</v>
      </c>
      <c r="CP239" s="3">
        <f t="shared" si="126"/>
        <v>29410.182528247205</v>
      </c>
      <c r="CR239" s="4"/>
      <c r="CS239" s="4"/>
      <c r="CU239" s="141" t="s">
        <v>409</v>
      </c>
      <c r="CV239" s="138">
        <f>DI238/(CP233+CW229)</f>
        <v>0.22970156631938118</v>
      </c>
      <c r="CW239" s="318"/>
      <c r="CX239" s="240" t="s">
        <v>24</v>
      </c>
      <c r="CY239" s="3">
        <f>O2_out_COtreatment</f>
        <v>2.4968312226300351</v>
      </c>
      <c r="CZ239" s="3">
        <f t="shared" si="127"/>
        <v>3.5882943497443406E-2</v>
      </c>
      <c r="DA239" s="3">
        <f>MW_O2</f>
        <v>3.1998800000000001E-2</v>
      </c>
      <c r="DB239" s="3">
        <f t="shared" si="128"/>
        <v>78.028901791005751</v>
      </c>
      <c r="DC239" s="3">
        <f>b_ch_O2</f>
        <v>4</v>
      </c>
      <c r="DD239" s="3">
        <f t="shared" si="129"/>
        <v>3.6864344341996274E-3</v>
      </c>
      <c r="DE239" s="3">
        <f t="shared" si="130"/>
        <v>-5.6030955660719179</v>
      </c>
      <c r="DF239" s="3">
        <f>RT0*DE239</f>
        <v>-12.724456894896333</v>
      </c>
      <c r="DG239" s="3">
        <f t="shared" si="131"/>
        <v>-8.724456894896333</v>
      </c>
      <c r="DH239" s="3">
        <f t="shared" si="132"/>
        <v>-3.2162138317036203E-2</v>
      </c>
      <c r="DI239" s="3">
        <f t="shared" si="133"/>
        <v>-680.75979023172897</v>
      </c>
      <c r="EB239" s="319"/>
      <c r="EC239" s="240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15" t="s">
        <v>542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L240/M240</f>
        <v>9.2888021339870258E-2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4.2424351869404825E-2</v>
      </c>
      <c r="BW240" s="63" t="s">
        <v>1</v>
      </c>
      <c r="BX240" s="58" t="s">
        <v>0</v>
      </c>
      <c r="CD240" s="315"/>
      <c r="CE240" s="7" t="s">
        <v>64</v>
      </c>
      <c r="CF240" s="3">
        <f t="shared" si="121"/>
        <v>0.97415746061387132</v>
      </c>
      <c r="CG240" s="3">
        <v>1.4E-2</v>
      </c>
      <c r="CH240" s="3">
        <f>MW_CO2</f>
        <v>4.4009800000000002E-2</v>
      </c>
      <c r="CI240" s="3">
        <f t="shared" si="119"/>
        <v>22.135012215776289</v>
      </c>
      <c r="CJ240" s="3">
        <f>b_ch_CO2</f>
        <v>19.900000000000034</v>
      </c>
      <c r="CK240" s="3">
        <f t="shared" si="122"/>
        <v>1.0340603116186133E-3</v>
      </c>
      <c r="CL240" s="3">
        <f t="shared" si="123"/>
        <v>-6.8742621761456677</v>
      </c>
      <c r="CM240" s="3">
        <f t="shared" si="120"/>
        <v>-15.611236987325567</v>
      </c>
      <c r="CN240" s="3">
        <f t="shared" si="124"/>
        <v>4.2887630126744671</v>
      </c>
      <c r="CO240" s="3">
        <f t="shared" si="125"/>
        <v>4.4348396173445421E-3</v>
      </c>
      <c r="CP240" s="3">
        <f t="shared" si="126"/>
        <v>94.931821676118844</v>
      </c>
      <c r="CW240" s="318"/>
      <c r="CX240" s="7" t="s">
        <v>67</v>
      </c>
      <c r="CY240" s="3">
        <f>N2_out_COtreatment</f>
        <v>1.3220708394045395</v>
      </c>
      <c r="CZ240" s="3">
        <f t="shared" si="127"/>
        <v>1.9E-2</v>
      </c>
      <c r="DA240" s="3">
        <f>MW_N2</f>
        <v>2.801348E-2</v>
      </c>
      <c r="DB240" s="3">
        <f t="shared" si="128"/>
        <v>47.194095107231931</v>
      </c>
      <c r="DC240" s="3">
        <f>b_ch_N2</f>
        <v>0.7</v>
      </c>
      <c r="DD240" s="3">
        <f t="shared" si="129"/>
        <v>2.229660206678009E-3</v>
      </c>
      <c r="DE240" s="3">
        <f t="shared" si="130"/>
        <v>-6.1059060788071511</v>
      </c>
      <c r="DF240" s="3">
        <f>RT0*DE240</f>
        <v>-13.866324032473203</v>
      </c>
      <c r="DG240" s="3">
        <f t="shared" si="131"/>
        <v>-13.166324032473204</v>
      </c>
      <c r="DH240" s="3">
        <f t="shared" si="132"/>
        <v>-2.9356428763433841E-2</v>
      </c>
      <c r="DI240" s="3">
        <f t="shared" si="133"/>
        <v>-621.37274860117384</v>
      </c>
      <c r="EB240" s="319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15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L241/M241</f>
        <v>0.3492589602379122</v>
      </c>
      <c r="O241" s="28">
        <f>b_ch_N2</f>
        <v>0.7</v>
      </c>
      <c r="P241" s="28">
        <f>N241/N242</f>
        <v>0.7899159663865547</v>
      </c>
      <c r="Q241" s="2">
        <f>LN(P241)</f>
        <v>-0.23582871084152537</v>
      </c>
      <c r="R241" s="2">
        <f>RT0*Q241</f>
        <v>-0.53555971521393908</v>
      </c>
      <c r="S241" s="2">
        <f>O241+R241</f>
        <v>0.16444028478606088</v>
      </c>
      <c r="T241" s="2">
        <f>S241*P241</f>
        <v>0.12989400646966154</v>
      </c>
      <c r="U241" s="2">
        <f>N242*T241</f>
        <v>5.7432242885605791E-2</v>
      </c>
      <c r="BW241" s="65" t="s">
        <v>90</v>
      </c>
      <c r="BX241" s="64" t="s">
        <v>94</v>
      </c>
      <c r="CD241" s="315"/>
      <c r="CE241" s="7" t="s">
        <v>67</v>
      </c>
      <c r="CF241" s="3">
        <f t="shared" si="121"/>
        <v>1.3220708394045395</v>
      </c>
      <c r="CG241" s="3">
        <v>1.9E-2</v>
      </c>
      <c r="CH241" s="3">
        <f>MW_N2</f>
        <v>2.801348E-2</v>
      </c>
      <c r="CI241" s="3">
        <f t="shared" si="119"/>
        <v>47.194095107231931</v>
      </c>
      <c r="CJ241" s="3">
        <f>b_ch_N2</f>
        <v>0.7</v>
      </c>
      <c r="CK241" s="3">
        <f t="shared" si="122"/>
        <v>2.2047216517170204E-3</v>
      </c>
      <c r="CL241" s="3">
        <f t="shared" si="123"/>
        <v>-6.1171540131006124</v>
      </c>
      <c r="CM241" s="3">
        <f t="shared" si="120"/>
        <v>-13.891867743692485</v>
      </c>
      <c r="CN241" s="3">
        <f t="shared" si="124"/>
        <v>-13.191867743692486</v>
      </c>
      <c r="CO241" s="3">
        <f t="shared" si="125"/>
        <v>-2.9084396441106181E-2</v>
      </c>
      <c r="CP241" s="3">
        <f t="shared" si="126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0.44214698157778243</v>
      </c>
      <c r="T242" s="3">
        <f>SUM(T240:T241)</f>
        <v>0.22584479577057537</v>
      </c>
      <c r="U242" s="3">
        <f>SUM(U240:U241)</f>
        <v>9.9856594755010616E-2</v>
      </c>
      <c r="BS242" s="3" t="s">
        <v>542</v>
      </c>
      <c r="BW242" s="50">
        <f>BN248</f>
        <v>556.96479760636817</v>
      </c>
      <c r="BX242" s="48">
        <f>BX248</f>
        <v>7.8280438423951519</v>
      </c>
      <c r="CD242" s="315"/>
      <c r="CE242" s="3" t="s">
        <v>65</v>
      </c>
      <c r="CF242" s="3">
        <f t="shared" si="121"/>
        <v>22.962283000184108</v>
      </c>
      <c r="CG242" s="3">
        <v>0.33</v>
      </c>
      <c r="CH242" s="3">
        <f>MW_CH4</f>
        <v>1.604276E-2</v>
      </c>
      <c r="CI242" s="3">
        <f t="shared" si="119"/>
        <v>1431.3174915154318</v>
      </c>
      <c r="CJ242" s="3">
        <f>b_ch_CH4</f>
        <v>831.8</v>
      </c>
      <c r="CK242" s="3">
        <f t="shared" si="122"/>
        <v>6.6865497830930945E-2</v>
      </c>
      <c r="CL242" s="3">
        <f t="shared" si="123"/>
        <v>-2.7050721723709388</v>
      </c>
      <c r="CM242" s="3">
        <f t="shared" si="120"/>
        <v>-6.1431353167242753</v>
      </c>
      <c r="CN242" s="3">
        <f t="shared" si="124"/>
        <v>825.65686468327567</v>
      </c>
      <c r="CO242" s="3">
        <f t="shared" si="125"/>
        <v>55.207957294572815</v>
      </c>
      <c r="CP242" s="3">
        <f t="shared" si="126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399" t="s">
        <v>605</v>
      </c>
    </row>
    <row r="244" spans="9:144" ht="18" x14ac:dyDescent="0.25">
      <c r="BH244" s="313" t="s">
        <v>536</v>
      </c>
      <c r="BI244" s="313"/>
      <c r="BJ244" s="313"/>
      <c r="BK244" s="313"/>
      <c r="BM244" s="4"/>
      <c r="BN244" s="1" t="s">
        <v>575</v>
      </c>
      <c r="BO244" s="1" t="s">
        <v>576</v>
      </c>
      <c r="BP244" s="1" t="s">
        <v>578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577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608</v>
      </c>
      <c r="CT244" s="1" t="s">
        <v>608</v>
      </c>
    </row>
    <row r="245" spans="9:144" ht="18" x14ac:dyDescent="0.25">
      <c r="BH245" s="313"/>
      <c r="BI245" s="313"/>
      <c r="BJ245" s="313"/>
      <c r="BK245" s="313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607</v>
      </c>
      <c r="CT245" s="3" t="s">
        <v>607</v>
      </c>
    </row>
    <row r="246" spans="9:144" ht="18" customHeight="1" x14ac:dyDescent="0.25">
      <c r="BL246" s="331" t="s">
        <v>537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BO246/BP246</f>
        <v>7.2817574569390651</v>
      </c>
      <c r="BR246" s="3">
        <f>b_ch_O2</f>
        <v>4</v>
      </c>
      <c r="BS246" s="3">
        <f>BQ246/BQ248</f>
        <v>0.21008403361344538</v>
      </c>
      <c r="BT246" s="1">
        <f>LN(BS246)</f>
        <v>-1.5602476682433286</v>
      </c>
      <c r="BU246" s="1">
        <f>RT0*BT246</f>
        <v>-3.5432742429276503</v>
      </c>
      <c r="BV246" s="1">
        <f>BR246+BU246</f>
        <v>0.45672575707234975</v>
      </c>
      <c r="BW246" s="1">
        <f>BV246*BS246</f>
        <v>9.5950789300913816E-2</v>
      </c>
      <c r="BX246" s="1">
        <f>BQ248*BW246</f>
        <v>3.3257661873377229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31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BO247/BP247</f>
        <v>27.379408038090887</v>
      </c>
      <c r="BR247" s="28">
        <f>b_ch_N2</f>
        <v>0.7</v>
      </c>
      <c r="BS247" s="28">
        <f>BQ247/BQ248</f>
        <v>0.7899159663865547</v>
      </c>
      <c r="BT247" s="2">
        <f>LN(BS247)</f>
        <v>-0.23582871084152537</v>
      </c>
      <c r="BU247" s="2">
        <f>RT0*BT247</f>
        <v>-0.53555971521393908</v>
      </c>
      <c r="BV247" s="2">
        <f>BR247+BU247</f>
        <v>0.16444028478606088</v>
      </c>
      <c r="BW247" s="2">
        <f>BV247*BS247</f>
        <v>0.12989400646966154</v>
      </c>
      <c r="BX247" s="2">
        <f>BQ248*BW247</f>
        <v>4.5022776550574291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34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34.661165495029948</v>
      </c>
      <c r="BW248" s="3">
        <f>SUM(BW246:BW247)</f>
        <v>0.22584479577057537</v>
      </c>
      <c r="BX248" s="3">
        <f>SUM(BX246:BX247)</f>
        <v>7.8280438423951519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34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34"/>
        <v>0</v>
      </c>
    </row>
    <row r="250" spans="9:144" ht="16" thickBot="1" x14ac:dyDescent="0.25">
      <c r="CK250" s="3" t="s">
        <v>546</v>
      </c>
      <c r="CO250" s="50">
        <f>CF257</f>
        <v>584.3657277440451</v>
      </c>
      <c r="CP250" s="48">
        <f>CP257</f>
        <v>50611.612737094918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575</v>
      </c>
      <c r="CG252" s="1" t="s">
        <v>576</v>
      </c>
      <c r="CH252" s="1" t="s">
        <v>578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577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485</v>
      </c>
      <c r="BW254" s="50">
        <f>BO259</f>
        <v>16.963528773956838</v>
      </c>
      <c r="BX254" s="48">
        <f>BX259</f>
        <v>879540.87913658854</v>
      </c>
      <c r="CD254" s="315" t="s">
        <v>546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0.24998230547780304</v>
      </c>
      <c r="CL254" s="17">
        <f>LN(CK254)</f>
        <v>-1.3863651417135656</v>
      </c>
      <c r="CM254" s="17">
        <f>RT0*CL254</f>
        <v>-3.1483923981486281</v>
      </c>
      <c r="CN254" s="17">
        <f>CM254+CJ254</f>
        <v>6.3629516018513801</v>
      </c>
      <c r="CO254" s="17">
        <f>CK254*CN254</f>
        <v>1.5906253110744879</v>
      </c>
      <c r="CP254" s="17">
        <f>CO254*$CI$257</f>
        <v>35127.618579807429</v>
      </c>
    </row>
    <row r="255" spans="9:144" ht="18" x14ac:dyDescent="0.25">
      <c r="BI255" s="3" t="s">
        <v>471</v>
      </c>
      <c r="BL255" s="4"/>
      <c r="CD255" s="315"/>
      <c r="CE255" s="250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35">CI255/$CI$257</f>
        <v>5.9185538428693764E-2</v>
      </c>
      <c r="CL255" s="3">
        <f t="shared" ref="CL255:CL256" si="136">LN(CK255)</f>
        <v>-2.8270780502332942</v>
      </c>
      <c r="CM255" s="3">
        <f>RT0*CL255</f>
        <v>-6.4202068953680582</v>
      </c>
      <c r="CN255" s="3">
        <f t="shared" ref="CN255:CN256" si="137">CM255+CJ255</f>
        <v>13.479793104631977</v>
      </c>
      <c r="CO255" s="3">
        <f t="shared" ref="CO255:CO256" si="138">CK255*CN255</f>
        <v>0.79780881280503713</v>
      </c>
      <c r="CP255" s="3">
        <f t="shared" ref="CP255:CP256" si="139">CO255*$CI$257</f>
        <v>17618.934818089241</v>
      </c>
    </row>
    <row r="256" spans="9:144" ht="18" x14ac:dyDescent="0.25">
      <c r="BF256" s="313" t="s">
        <v>484</v>
      </c>
      <c r="BG256" s="313"/>
      <c r="BH256" s="313"/>
      <c r="BI256" s="313"/>
      <c r="BJ256" s="313"/>
      <c r="BK256" s="313"/>
      <c r="BL256" s="313"/>
      <c r="BM256" s="1"/>
      <c r="BN256" s="3" t="s">
        <v>581</v>
      </c>
      <c r="BO256" s="1" t="s">
        <v>575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577</v>
      </c>
      <c r="BX256" s="1" t="s">
        <v>50</v>
      </c>
      <c r="CD256" s="315"/>
      <c r="CE256" s="7" t="s">
        <v>67</v>
      </c>
      <c r="CF256" s="3">
        <f>N2_out_coke_oven+N2_for_coke_oven_comb</f>
        <v>427.3861328682334</v>
      </c>
      <c r="CG256" s="3">
        <f>CF256/CF257</f>
        <v>0.73136755387446428</v>
      </c>
      <c r="CH256" s="3">
        <f>MW_N2</f>
        <v>2.801348E-2</v>
      </c>
      <c r="CI256" s="3">
        <f>CF256/CH256</f>
        <v>15256.445570783544</v>
      </c>
      <c r="CJ256" s="3">
        <f>b_ch_N2</f>
        <v>0.7</v>
      </c>
      <c r="CK256" s="3">
        <f t="shared" si="135"/>
        <v>0.69083215609350324</v>
      </c>
      <c r="CL256" s="3">
        <f t="shared" si="136"/>
        <v>-0.36985838472885435</v>
      </c>
      <c r="CM256" s="3">
        <f>RT0*CL256</f>
        <v>-0.8399369630951401</v>
      </c>
      <c r="CN256" s="3">
        <f t="shared" si="137"/>
        <v>-0.13993696309514014</v>
      </c>
      <c r="CO256" s="3">
        <f t="shared" si="138"/>
        <v>-9.6672953932192662E-2</v>
      </c>
      <c r="CP256" s="3">
        <f t="shared" si="139"/>
        <v>-2134.9406608017512</v>
      </c>
    </row>
    <row r="257" spans="50:94" ht="18" x14ac:dyDescent="0.25">
      <c r="AX257" s="16"/>
      <c r="BF257" s="314"/>
      <c r="BG257" s="314"/>
      <c r="BH257" s="314"/>
      <c r="BI257" s="314"/>
      <c r="BJ257" s="314"/>
      <c r="BK257" s="314"/>
      <c r="BL257" s="314"/>
      <c r="BM257" s="1"/>
      <c r="BN257" s="3" t="s">
        <v>580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22084.156674256785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2.2917611699473324</v>
      </c>
      <c r="CP257" s="17">
        <f>SUM(CP254:CP256)</f>
        <v>50611.612737094918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6" t="s">
        <v>323</v>
      </c>
      <c r="BL258" s="13" t="s">
        <v>317</v>
      </c>
      <c r="BM258" s="96" t="s">
        <v>65</v>
      </c>
      <c r="BN258" s="96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468</v>
      </c>
      <c r="BH259" s="13" t="s">
        <v>469</v>
      </c>
      <c r="BI259" s="13" t="s">
        <v>470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19" priority="9" operator="notEqual">
      <formula>0</formula>
    </cfRule>
  </conditionalFormatting>
  <conditionalFormatting sqref="X130">
    <cfRule type="cellIs" dxfId="18" priority="10" operator="notEqual">
      <formula>0</formula>
    </cfRule>
  </conditionalFormatting>
  <conditionalFormatting sqref="Y210">
    <cfRule type="cellIs" dxfId="17" priority="8" operator="notEqual">
      <formula>0</formula>
    </cfRule>
  </conditionalFormatting>
  <conditionalFormatting sqref="AP46">
    <cfRule type="cellIs" dxfId="16" priority="19" operator="notEqual">
      <formula>0</formula>
    </cfRule>
  </conditionalFormatting>
  <conditionalFormatting sqref="AQ130">
    <cfRule type="cellIs" dxfId="15" priority="17" operator="notEqual">
      <formula>0</formula>
    </cfRule>
  </conditionalFormatting>
  <conditionalFormatting sqref="AQ210">
    <cfRule type="cellIs" dxfId="14" priority="14" operator="notEqual">
      <formula>0</formula>
    </cfRule>
  </conditionalFormatting>
  <conditionalFormatting sqref="AU210">
    <cfRule type="expression" dxfId="13" priority="6">
      <formula>ifdigit(subscript)</formula>
    </cfRule>
  </conditionalFormatting>
  <conditionalFormatting sqref="BH46">
    <cfRule type="cellIs" dxfId="12" priority="18" operator="notEqual">
      <formula>0</formula>
    </cfRule>
  </conditionalFormatting>
  <conditionalFormatting sqref="BI130">
    <cfRule type="cellIs" dxfId="11" priority="16" operator="notEqual">
      <formula>0</formula>
    </cfRule>
  </conditionalFormatting>
  <conditionalFormatting sqref="BI210">
    <cfRule type="cellIs" dxfId="10" priority="2" operator="notEqual">
      <formula>0</formula>
    </cfRule>
  </conditionalFormatting>
  <conditionalFormatting sqref="BM210">
    <cfRule type="expression" dxfId="9" priority="1">
      <formula>ifdigit(subscript)</formula>
    </cfRule>
  </conditionalFormatting>
  <conditionalFormatting sqref="CA130">
    <cfRule type="cellIs" dxfId="8" priority="13" operator="notEqual">
      <formula>0</formula>
    </cfRule>
  </conditionalFormatting>
  <conditionalFormatting sqref="CA210">
    <cfRule type="cellIs" dxfId="7" priority="15" operator="notEqual">
      <formula>0</formula>
    </cfRule>
  </conditionalFormatting>
  <conditionalFormatting sqref="CC58:CD58">
    <cfRule type="cellIs" dxfId="6" priority="27" operator="notEqual">
      <formula>0</formula>
    </cfRule>
  </conditionalFormatting>
  <conditionalFormatting sqref="CT237">
    <cfRule type="cellIs" dxfId="5" priority="3" operator="notEqual">
      <formula>0</formula>
    </cfRule>
  </conditionalFormatting>
  <conditionalFormatting sqref="DQ131">
    <cfRule type="cellIs" dxfId="4" priority="12" operator="notEqual">
      <formula>0</formula>
    </cfRule>
  </conditionalFormatting>
  <conditionalFormatting sqref="EK131">
    <cfRule type="cellIs" dxfId="3" priority="1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6" zoomScale="171" workbookViewId="0">
      <selection activeCell="I30" sqref="I30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2.1640625" bestFit="1" customWidth="1"/>
  </cols>
  <sheetData>
    <row r="4" spans="4:9" ht="16" thickBot="1" x14ac:dyDescent="0.25"/>
    <row r="5" spans="4:9" ht="19" x14ac:dyDescent="0.25">
      <c r="D5" s="215"/>
      <c r="E5" s="216" t="s">
        <v>265</v>
      </c>
      <c r="F5" s="219" t="s">
        <v>236</v>
      </c>
      <c r="G5" s="222" t="s">
        <v>317</v>
      </c>
      <c r="H5" s="219" t="s">
        <v>236</v>
      </c>
      <c r="I5" s="222" t="s">
        <v>317</v>
      </c>
    </row>
    <row r="6" spans="4:9" ht="20" thickBot="1" x14ac:dyDescent="0.3">
      <c r="D6" s="215"/>
      <c r="E6" s="274" t="s">
        <v>99</v>
      </c>
      <c r="F6" s="275" t="s">
        <v>48</v>
      </c>
      <c r="G6" s="276" t="s">
        <v>48</v>
      </c>
      <c r="H6" s="275" t="s">
        <v>436</v>
      </c>
      <c r="I6" s="276" t="s">
        <v>436</v>
      </c>
    </row>
    <row r="7" spans="4:9" ht="19" x14ac:dyDescent="0.25">
      <c r="D7" s="349" t="s">
        <v>435</v>
      </c>
      <c r="E7" s="218" t="s">
        <v>589</v>
      </c>
      <c r="F7" s="221">
        <f>'Ore-&gt;PI'!F72</f>
        <v>88160.656904773379</v>
      </c>
      <c r="G7" s="277">
        <f>1.06*F7</f>
        <v>93450.29631905978</v>
      </c>
      <c r="H7" s="278">
        <f>F7/10000000</f>
        <v>8.8160656904773382E-3</v>
      </c>
      <c r="I7" s="279">
        <f>G7/10000000</f>
        <v>9.3450296319059784E-3</v>
      </c>
    </row>
    <row r="8" spans="4:9" ht="20" thickBot="1" x14ac:dyDescent="0.3">
      <c r="D8" s="350"/>
      <c r="E8" s="218" t="s">
        <v>437</v>
      </c>
      <c r="F8" s="221">
        <f>'Ore-&gt;PI'!$AQ$28+'Ore-&gt;PI'!$BI$35</f>
        <v>622271.50143934821</v>
      </c>
      <c r="G8" s="277">
        <f>F8</f>
        <v>622271.50143934821</v>
      </c>
      <c r="H8" s="278">
        <f t="shared" ref="H8:H18" si="0">F8/10000000</f>
        <v>6.2227150143934824E-2</v>
      </c>
      <c r="I8" s="279">
        <f t="shared" ref="I8:I18" si="1">G8/10000000</f>
        <v>6.2227150143934824E-2</v>
      </c>
    </row>
    <row r="9" spans="4:9" ht="19" x14ac:dyDescent="0.25">
      <c r="D9" s="351" t="s">
        <v>20</v>
      </c>
      <c r="E9" s="218" t="s">
        <v>589</v>
      </c>
      <c r="F9" s="221">
        <f>'Ore-&gt;PI'!K144</f>
        <v>241.59146310558401</v>
      </c>
      <c r="G9" s="277">
        <f>F9*1.06</f>
        <v>256.08695089191906</v>
      </c>
      <c r="H9" s="278">
        <f t="shared" si="0"/>
        <v>2.4159146310558402E-5</v>
      </c>
      <c r="I9" s="279">
        <f t="shared" si="1"/>
        <v>2.5608695089191906E-5</v>
      </c>
    </row>
    <row r="10" spans="4:9" ht="19" x14ac:dyDescent="0.25">
      <c r="D10" s="352"/>
      <c r="E10" s="218" t="s">
        <v>590</v>
      </c>
      <c r="F10" s="221">
        <f>'Ore-&gt;PI'!K155</f>
        <v>22.443944839719084</v>
      </c>
      <c r="G10" s="277">
        <f>F10*1.04</f>
        <v>23.341702633307847</v>
      </c>
      <c r="H10" s="278">
        <f t="shared" si="0"/>
        <v>2.2443944839719085E-6</v>
      </c>
      <c r="I10" s="279">
        <f t="shared" si="1"/>
        <v>2.3341702633307848E-6</v>
      </c>
    </row>
    <row r="11" spans="4:9" ht="19" x14ac:dyDescent="0.25">
      <c r="D11" s="352"/>
      <c r="E11" s="218" t="s">
        <v>266</v>
      </c>
      <c r="F11" s="221">
        <f>'Ore-&gt;PI'!AQ113+'Ore-&gt;PI'!BH116</f>
        <v>2859.5637429090343</v>
      </c>
      <c r="G11" s="277">
        <f>F11</f>
        <v>2859.5637429090343</v>
      </c>
      <c r="H11" s="278">
        <f t="shared" si="0"/>
        <v>2.8595637429090342E-4</v>
      </c>
      <c r="I11" s="279">
        <f t="shared" si="1"/>
        <v>2.8595637429090342E-4</v>
      </c>
    </row>
    <row r="12" spans="4:9" ht="20" thickBot="1" x14ac:dyDescent="0.3">
      <c r="D12" s="353"/>
      <c r="E12" s="218" t="s">
        <v>438</v>
      </c>
      <c r="F12" s="221">
        <f>'Ore-&gt;PI'!BN156</f>
        <v>1039915823.7694199</v>
      </c>
      <c r="G12" s="277">
        <f>F12*1.04</f>
        <v>1081512456.7201967</v>
      </c>
      <c r="H12" s="278">
        <f t="shared" si="0"/>
        <v>103.99158237694199</v>
      </c>
      <c r="I12" s="279">
        <f t="shared" si="1"/>
        <v>108.15124567201967</v>
      </c>
    </row>
    <row r="13" spans="4:9" ht="19" x14ac:dyDescent="0.25">
      <c r="D13" s="354" t="s">
        <v>354</v>
      </c>
      <c r="E13" s="218" t="s">
        <v>589</v>
      </c>
      <c r="F13" s="221">
        <f>'Ore-&gt;PI'!K226</f>
        <v>20969.662867987096</v>
      </c>
      <c r="G13" s="277">
        <f>F13*1.06</f>
        <v>22227.842640066323</v>
      </c>
      <c r="H13" s="278">
        <f t="shared" si="0"/>
        <v>2.0969662867987094E-3</v>
      </c>
      <c r="I13" s="279">
        <f t="shared" si="1"/>
        <v>2.2227842640066323E-3</v>
      </c>
    </row>
    <row r="14" spans="4:9" ht="19" x14ac:dyDescent="0.25">
      <c r="D14" s="355"/>
      <c r="E14" s="218" t="s">
        <v>438</v>
      </c>
      <c r="F14" s="221">
        <f>'Ore-&gt;PI'!BN258</f>
        <v>848176.43869784183</v>
      </c>
      <c r="G14" s="277">
        <f>F14*1.04</f>
        <v>882103.49624575558</v>
      </c>
      <c r="H14" s="278">
        <f t="shared" si="0"/>
        <v>8.4817643869784187E-2</v>
      </c>
      <c r="I14" s="279">
        <f t="shared" si="1"/>
        <v>8.8210349624575551E-2</v>
      </c>
    </row>
    <row r="15" spans="4:9" ht="20" thickBot="1" x14ac:dyDescent="0.3">
      <c r="D15" s="356"/>
      <c r="E15" s="218" t="s">
        <v>437</v>
      </c>
      <c r="F15" s="221">
        <f>'Ore-&gt;PI'!Z195+'Ore-&gt;PI'!AQ190+'Ore-&gt;PI'!BH195+'Ore-&gt;PI'!CU229</f>
        <v>316406.54544878984</v>
      </c>
      <c r="G15" s="277">
        <f>F15</f>
        <v>316406.54544878984</v>
      </c>
      <c r="H15" s="278">
        <f t="shared" si="0"/>
        <v>3.1640654544878986E-2</v>
      </c>
      <c r="I15" s="279">
        <f t="shared" si="1"/>
        <v>3.1640654544878986E-2</v>
      </c>
    </row>
    <row r="16" spans="4:9" ht="19" x14ac:dyDescent="0.25">
      <c r="D16" s="357" t="s">
        <v>353</v>
      </c>
      <c r="E16" s="218" t="s">
        <v>437</v>
      </c>
      <c r="F16" s="221">
        <f>'Ore-&gt;PI'!EM117</f>
        <v>317844.87395625591</v>
      </c>
      <c r="G16" s="277">
        <f>F16</f>
        <v>317844.87395625591</v>
      </c>
      <c r="H16" s="278">
        <f t="shared" si="0"/>
        <v>3.1784487395625588E-2</v>
      </c>
      <c r="I16" s="279">
        <f t="shared" si="1"/>
        <v>3.1784487395625588E-2</v>
      </c>
    </row>
    <row r="17" spans="4:9" ht="19" x14ac:dyDescent="0.25">
      <c r="D17" s="357"/>
      <c r="E17" s="218" t="s">
        <v>438</v>
      </c>
      <c r="F17" s="221">
        <f>'Ore-&gt;PI'!DW118</f>
        <v>2238733.4600397157</v>
      </c>
      <c r="G17" s="277">
        <f>F17*1.04</f>
        <v>2328282.7984413044</v>
      </c>
      <c r="H17" s="278">
        <f t="shared" si="0"/>
        <v>0.22387334600397157</v>
      </c>
      <c r="I17" s="279">
        <f t="shared" si="1"/>
        <v>0.23282827984413043</v>
      </c>
    </row>
    <row r="18" spans="4:9" ht="20" thickBot="1" x14ac:dyDescent="0.3">
      <c r="D18" s="358"/>
      <c r="E18" s="217" t="s">
        <v>574</v>
      </c>
      <c r="F18" s="220">
        <f>'Ore-&gt;PI'!DW105</f>
        <v>193470.79284293839</v>
      </c>
      <c r="G18" s="280">
        <f>1.06*F18</f>
        <v>205079.04041351471</v>
      </c>
      <c r="H18" s="281">
        <f t="shared" si="0"/>
        <v>1.9347079284293838E-2</v>
      </c>
      <c r="I18" s="282">
        <f t="shared" si="1"/>
        <v>2.0507904041351471E-2</v>
      </c>
    </row>
    <row r="23" spans="4:9" x14ac:dyDescent="0.2">
      <c r="E23" s="205" t="s">
        <v>595</v>
      </c>
      <c r="F23" s="3" t="s">
        <v>591</v>
      </c>
      <c r="G23" s="3" t="s">
        <v>592</v>
      </c>
      <c r="H23" s="3" t="s">
        <v>593</v>
      </c>
      <c r="I23" s="3" t="s">
        <v>594</v>
      </c>
    </row>
    <row r="24" spans="4:9" x14ac:dyDescent="0.2">
      <c r="E24" s="205" t="s">
        <v>589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1.0937191123586605E-2</v>
      </c>
      <c r="I24">
        <f t="shared" si="2"/>
        <v>1.1593422591001804E-2</v>
      </c>
    </row>
    <row r="25" spans="4:9" x14ac:dyDescent="0.2">
      <c r="E25" s="205" t="s">
        <v>437</v>
      </c>
      <c r="F25">
        <f>F8+F15+F16</f>
        <v>1256522.920844394</v>
      </c>
      <c r="G25">
        <f>G8+G15+G16</f>
        <v>1256522.920844394</v>
      </c>
      <c r="H25">
        <f>H8+H15+H16</f>
        <v>0.1256522920844394</v>
      </c>
      <c r="I25">
        <f>I8+I15+I16</f>
        <v>0.1256522920844394</v>
      </c>
    </row>
    <row r="26" spans="4:9" x14ac:dyDescent="0.2">
      <c r="E26" s="205" t="s">
        <v>438</v>
      </c>
      <c r="F26">
        <f>F12+F17+F14</f>
        <v>1043002733.6681575</v>
      </c>
      <c r="G26">
        <f>G12+G17+G14</f>
        <v>1084722843.014884</v>
      </c>
      <c r="H26">
        <f>H12+H17+H14</f>
        <v>104.30027336681574</v>
      </c>
      <c r="I26">
        <f>I12+I17+I14</f>
        <v>108.47228430148837</v>
      </c>
    </row>
    <row r="27" spans="4:9" x14ac:dyDescent="0.2">
      <c r="E27" s="205" t="s">
        <v>590</v>
      </c>
      <c r="F27">
        <f>F10</f>
        <v>22.443944839719084</v>
      </c>
      <c r="G27">
        <f>G10</f>
        <v>23.341702633307847</v>
      </c>
      <c r="H27">
        <f>H10</f>
        <v>2.2443944839719085E-6</v>
      </c>
      <c r="I27">
        <f>I10</f>
        <v>2.3341702633307848E-6</v>
      </c>
    </row>
    <row r="28" spans="4:9" x14ac:dyDescent="0.2">
      <c r="E28" s="205" t="s">
        <v>574</v>
      </c>
      <c r="F28">
        <f>F18</f>
        <v>193470.79284293839</v>
      </c>
      <c r="G28">
        <f>G18</f>
        <v>205079.04041351471</v>
      </c>
      <c r="H28">
        <f>H18</f>
        <v>1.9347079284293838E-2</v>
      </c>
      <c r="I28">
        <f>I18</f>
        <v>2.0507904041351471E-2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zoomScale="107" workbookViewId="0">
      <selection activeCell="B1" sqref="B1:C36"/>
    </sheetView>
  </sheetViews>
  <sheetFormatPr baseColWidth="10" defaultRowHeight="15" x14ac:dyDescent="0.2"/>
  <cols>
    <col min="1" max="4" width="10.83203125" style="3"/>
    <col min="5" max="5" width="17" style="3" bestFit="1" customWidth="1"/>
    <col min="6" max="6" width="11.1640625" style="3" bestFit="1" customWidth="1"/>
    <col min="7" max="7" width="11" style="3" bestFit="1" customWidth="1"/>
    <col min="8" max="8" width="11.1640625" style="3" bestFit="1" customWidth="1"/>
    <col min="9" max="9" width="11" style="3" bestFit="1" customWidth="1"/>
    <col min="10" max="10" width="11.33203125" style="3" bestFit="1" customWidth="1"/>
    <col min="11" max="11" width="11" style="3" bestFit="1" customWidth="1"/>
    <col min="12" max="13" width="11.1640625" style="3" bestFit="1" customWidth="1"/>
    <col min="14" max="14" width="12.83203125" style="3" bestFit="1" customWidth="1"/>
    <col min="15" max="29" width="11" style="3" bestFit="1" customWidth="1"/>
    <col min="30" max="45" width="10.83203125" style="3"/>
    <col min="46" max="46" width="16" style="3" customWidth="1"/>
    <col min="47" max="53" width="10.83203125" style="3"/>
    <col min="54" max="54" width="11.1640625" style="3" bestFit="1" customWidth="1"/>
    <col min="55" max="16384" width="10.83203125" style="3"/>
  </cols>
  <sheetData>
    <row r="1" spans="2:77" ht="112" x14ac:dyDescent="0.2">
      <c r="C1" s="208" t="s">
        <v>604</v>
      </c>
      <c r="AR1" s="261"/>
      <c r="AS1" s="208" t="s">
        <v>418</v>
      </c>
      <c r="AT1" s="208" t="s">
        <v>419</v>
      </c>
      <c r="AU1" s="208" t="s">
        <v>420</v>
      </c>
      <c r="AV1" s="208" t="s">
        <v>582</v>
      </c>
      <c r="AW1" s="208" t="s">
        <v>561</v>
      </c>
      <c r="AX1" s="208" t="s">
        <v>560</v>
      </c>
      <c r="AY1" s="208" t="s">
        <v>446</v>
      </c>
      <c r="AZ1" s="208" t="s">
        <v>443</v>
      </c>
      <c r="BA1" s="208" t="s">
        <v>465</v>
      </c>
      <c r="BB1" s="208" t="s">
        <v>444</v>
      </c>
      <c r="BC1" s="208" t="s">
        <v>439</v>
      </c>
      <c r="BD1" s="208" t="s">
        <v>461</v>
      </c>
      <c r="BE1" s="208" t="s">
        <v>81</v>
      </c>
      <c r="BF1" s="208" t="s">
        <v>430</v>
      </c>
      <c r="BK1" s="261"/>
      <c r="BL1" s="208" t="s">
        <v>418</v>
      </c>
      <c r="BM1" s="208" t="s">
        <v>419</v>
      </c>
      <c r="BN1" s="208" t="s">
        <v>420</v>
      </c>
      <c r="BO1" s="208" t="s">
        <v>582</v>
      </c>
      <c r="BP1" s="208" t="s">
        <v>561</v>
      </c>
      <c r="BQ1" s="208" t="s">
        <v>560</v>
      </c>
      <c r="BR1" s="208" t="s">
        <v>446</v>
      </c>
      <c r="BS1" s="208" t="s">
        <v>443</v>
      </c>
      <c r="BT1" s="208" t="s">
        <v>465</v>
      </c>
      <c r="BU1" s="208" t="s">
        <v>444</v>
      </c>
      <c r="BV1" s="208" t="s">
        <v>439</v>
      </c>
      <c r="BW1" s="208" t="s">
        <v>461</v>
      </c>
      <c r="BX1" s="208" t="s">
        <v>81</v>
      </c>
      <c r="BY1" s="208" t="s">
        <v>430</v>
      </c>
    </row>
    <row r="2" spans="2:77" x14ac:dyDescent="0.2">
      <c r="B2" s="205" t="s">
        <v>426</v>
      </c>
      <c r="C2" s="396">
        <v>1</v>
      </c>
      <c r="AR2" s="205" t="s">
        <v>426</v>
      </c>
      <c r="AS2" s="396">
        <v>0</v>
      </c>
      <c r="AT2" s="396">
        <v>0</v>
      </c>
      <c r="AU2" s="396">
        <v>0</v>
      </c>
      <c r="AV2" s="396">
        <v>0</v>
      </c>
      <c r="AW2" s="396">
        <v>0</v>
      </c>
      <c r="AX2" s="396">
        <v>0</v>
      </c>
      <c r="AY2" s="396">
        <v>0</v>
      </c>
      <c r="AZ2" s="396">
        <v>0</v>
      </c>
      <c r="BA2" s="396">
        <v>0</v>
      </c>
      <c r="BB2" s="396">
        <v>0</v>
      </c>
      <c r="BC2" s="396">
        <v>0</v>
      </c>
      <c r="BD2" s="396">
        <v>0</v>
      </c>
      <c r="BE2" s="396">
        <v>0</v>
      </c>
      <c r="BF2" s="396">
        <v>0</v>
      </c>
      <c r="BK2" s="205" t="s">
        <v>426</v>
      </c>
      <c r="BL2" s="396">
        <v>0</v>
      </c>
      <c r="BM2" s="396">
        <v>0</v>
      </c>
      <c r="BN2" s="396">
        <v>0</v>
      </c>
      <c r="BO2" s="396">
        <v>0</v>
      </c>
      <c r="BP2" s="396">
        <v>0</v>
      </c>
      <c r="BQ2" s="396">
        <v>0</v>
      </c>
      <c r="BR2" s="396">
        <v>0</v>
      </c>
      <c r="BS2" s="396">
        <v>0</v>
      </c>
      <c r="BT2" s="396">
        <v>0</v>
      </c>
      <c r="BU2" s="396">
        <v>0</v>
      </c>
      <c r="BV2" s="396">
        <v>0</v>
      </c>
      <c r="BW2" s="396">
        <v>0</v>
      </c>
      <c r="BX2" s="396">
        <v>0</v>
      </c>
      <c r="BY2" s="396">
        <v>0</v>
      </c>
    </row>
    <row r="3" spans="2:77" x14ac:dyDescent="0.2">
      <c r="B3" s="205" t="s">
        <v>428</v>
      </c>
      <c r="C3" s="396">
        <v>1</v>
      </c>
      <c r="AR3" s="205" t="s">
        <v>428</v>
      </c>
      <c r="AS3" s="396">
        <v>0</v>
      </c>
      <c r="AT3" s="396">
        <v>0</v>
      </c>
      <c r="AU3" s="396">
        <v>0</v>
      </c>
      <c r="AV3" s="396">
        <v>0</v>
      </c>
      <c r="AW3" s="396">
        <v>0</v>
      </c>
      <c r="AX3" s="396">
        <v>0</v>
      </c>
      <c r="AY3" s="396">
        <v>0</v>
      </c>
      <c r="AZ3" s="396">
        <v>0</v>
      </c>
      <c r="BA3" s="396">
        <v>0</v>
      </c>
      <c r="BB3" s="396">
        <v>0</v>
      </c>
      <c r="BC3" s="396">
        <v>0</v>
      </c>
      <c r="BD3" s="396">
        <v>0</v>
      </c>
      <c r="BE3" s="396">
        <v>0</v>
      </c>
      <c r="BF3" s="396">
        <v>0</v>
      </c>
      <c r="BK3" s="205" t="s">
        <v>428</v>
      </c>
      <c r="BL3" s="396">
        <v>0</v>
      </c>
      <c r="BM3" s="396">
        <v>0</v>
      </c>
      <c r="BN3" s="396">
        <v>0</v>
      </c>
      <c r="BO3" s="396">
        <v>0</v>
      </c>
      <c r="BP3" s="396">
        <v>0</v>
      </c>
      <c r="BQ3" s="396">
        <v>0</v>
      </c>
      <c r="BR3" s="396">
        <v>0</v>
      </c>
      <c r="BS3" s="396">
        <v>0</v>
      </c>
      <c r="BT3" s="396">
        <v>0</v>
      </c>
      <c r="BU3" s="396">
        <v>0</v>
      </c>
      <c r="BV3" s="396">
        <v>0</v>
      </c>
      <c r="BW3" s="396">
        <v>0</v>
      </c>
      <c r="BX3" s="396">
        <v>0</v>
      </c>
      <c r="BY3" s="396">
        <v>0</v>
      </c>
    </row>
    <row r="4" spans="2:77" x14ac:dyDescent="0.2">
      <c r="B4" s="205" t="s">
        <v>429</v>
      </c>
      <c r="C4" s="396">
        <v>1</v>
      </c>
      <c r="AR4" s="205" t="s">
        <v>429</v>
      </c>
      <c r="AS4" s="396">
        <v>0</v>
      </c>
      <c r="AT4" s="396">
        <v>0</v>
      </c>
      <c r="AU4" s="396">
        <v>0</v>
      </c>
      <c r="AV4" s="396">
        <v>0</v>
      </c>
      <c r="AW4" s="396">
        <v>0</v>
      </c>
      <c r="AX4" s="396">
        <v>0</v>
      </c>
      <c r="AY4" s="396">
        <v>0</v>
      </c>
      <c r="AZ4" s="396">
        <v>0</v>
      </c>
      <c r="BA4" s="396">
        <v>0</v>
      </c>
      <c r="BB4" s="396">
        <v>0</v>
      </c>
      <c r="BC4" s="396">
        <v>0</v>
      </c>
      <c r="BD4" s="396">
        <v>0</v>
      </c>
      <c r="BE4" s="396">
        <v>0</v>
      </c>
      <c r="BF4" s="396">
        <v>0</v>
      </c>
      <c r="BK4" s="205" t="s">
        <v>429</v>
      </c>
      <c r="BL4" s="396">
        <v>0</v>
      </c>
      <c r="BM4" s="396">
        <v>0</v>
      </c>
      <c r="BN4" s="396">
        <v>0</v>
      </c>
      <c r="BO4" s="396">
        <v>0</v>
      </c>
      <c r="BP4" s="396">
        <v>0</v>
      </c>
      <c r="BQ4" s="396">
        <v>0</v>
      </c>
      <c r="BR4" s="396">
        <v>0</v>
      </c>
      <c r="BS4" s="396">
        <v>0</v>
      </c>
      <c r="BT4" s="396">
        <v>0</v>
      </c>
      <c r="BU4" s="396">
        <v>0</v>
      </c>
      <c r="BV4" s="396">
        <v>0</v>
      </c>
      <c r="BW4" s="396">
        <v>0</v>
      </c>
      <c r="BX4" s="396">
        <v>0</v>
      </c>
      <c r="BY4" s="396">
        <v>0</v>
      </c>
    </row>
    <row r="5" spans="2:77" x14ac:dyDescent="0.2">
      <c r="B5" s="205" t="s">
        <v>450</v>
      </c>
      <c r="C5" s="396">
        <v>1</v>
      </c>
      <c r="AR5" s="205" t="s">
        <v>450</v>
      </c>
      <c r="AS5" s="396">
        <v>0</v>
      </c>
      <c r="AT5" s="396">
        <v>0</v>
      </c>
      <c r="AU5" s="396">
        <v>0</v>
      </c>
      <c r="AV5" s="396">
        <v>0</v>
      </c>
      <c r="AW5" s="396">
        <v>0</v>
      </c>
      <c r="AX5" s="396">
        <v>0</v>
      </c>
      <c r="AY5" s="396">
        <v>0</v>
      </c>
      <c r="AZ5" s="396">
        <v>0</v>
      </c>
      <c r="BA5" s="396">
        <v>0</v>
      </c>
      <c r="BB5" s="396">
        <v>0</v>
      </c>
      <c r="BC5" s="396">
        <v>0</v>
      </c>
      <c r="BD5" s="396">
        <v>0</v>
      </c>
      <c r="BE5" s="396">
        <v>0</v>
      </c>
      <c r="BF5" s="396">
        <v>0</v>
      </c>
      <c r="BK5" s="205" t="s">
        <v>450</v>
      </c>
      <c r="BL5" s="396">
        <v>0</v>
      </c>
      <c r="BM5" s="396">
        <v>0</v>
      </c>
      <c r="BN5" s="396">
        <v>0</v>
      </c>
      <c r="BO5" s="396">
        <v>0</v>
      </c>
      <c r="BP5" s="396">
        <v>0</v>
      </c>
      <c r="BQ5" s="396">
        <v>0</v>
      </c>
      <c r="BR5" s="396">
        <v>0</v>
      </c>
      <c r="BS5" s="396">
        <v>0</v>
      </c>
      <c r="BT5" s="396">
        <v>0</v>
      </c>
      <c r="BU5" s="396">
        <v>0</v>
      </c>
      <c r="BV5" s="396">
        <v>0</v>
      </c>
      <c r="BW5" s="396">
        <v>0</v>
      </c>
      <c r="BX5" s="396">
        <v>0</v>
      </c>
      <c r="BY5" s="396">
        <v>0</v>
      </c>
    </row>
    <row r="6" spans="2:77" x14ac:dyDescent="0.2">
      <c r="B6" s="205" t="s">
        <v>485</v>
      </c>
      <c r="C6" s="396">
        <v>1</v>
      </c>
      <c r="AR6" s="205" t="s">
        <v>485</v>
      </c>
      <c r="AS6" s="396">
        <v>0</v>
      </c>
      <c r="AT6" s="396">
        <v>0</v>
      </c>
      <c r="AU6" s="396">
        <v>0</v>
      </c>
      <c r="AV6" s="396">
        <v>0</v>
      </c>
      <c r="AW6" s="396">
        <v>0</v>
      </c>
      <c r="AX6" s="396">
        <v>0</v>
      </c>
      <c r="AY6" s="396">
        <v>0</v>
      </c>
      <c r="AZ6" s="396">
        <v>0</v>
      </c>
      <c r="BA6" s="396">
        <v>0</v>
      </c>
      <c r="BB6" s="396">
        <v>0</v>
      </c>
      <c r="BC6" s="396">
        <v>0</v>
      </c>
      <c r="BD6" s="396">
        <v>0</v>
      </c>
      <c r="BE6" s="396">
        <v>0</v>
      </c>
      <c r="BF6" s="396">
        <v>0</v>
      </c>
      <c r="BK6" s="205" t="s">
        <v>485</v>
      </c>
      <c r="BL6" s="396">
        <v>0</v>
      </c>
      <c r="BM6" s="396">
        <v>0</v>
      </c>
      <c r="BN6" s="396">
        <v>0</v>
      </c>
      <c r="BO6" s="396">
        <v>0</v>
      </c>
      <c r="BP6" s="396">
        <v>0</v>
      </c>
      <c r="BQ6" s="396">
        <v>0</v>
      </c>
      <c r="BR6" s="396">
        <v>0</v>
      </c>
      <c r="BS6" s="396">
        <v>0</v>
      </c>
      <c r="BT6" s="396">
        <v>0</v>
      </c>
      <c r="BU6" s="396">
        <v>0</v>
      </c>
      <c r="BV6" s="396">
        <v>0</v>
      </c>
      <c r="BW6" s="396">
        <v>0</v>
      </c>
      <c r="BX6" s="396">
        <v>0</v>
      </c>
      <c r="BY6" s="396">
        <v>0</v>
      </c>
    </row>
    <row r="7" spans="2:77" x14ac:dyDescent="0.2">
      <c r="B7" s="205" t="s">
        <v>596</v>
      </c>
      <c r="C7" s="396">
        <v>1</v>
      </c>
      <c r="AR7" s="205" t="s">
        <v>596</v>
      </c>
      <c r="AS7" s="396">
        <v>0</v>
      </c>
      <c r="AT7" s="396">
        <v>0</v>
      </c>
      <c r="AU7" s="396">
        <v>0</v>
      </c>
      <c r="AV7" s="396">
        <v>0</v>
      </c>
      <c r="AW7" s="396">
        <v>0</v>
      </c>
      <c r="AX7" s="396">
        <v>0</v>
      </c>
      <c r="AY7" s="396">
        <v>0</v>
      </c>
      <c r="AZ7" s="396">
        <v>0</v>
      </c>
      <c r="BA7" s="396">
        <v>0</v>
      </c>
      <c r="BB7" s="396">
        <v>0</v>
      </c>
      <c r="BC7" s="396">
        <v>0</v>
      </c>
      <c r="BD7" s="396">
        <v>0</v>
      </c>
      <c r="BE7" s="396">
        <v>0</v>
      </c>
      <c r="BF7" s="396">
        <v>0</v>
      </c>
      <c r="BK7" s="205" t="s">
        <v>596</v>
      </c>
      <c r="BL7" s="396">
        <v>0</v>
      </c>
      <c r="BM7" s="396">
        <v>0</v>
      </c>
      <c r="BN7" s="396">
        <v>0</v>
      </c>
      <c r="BO7" s="396">
        <v>0</v>
      </c>
      <c r="BP7" s="396">
        <v>0</v>
      </c>
      <c r="BQ7" s="396">
        <v>0</v>
      </c>
      <c r="BR7" s="396">
        <v>0</v>
      </c>
      <c r="BS7" s="396">
        <v>0</v>
      </c>
      <c r="BT7" s="396">
        <v>0</v>
      </c>
      <c r="BU7" s="396">
        <v>0</v>
      </c>
      <c r="BV7" s="396">
        <v>0</v>
      </c>
      <c r="BW7" s="396">
        <v>0</v>
      </c>
      <c r="BX7" s="396">
        <v>0</v>
      </c>
      <c r="BY7" s="396">
        <v>0</v>
      </c>
    </row>
    <row r="8" spans="2:77" x14ac:dyDescent="0.2">
      <c r="B8" s="205" t="s">
        <v>597</v>
      </c>
      <c r="C8" s="396">
        <v>1</v>
      </c>
      <c r="AR8" s="205" t="s">
        <v>597</v>
      </c>
      <c r="AS8" s="396">
        <v>0</v>
      </c>
      <c r="AT8" s="396">
        <v>0</v>
      </c>
      <c r="AU8" s="396">
        <v>0</v>
      </c>
      <c r="AV8" s="396">
        <v>0</v>
      </c>
      <c r="AW8" s="396">
        <v>0</v>
      </c>
      <c r="AX8" s="396">
        <v>0</v>
      </c>
      <c r="AY8" s="396">
        <v>0</v>
      </c>
      <c r="AZ8" s="396">
        <v>0</v>
      </c>
      <c r="BA8" s="396">
        <v>0</v>
      </c>
      <c r="BB8" s="396">
        <v>0</v>
      </c>
      <c r="BC8" s="396">
        <v>0</v>
      </c>
      <c r="BD8" s="396">
        <v>0</v>
      </c>
      <c r="BE8" s="396">
        <v>0</v>
      </c>
      <c r="BF8" s="396">
        <v>0</v>
      </c>
      <c r="BK8" s="205" t="s">
        <v>597</v>
      </c>
      <c r="BL8" s="396">
        <v>0</v>
      </c>
      <c r="BM8" s="396">
        <v>0</v>
      </c>
      <c r="BN8" s="396">
        <v>0</v>
      </c>
      <c r="BO8" s="396">
        <v>0</v>
      </c>
      <c r="BP8" s="396">
        <v>0</v>
      </c>
      <c r="BQ8" s="396">
        <v>0</v>
      </c>
      <c r="BR8" s="396">
        <v>0</v>
      </c>
      <c r="BS8" s="396">
        <v>0</v>
      </c>
      <c r="BT8" s="396">
        <v>0</v>
      </c>
      <c r="BU8" s="396">
        <v>0</v>
      </c>
      <c r="BV8" s="396">
        <v>0</v>
      </c>
      <c r="BW8" s="396">
        <v>0</v>
      </c>
      <c r="BX8" s="396">
        <v>0</v>
      </c>
      <c r="BY8" s="396">
        <v>0</v>
      </c>
    </row>
    <row r="9" spans="2:77" x14ac:dyDescent="0.2">
      <c r="B9" s="205" t="s">
        <v>533</v>
      </c>
      <c r="C9" s="396">
        <v>1</v>
      </c>
      <c r="AR9" s="205" t="s">
        <v>533</v>
      </c>
      <c r="AS9" s="396">
        <v>0</v>
      </c>
      <c r="AT9" s="396">
        <v>0</v>
      </c>
      <c r="AU9" s="396">
        <v>0</v>
      </c>
      <c r="AV9" s="396">
        <v>0</v>
      </c>
      <c r="AW9" s="396">
        <v>0</v>
      </c>
      <c r="AX9" s="396">
        <v>0</v>
      </c>
      <c r="AY9" s="396">
        <v>0</v>
      </c>
      <c r="AZ9" s="396">
        <v>0</v>
      </c>
      <c r="BA9" s="396">
        <v>0</v>
      </c>
      <c r="BB9" s="396">
        <v>0</v>
      </c>
      <c r="BC9" s="396">
        <v>0</v>
      </c>
      <c r="BD9" s="396">
        <v>0</v>
      </c>
      <c r="BE9" s="396">
        <v>0</v>
      </c>
      <c r="BF9" s="396">
        <v>0</v>
      </c>
      <c r="BK9" s="205" t="s">
        <v>533</v>
      </c>
      <c r="BL9" s="396">
        <v>0</v>
      </c>
      <c r="BM9" s="396">
        <v>0</v>
      </c>
      <c r="BN9" s="396">
        <v>0</v>
      </c>
      <c r="BO9" s="396">
        <v>0</v>
      </c>
      <c r="BP9" s="396">
        <v>0</v>
      </c>
      <c r="BQ9" s="396">
        <v>0</v>
      </c>
      <c r="BR9" s="396">
        <v>0</v>
      </c>
      <c r="BS9" s="396">
        <v>0</v>
      </c>
      <c r="BT9" s="396">
        <v>0</v>
      </c>
      <c r="BU9" s="396">
        <v>0</v>
      </c>
      <c r="BV9" s="396">
        <v>0</v>
      </c>
      <c r="BW9" s="396">
        <v>0</v>
      </c>
      <c r="BX9" s="396">
        <v>0</v>
      </c>
      <c r="BY9" s="396">
        <v>0</v>
      </c>
    </row>
    <row r="10" spans="2:77" x14ac:dyDescent="0.2">
      <c r="B10" s="205" t="s">
        <v>586</v>
      </c>
      <c r="C10" s="396">
        <v>1</v>
      </c>
      <c r="AR10" s="205" t="s">
        <v>586</v>
      </c>
      <c r="AS10" s="396">
        <v>0</v>
      </c>
      <c r="AT10" s="396">
        <v>0</v>
      </c>
      <c r="AU10" s="396">
        <v>0</v>
      </c>
      <c r="AV10" s="396">
        <v>0</v>
      </c>
      <c r="AW10" s="396">
        <v>0</v>
      </c>
      <c r="AX10" s="396">
        <v>0</v>
      </c>
      <c r="AY10" s="396">
        <v>0</v>
      </c>
      <c r="AZ10" s="396">
        <v>0</v>
      </c>
      <c r="BA10" s="396">
        <v>0</v>
      </c>
      <c r="BB10" s="396">
        <v>0</v>
      </c>
      <c r="BC10" s="396">
        <v>0</v>
      </c>
      <c r="BD10" s="396">
        <v>0</v>
      </c>
      <c r="BE10" s="396">
        <v>0</v>
      </c>
      <c r="BF10" s="396">
        <v>0</v>
      </c>
      <c r="BK10" s="205" t="s">
        <v>586</v>
      </c>
      <c r="BL10" s="396">
        <v>0</v>
      </c>
      <c r="BM10" s="396">
        <v>0</v>
      </c>
      <c r="BN10" s="396">
        <v>0</v>
      </c>
      <c r="BO10" s="396">
        <v>0</v>
      </c>
      <c r="BP10" s="396">
        <v>0</v>
      </c>
      <c r="BQ10" s="396">
        <v>0</v>
      </c>
      <c r="BR10" s="396">
        <v>0</v>
      </c>
      <c r="BS10" s="396">
        <v>0</v>
      </c>
      <c r="BT10" s="396">
        <v>0</v>
      </c>
      <c r="BU10" s="396">
        <v>0</v>
      </c>
      <c r="BV10" s="396">
        <v>0</v>
      </c>
      <c r="BW10" s="396">
        <v>0</v>
      </c>
      <c r="BX10" s="396">
        <v>0</v>
      </c>
      <c r="BY10" s="396">
        <v>0</v>
      </c>
    </row>
    <row r="11" spans="2:77" ht="16" x14ac:dyDescent="0.2">
      <c r="B11" s="206" t="s">
        <v>568</v>
      </c>
      <c r="C11" s="396">
        <v>1</v>
      </c>
      <c r="AR11" s="206" t="s">
        <v>568</v>
      </c>
      <c r="AS11" s="396">
        <v>0</v>
      </c>
      <c r="AT11" s="396">
        <v>0</v>
      </c>
      <c r="AU11" s="396">
        <v>0</v>
      </c>
      <c r="AV11" s="396">
        <v>0</v>
      </c>
      <c r="AW11" s="396">
        <v>0</v>
      </c>
      <c r="AX11" s="396">
        <v>0</v>
      </c>
      <c r="AY11" s="396">
        <v>0</v>
      </c>
      <c r="AZ11" s="396">
        <v>0</v>
      </c>
      <c r="BA11" s="396">
        <v>0</v>
      </c>
      <c r="BB11" s="396">
        <v>0</v>
      </c>
      <c r="BC11" s="396">
        <v>0</v>
      </c>
      <c r="BD11" s="396">
        <v>0</v>
      </c>
      <c r="BE11" s="396">
        <v>0</v>
      </c>
      <c r="BF11" s="396">
        <v>0</v>
      </c>
      <c r="BK11" s="206" t="s">
        <v>568</v>
      </c>
      <c r="BL11" s="396">
        <v>0</v>
      </c>
      <c r="BM11" s="396">
        <v>0</v>
      </c>
      <c r="BN11" s="396">
        <v>0</v>
      </c>
      <c r="BO11" s="396">
        <v>0</v>
      </c>
      <c r="BP11" s="396">
        <v>0</v>
      </c>
      <c r="BQ11" s="396">
        <v>0</v>
      </c>
      <c r="BR11" s="396">
        <v>0</v>
      </c>
      <c r="BS11" s="396">
        <v>0</v>
      </c>
      <c r="BT11" s="396">
        <v>0</v>
      </c>
      <c r="BU11" s="396">
        <v>0</v>
      </c>
      <c r="BV11" s="396">
        <v>0</v>
      </c>
      <c r="BW11" s="396">
        <v>0</v>
      </c>
      <c r="BX11" s="396">
        <v>0</v>
      </c>
      <c r="BY11" s="396">
        <v>0</v>
      </c>
    </row>
    <row r="12" spans="2:77" x14ac:dyDescent="0.2">
      <c r="B12" s="205" t="s">
        <v>531</v>
      </c>
      <c r="C12" s="396">
        <v>1</v>
      </c>
      <c r="AR12" s="205" t="s">
        <v>531</v>
      </c>
      <c r="AS12" s="396">
        <v>0</v>
      </c>
      <c r="AT12" s="396">
        <v>0</v>
      </c>
      <c r="AU12" s="396">
        <v>0</v>
      </c>
      <c r="AV12" s="396">
        <v>0</v>
      </c>
      <c r="AW12" s="396">
        <v>0</v>
      </c>
      <c r="AX12" s="396">
        <v>0</v>
      </c>
      <c r="AY12" s="396">
        <v>0</v>
      </c>
      <c r="AZ12" s="396">
        <v>0</v>
      </c>
      <c r="BA12" s="396">
        <v>0</v>
      </c>
      <c r="BB12" s="396">
        <v>0</v>
      </c>
      <c r="BC12" s="396">
        <v>0</v>
      </c>
      <c r="BD12" s="396">
        <v>0</v>
      </c>
      <c r="BE12" s="396">
        <v>0</v>
      </c>
      <c r="BF12" s="396">
        <v>0</v>
      </c>
      <c r="BK12" s="205" t="s">
        <v>531</v>
      </c>
      <c r="BL12" s="396">
        <v>0</v>
      </c>
      <c r="BM12" s="396">
        <v>0</v>
      </c>
      <c r="BN12" s="396">
        <v>0</v>
      </c>
      <c r="BO12" s="396">
        <v>0</v>
      </c>
      <c r="BP12" s="396">
        <v>0</v>
      </c>
      <c r="BQ12" s="396">
        <v>0</v>
      </c>
      <c r="BR12" s="396">
        <v>0</v>
      </c>
      <c r="BS12" s="396">
        <v>0</v>
      </c>
      <c r="BT12" s="396">
        <v>0</v>
      </c>
      <c r="BU12" s="396">
        <v>0</v>
      </c>
      <c r="BV12" s="396">
        <v>0</v>
      </c>
      <c r="BW12" s="396">
        <v>0</v>
      </c>
      <c r="BX12" s="396">
        <v>0</v>
      </c>
      <c r="BY12" s="396">
        <v>0</v>
      </c>
    </row>
    <row r="13" spans="2:77" ht="16" x14ac:dyDescent="0.2">
      <c r="B13" s="206" t="s">
        <v>534</v>
      </c>
      <c r="C13" s="396">
        <v>1</v>
      </c>
      <c r="AR13" s="206" t="s">
        <v>534</v>
      </c>
      <c r="AS13" s="396">
        <v>0</v>
      </c>
      <c r="AT13" s="396">
        <v>0</v>
      </c>
      <c r="AU13" s="396">
        <v>0</v>
      </c>
      <c r="AV13" s="396">
        <v>0</v>
      </c>
      <c r="AW13" s="396">
        <v>0</v>
      </c>
      <c r="AX13" s="396">
        <v>0</v>
      </c>
      <c r="AY13" s="396">
        <v>0</v>
      </c>
      <c r="AZ13" s="396">
        <v>0</v>
      </c>
      <c r="BA13" s="396">
        <v>0</v>
      </c>
      <c r="BB13" s="396">
        <v>0</v>
      </c>
      <c r="BC13" s="396">
        <v>0</v>
      </c>
      <c r="BD13" s="396">
        <v>0</v>
      </c>
      <c r="BE13" s="396">
        <v>0</v>
      </c>
      <c r="BF13" s="396">
        <v>0</v>
      </c>
      <c r="BK13" s="206" t="s">
        <v>534</v>
      </c>
      <c r="BL13" s="396">
        <v>0</v>
      </c>
      <c r="BM13" s="396">
        <v>0</v>
      </c>
      <c r="BN13" s="396">
        <v>0</v>
      </c>
      <c r="BO13" s="396">
        <v>0</v>
      </c>
      <c r="BP13" s="396">
        <v>0</v>
      </c>
      <c r="BQ13" s="396">
        <v>0</v>
      </c>
      <c r="BR13" s="396">
        <v>0</v>
      </c>
      <c r="BS13" s="396">
        <v>0</v>
      </c>
      <c r="BT13" s="396">
        <v>0</v>
      </c>
      <c r="BU13" s="396">
        <v>0</v>
      </c>
      <c r="BV13" s="396">
        <v>0</v>
      </c>
      <c r="BW13" s="396">
        <v>0</v>
      </c>
      <c r="BX13" s="396">
        <v>0</v>
      </c>
      <c r="BY13" s="396">
        <v>0</v>
      </c>
    </row>
    <row r="14" spans="2:77" x14ac:dyDescent="0.2">
      <c r="B14" s="205" t="s">
        <v>563</v>
      </c>
      <c r="C14" s="396">
        <v>1</v>
      </c>
      <c r="AR14" s="205" t="s">
        <v>563</v>
      </c>
      <c r="AS14" s="396">
        <v>0</v>
      </c>
      <c r="AT14" s="396">
        <v>0</v>
      </c>
      <c r="AU14" s="396">
        <v>0</v>
      </c>
      <c r="AV14" s="396">
        <v>0</v>
      </c>
      <c r="AW14" s="396">
        <v>0</v>
      </c>
      <c r="AX14" s="396">
        <v>0</v>
      </c>
      <c r="AY14" s="396">
        <v>0</v>
      </c>
      <c r="AZ14" s="396">
        <v>0</v>
      </c>
      <c r="BA14" s="396">
        <v>0</v>
      </c>
      <c r="BB14" s="396">
        <v>0</v>
      </c>
      <c r="BC14" s="396">
        <v>0</v>
      </c>
      <c r="BD14" s="396">
        <v>0</v>
      </c>
      <c r="BE14" s="396">
        <v>0</v>
      </c>
      <c r="BF14" s="396">
        <v>0</v>
      </c>
      <c r="BK14" s="205" t="s">
        <v>563</v>
      </c>
      <c r="BL14" s="396">
        <v>0</v>
      </c>
      <c r="BM14" s="396">
        <v>0</v>
      </c>
      <c r="BN14" s="396">
        <v>0</v>
      </c>
      <c r="BO14" s="396">
        <v>0</v>
      </c>
      <c r="BP14" s="396">
        <v>0</v>
      </c>
      <c r="BQ14" s="396">
        <v>0</v>
      </c>
      <c r="BR14" s="396">
        <v>0</v>
      </c>
      <c r="BS14" s="396">
        <v>0</v>
      </c>
      <c r="BT14" s="396">
        <v>0</v>
      </c>
      <c r="BU14" s="396">
        <v>0</v>
      </c>
      <c r="BV14" s="396">
        <v>0</v>
      </c>
      <c r="BW14" s="396">
        <v>0</v>
      </c>
      <c r="BX14" s="396">
        <v>0</v>
      </c>
      <c r="BY14" s="396">
        <v>0</v>
      </c>
    </row>
    <row r="15" spans="2:77" x14ac:dyDescent="0.2">
      <c r="B15" s="207" t="s">
        <v>555</v>
      </c>
      <c r="C15" s="396">
        <v>1</v>
      </c>
      <c r="AR15" s="207" t="s">
        <v>555</v>
      </c>
      <c r="AS15" s="396">
        <v>0</v>
      </c>
      <c r="AT15" s="396">
        <v>0</v>
      </c>
      <c r="AU15" s="396">
        <v>0</v>
      </c>
      <c r="AV15" s="396">
        <v>0</v>
      </c>
      <c r="AW15" s="396">
        <v>0</v>
      </c>
      <c r="AX15" s="396">
        <v>0</v>
      </c>
      <c r="AY15" s="396">
        <v>0</v>
      </c>
      <c r="AZ15" s="396">
        <v>0</v>
      </c>
      <c r="BA15" s="396">
        <v>0</v>
      </c>
      <c r="BB15" s="396">
        <v>0</v>
      </c>
      <c r="BC15" s="396">
        <v>0</v>
      </c>
      <c r="BD15" s="396">
        <v>0</v>
      </c>
      <c r="BE15" s="396">
        <v>0</v>
      </c>
      <c r="BF15" s="396">
        <v>0</v>
      </c>
      <c r="BK15" s="207" t="s">
        <v>555</v>
      </c>
      <c r="BL15" s="396">
        <v>0</v>
      </c>
      <c r="BM15" s="396">
        <v>0</v>
      </c>
      <c r="BN15" s="396">
        <v>0</v>
      </c>
      <c r="BO15" s="396">
        <v>0</v>
      </c>
      <c r="BP15" s="396">
        <v>0</v>
      </c>
      <c r="BQ15" s="396">
        <v>0</v>
      </c>
      <c r="BR15" s="396">
        <v>0</v>
      </c>
      <c r="BS15" s="396">
        <v>0</v>
      </c>
      <c r="BT15" s="396">
        <v>0</v>
      </c>
      <c r="BU15" s="396">
        <v>0</v>
      </c>
      <c r="BV15" s="396">
        <v>0</v>
      </c>
      <c r="BW15" s="396">
        <v>0</v>
      </c>
      <c r="BX15" s="396">
        <v>0</v>
      </c>
      <c r="BY15" s="396">
        <v>0</v>
      </c>
    </row>
    <row r="16" spans="2:77" x14ac:dyDescent="0.2">
      <c r="B16" s="205" t="s">
        <v>538</v>
      </c>
      <c r="C16" s="396">
        <v>1</v>
      </c>
      <c r="AR16" s="205" t="s">
        <v>538</v>
      </c>
      <c r="AS16" s="396">
        <v>0</v>
      </c>
      <c r="AT16" s="396">
        <v>0</v>
      </c>
      <c r="AU16" s="396">
        <v>0</v>
      </c>
      <c r="AV16" s="396">
        <v>0</v>
      </c>
      <c r="AW16" s="396">
        <v>0</v>
      </c>
      <c r="AX16" s="396">
        <v>0</v>
      </c>
      <c r="AY16" s="396">
        <v>0</v>
      </c>
      <c r="AZ16" s="396">
        <v>0</v>
      </c>
      <c r="BA16" s="396">
        <v>0</v>
      </c>
      <c r="BB16" s="396">
        <v>0</v>
      </c>
      <c r="BC16" s="396">
        <v>0</v>
      </c>
      <c r="BD16" s="396">
        <v>0</v>
      </c>
      <c r="BE16" s="396">
        <v>0</v>
      </c>
      <c r="BF16" s="396">
        <v>0</v>
      </c>
      <c r="BK16" s="205" t="s">
        <v>538</v>
      </c>
      <c r="BL16" s="396">
        <v>0</v>
      </c>
      <c r="BM16" s="396">
        <v>0</v>
      </c>
      <c r="BN16" s="396">
        <v>0</v>
      </c>
      <c r="BO16" s="396">
        <v>0</v>
      </c>
      <c r="BP16" s="396">
        <v>0</v>
      </c>
      <c r="BQ16" s="396">
        <v>0</v>
      </c>
      <c r="BR16" s="396">
        <v>0</v>
      </c>
      <c r="BS16" s="396">
        <v>0</v>
      </c>
      <c r="BT16" s="396">
        <v>0</v>
      </c>
      <c r="BU16" s="396">
        <v>0</v>
      </c>
      <c r="BV16" s="396">
        <v>0</v>
      </c>
      <c r="BW16" s="396">
        <v>0</v>
      </c>
      <c r="BX16" s="396">
        <v>0</v>
      </c>
      <c r="BY16" s="396">
        <v>0</v>
      </c>
    </row>
    <row r="17" spans="2:77" ht="16" x14ac:dyDescent="0.2">
      <c r="B17" s="206" t="s">
        <v>567</v>
      </c>
      <c r="C17" s="396">
        <v>1</v>
      </c>
      <c r="AR17" s="206" t="s">
        <v>567</v>
      </c>
      <c r="AS17" s="396">
        <v>0</v>
      </c>
      <c r="AT17" s="396">
        <v>0</v>
      </c>
      <c r="AU17" s="396">
        <v>0</v>
      </c>
      <c r="AV17" s="396">
        <v>0</v>
      </c>
      <c r="AW17" s="396">
        <v>0</v>
      </c>
      <c r="AX17" s="396">
        <v>0</v>
      </c>
      <c r="AY17" s="396">
        <v>0</v>
      </c>
      <c r="AZ17" s="396">
        <v>0</v>
      </c>
      <c r="BA17" s="396">
        <v>0</v>
      </c>
      <c r="BB17" s="396">
        <v>0</v>
      </c>
      <c r="BC17" s="396">
        <v>0</v>
      </c>
      <c r="BD17" s="396">
        <v>0</v>
      </c>
      <c r="BE17" s="396">
        <v>0</v>
      </c>
      <c r="BF17" s="396">
        <v>0</v>
      </c>
      <c r="BK17" s="206" t="s">
        <v>567</v>
      </c>
      <c r="BL17" s="396">
        <v>0</v>
      </c>
      <c r="BM17" s="396">
        <v>0</v>
      </c>
      <c r="BN17" s="396">
        <v>0</v>
      </c>
      <c r="BO17" s="396">
        <v>0</v>
      </c>
      <c r="BP17" s="396">
        <v>0</v>
      </c>
      <c r="BQ17" s="396">
        <v>0</v>
      </c>
      <c r="BR17" s="396">
        <v>0</v>
      </c>
      <c r="BS17" s="396">
        <v>0</v>
      </c>
      <c r="BT17" s="396">
        <v>0</v>
      </c>
      <c r="BU17" s="396">
        <v>0</v>
      </c>
      <c r="BV17" s="396">
        <v>0</v>
      </c>
      <c r="BW17" s="396">
        <v>0</v>
      </c>
      <c r="BX17" s="396">
        <v>0</v>
      </c>
      <c r="BY17" s="396">
        <v>0</v>
      </c>
    </row>
    <row r="18" spans="2:77" ht="16" x14ac:dyDescent="0.2">
      <c r="B18" s="206" t="s">
        <v>562</v>
      </c>
      <c r="C18" s="396">
        <v>1</v>
      </c>
      <c r="AR18" s="206" t="s">
        <v>562</v>
      </c>
      <c r="AS18" s="396">
        <v>0</v>
      </c>
      <c r="AT18" s="396">
        <v>0</v>
      </c>
      <c r="AU18" s="396">
        <v>0</v>
      </c>
      <c r="AV18" s="396">
        <v>0</v>
      </c>
      <c r="AW18" s="396">
        <v>0</v>
      </c>
      <c r="AX18" s="396">
        <v>0</v>
      </c>
      <c r="AY18" s="396">
        <v>0</v>
      </c>
      <c r="AZ18" s="396">
        <v>0</v>
      </c>
      <c r="BA18" s="396">
        <v>0</v>
      </c>
      <c r="BB18" s="396">
        <v>0</v>
      </c>
      <c r="BC18" s="396">
        <v>0</v>
      </c>
      <c r="BD18" s="396">
        <v>0</v>
      </c>
      <c r="BE18" s="396">
        <v>0</v>
      </c>
      <c r="BF18" s="396">
        <v>0</v>
      </c>
      <c r="BK18" s="206" t="s">
        <v>562</v>
      </c>
      <c r="BL18" s="396">
        <v>0</v>
      </c>
      <c r="BM18" s="396">
        <v>0</v>
      </c>
      <c r="BN18" s="396">
        <v>0</v>
      </c>
      <c r="BO18" s="396">
        <v>0</v>
      </c>
      <c r="BP18" s="396">
        <v>0</v>
      </c>
      <c r="BQ18" s="396">
        <v>0</v>
      </c>
      <c r="BR18" s="396">
        <v>0</v>
      </c>
      <c r="BS18" s="396">
        <v>0</v>
      </c>
      <c r="BT18" s="396">
        <v>0</v>
      </c>
      <c r="BU18" s="396">
        <v>0</v>
      </c>
      <c r="BV18" s="396">
        <v>0</v>
      </c>
      <c r="BW18" s="396">
        <v>0</v>
      </c>
      <c r="BX18" s="396">
        <v>0</v>
      </c>
      <c r="BY18" s="396">
        <v>0</v>
      </c>
    </row>
    <row r="19" spans="2:77" ht="16" x14ac:dyDescent="0.2">
      <c r="B19" s="206" t="s">
        <v>559</v>
      </c>
      <c r="C19" s="396">
        <v>1</v>
      </c>
      <c r="AR19" s="206" t="s">
        <v>559</v>
      </c>
      <c r="AS19" s="396">
        <v>0</v>
      </c>
      <c r="AT19" s="396">
        <v>0</v>
      </c>
      <c r="AU19" s="396">
        <v>0</v>
      </c>
      <c r="AV19" s="396">
        <v>0</v>
      </c>
      <c r="AW19" s="396">
        <v>0</v>
      </c>
      <c r="AX19" s="396">
        <v>0</v>
      </c>
      <c r="AY19" s="396">
        <v>0</v>
      </c>
      <c r="AZ19" s="396">
        <v>0</v>
      </c>
      <c r="BA19" s="396">
        <v>0</v>
      </c>
      <c r="BB19" s="396">
        <v>0</v>
      </c>
      <c r="BC19" s="396">
        <v>0</v>
      </c>
      <c r="BD19" s="396">
        <v>0</v>
      </c>
      <c r="BE19" s="396">
        <v>0</v>
      </c>
      <c r="BF19" s="396">
        <v>0</v>
      </c>
      <c r="BK19" s="206" t="s">
        <v>559</v>
      </c>
      <c r="BL19" s="396">
        <v>0</v>
      </c>
      <c r="BM19" s="396">
        <v>0</v>
      </c>
      <c r="BN19" s="396">
        <v>0</v>
      </c>
      <c r="BO19" s="396">
        <v>0</v>
      </c>
      <c r="BP19" s="396">
        <v>0</v>
      </c>
      <c r="BQ19" s="396">
        <v>0</v>
      </c>
      <c r="BR19" s="396">
        <v>0</v>
      </c>
      <c r="BS19" s="396">
        <v>0</v>
      </c>
      <c r="BT19" s="396">
        <v>0</v>
      </c>
      <c r="BU19" s="396">
        <v>0</v>
      </c>
      <c r="BV19" s="396">
        <v>0</v>
      </c>
      <c r="BW19" s="396">
        <v>0</v>
      </c>
      <c r="BX19" s="396">
        <v>0</v>
      </c>
      <c r="BY19" s="396">
        <v>0</v>
      </c>
    </row>
    <row r="20" spans="2:77" ht="16" x14ac:dyDescent="0.2">
      <c r="B20" s="206" t="s">
        <v>565</v>
      </c>
      <c r="C20" s="396">
        <v>1</v>
      </c>
      <c r="AR20" s="206" t="s">
        <v>565</v>
      </c>
      <c r="AS20" s="396">
        <v>0</v>
      </c>
      <c r="AT20" s="396">
        <v>0</v>
      </c>
      <c r="AU20" s="396">
        <v>0</v>
      </c>
      <c r="AV20" s="396">
        <v>0</v>
      </c>
      <c r="AW20" s="396">
        <v>0</v>
      </c>
      <c r="AX20" s="396">
        <v>0</v>
      </c>
      <c r="AY20" s="396">
        <v>0</v>
      </c>
      <c r="AZ20" s="396">
        <v>0</v>
      </c>
      <c r="BA20" s="396">
        <v>0</v>
      </c>
      <c r="BB20" s="396">
        <v>0</v>
      </c>
      <c r="BC20" s="396">
        <v>0</v>
      </c>
      <c r="BD20" s="396">
        <v>0</v>
      </c>
      <c r="BE20" s="396">
        <v>0</v>
      </c>
      <c r="BF20" s="396">
        <v>0</v>
      </c>
      <c r="BK20" s="206" t="s">
        <v>565</v>
      </c>
      <c r="BL20" s="396">
        <v>0</v>
      </c>
      <c r="BM20" s="396">
        <v>0</v>
      </c>
      <c r="BN20" s="396">
        <v>0</v>
      </c>
      <c r="BO20" s="396">
        <v>0</v>
      </c>
      <c r="BP20" s="396">
        <v>0</v>
      </c>
      <c r="BQ20" s="396">
        <v>0</v>
      </c>
      <c r="BR20" s="396">
        <v>0</v>
      </c>
      <c r="BS20" s="396">
        <v>0</v>
      </c>
      <c r="BT20" s="396">
        <v>0</v>
      </c>
      <c r="BU20" s="396">
        <v>0</v>
      </c>
      <c r="BV20" s="396">
        <v>0</v>
      </c>
      <c r="BW20" s="396">
        <v>0</v>
      </c>
      <c r="BX20" s="396">
        <v>0</v>
      </c>
      <c r="BY20" s="396">
        <v>0</v>
      </c>
    </row>
    <row r="21" spans="2:77" x14ac:dyDescent="0.2">
      <c r="B21" s="207" t="s">
        <v>564</v>
      </c>
      <c r="C21" s="396">
        <v>1</v>
      </c>
      <c r="AR21" s="207" t="s">
        <v>564</v>
      </c>
      <c r="AS21" s="396">
        <v>0</v>
      </c>
      <c r="AT21" s="396">
        <v>0</v>
      </c>
      <c r="AU21" s="396">
        <v>0</v>
      </c>
      <c r="AV21" s="396">
        <v>0</v>
      </c>
      <c r="AW21" s="396">
        <v>0</v>
      </c>
      <c r="AX21" s="396">
        <v>0</v>
      </c>
      <c r="AY21" s="396">
        <v>0</v>
      </c>
      <c r="AZ21" s="396">
        <v>0</v>
      </c>
      <c r="BA21" s="396">
        <v>0</v>
      </c>
      <c r="BB21" s="396">
        <v>0</v>
      </c>
      <c r="BC21" s="396">
        <v>0</v>
      </c>
      <c r="BD21" s="396">
        <v>0</v>
      </c>
      <c r="BE21" s="396">
        <v>0</v>
      </c>
      <c r="BF21" s="396">
        <v>0</v>
      </c>
      <c r="BK21" s="207" t="s">
        <v>564</v>
      </c>
      <c r="BL21" s="396">
        <v>0</v>
      </c>
      <c r="BM21" s="396">
        <v>0</v>
      </c>
      <c r="BN21" s="396">
        <v>0</v>
      </c>
      <c r="BO21" s="396">
        <v>0</v>
      </c>
      <c r="BP21" s="396">
        <v>0</v>
      </c>
      <c r="BQ21" s="396">
        <v>0</v>
      </c>
      <c r="BR21" s="396">
        <v>0</v>
      </c>
      <c r="BS21" s="396">
        <v>0</v>
      </c>
      <c r="BT21" s="396">
        <v>0</v>
      </c>
      <c r="BU21" s="396">
        <v>0</v>
      </c>
      <c r="BV21" s="396">
        <v>0</v>
      </c>
      <c r="BW21" s="396">
        <v>0</v>
      </c>
      <c r="BX21" s="396">
        <v>0</v>
      </c>
      <c r="BY21" s="396">
        <v>0</v>
      </c>
    </row>
    <row r="22" spans="2:77" x14ac:dyDescent="0.2">
      <c r="B22" s="207" t="s">
        <v>547</v>
      </c>
      <c r="C22" s="396">
        <v>1</v>
      </c>
      <c r="AR22" s="207" t="s">
        <v>547</v>
      </c>
      <c r="AS22" s="396">
        <v>0</v>
      </c>
      <c r="AT22" s="396">
        <v>0</v>
      </c>
      <c r="AU22" s="396">
        <v>0</v>
      </c>
      <c r="AV22" s="396">
        <v>0</v>
      </c>
      <c r="AW22" s="396">
        <v>0</v>
      </c>
      <c r="AX22" s="396">
        <v>0</v>
      </c>
      <c r="AY22" s="396">
        <v>0</v>
      </c>
      <c r="AZ22" s="396">
        <v>0</v>
      </c>
      <c r="BA22" s="396">
        <v>0</v>
      </c>
      <c r="BB22" s="396">
        <v>0</v>
      </c>
      <c r="BC22" s="396">
        <v>0</v>
      </c>
      <c r="BD22" s="396">
        <v>0</v>
      </c>
      <c r="BE22" s="396">
        <v>0</v>
      </c>
      <c r="BF22" s="396">
        <v>0</v>
      </c>
      <c r="BK22" s="207" t="s">
        <v>547</v>
      </c>
      <c r="BL22" s="396">
        <v>0</v>
      </c>
      <c r="BM22" s="396">
        <v>0</v>
      </c>
      <c r="BN22" s="396">
        <v>0</v>
      </c>
      <c r="BO22" s="396">
        <v>0</v>
      </c>
      <c r="BP22" s="396">
        <v>0</v>
      </c>
      <c r="BQ22" s="396">
        <v>0</v>
      </c>
      <c r="BR22" s="396">
        <v>0</v>
      </c>
      <c r="BS22" s="396">
        <v>0</v>
      </c>
      <c r="BT22" s="396">
        <v>0</v>
      </c>
      <c r="BU22" s="396">
        <v>0</v>
      </c>
      <c r="BV22" s="396">
        <v>0</v>
      </c>
      <c r="BW22" s="396">
        <v>0</v>
      </c>
      <c r="BX22" s="396">
        <v>0</v>
      </c>
      <c r="BY22" s="396">
        <v>0</v>
      </c>
    </row>
    <row r="23" spans="2:77" x14ac:dyDescent="0.2">
      <c r="B23" s="207" t="s">
        <v>583</v>
      </c>
      <c r="C23" s="396">
        <v>1</v>
      </c>
      <c r="AR23" s="207" t="s">
        <v>583</v>
      </c>
      <c r="AS23" s="396">
        <v>0</v>
      </c>
      <c r="AT23" s="396">
        <v>0</v>
      </c>
      <c r="AU23" s="396">
        <v>0</v>
      </c>
      <c r="AV23" s="396">
        <v>0</v>
      </c>
      <c r="AW23" s="396">
        <v>0</v>
      </c>
      <c r="AX23" s="396">
        <v>0</v>
      </c>
      <c r="AY23" s="396">
        <v>0</v>
      </c>
      <c r="AZ23" s="396">
        <v>0</v>
      </c>
      <c r="BA23" s="396">
        <v>0</v>
      </c>
      <c r="BB23" s="396">
        <v>0</v>
      </c>
      <c r="BC23" s="396">
        <v>0</v>
      </c>
      <c r="BD23" s="396">
        <v>0</v>
      </c>
      <c r="BE23" s="396">
        <v>0</v>
      </c>
      <c r="BF23" s="396">
        <v>0</v>
      </c>
      <c r="BK23" s="207" t="s">
        <v>583</v>
      </c>
      <c r="BL23" s="396">
        <v>0</v>
      </c>
      <c r="BM23" s="396">
        <v>0</v>
      </c>
      <c r="BN23" s="396">
        <v>0</v>
      </c>
      <c r="BO23" s="396">
        <v>0</v>
      </c>
      <c r="BP23" s="396">
        <v>0</v>
      </c>
      <c r="BQ23" s="396">
        <v>0</v>
      </c>
      <c r="BR23" s="396">
        <v>0</v>
      </c>
      <c r="BS23" s="396">
        <v>0</v>
      </c>
      <c r="BT23" s="396">
        <v>0</v>
      </c>
      <c r="BU23" s="396">
        <v>0</v>
      </c>
      <c r="BV23" s="396">
        <v>0</v>
      </c>
      <c r="BW23" s="396">
        <v>0</v>
      </c>
      <c r="BX23" s="396">
        <v>0</v>
      </c>
      <c r="BY23" s="396">
        <v>0</v>
      </c>
    </row>
    <row r="24" spans="2:77" x14ac:dyDescent="0.2">
      <c r="B24" s="207" t="s">
        <v>548</v>
      </c>
      <c r="C24" s="396">
        <v>1</v>
      </c>
      <c r="AR24" s="207" t="s">
        <v>548</v>
      </c>
      <c r="AS24" s="396">
        <v>0</v>
      </c>
      <c r="AT24" s="396">
        <v>0</v>
      </c>
      <c r="AU24" s="396">
        <v>0</v>
      </c>
      <c r="AV24" s="396">
        <v>0</v>
      </c>
      <c r="AW24" s="396">
        <v>0</v>
      </c>
      <c r="AX24" s="396">
        <v>0</v>
      </c>
      <c r="AY24" s="396">
        <v>0</v>
      </c>
      <c r="AZ24" s="396">
        <v>0</v>
      </c>
      <c r="BA24" s="396">
        <v>0</v>
      </c>
      <c r="BB24" s="396">
        <v>0</v>
      </c>
      <c r="BC24" s="396">
        <v>0</v>
      </c>
      <c r="BD24" s="396">
        <v>0</v>
      </c>
      <c r="BE24" s="396">
        <v>0</v>
      </c>
      <c r="BF24" s="396">
        <v>0</v>
      </c>
      <c r="BK24" s="207" t="s">
        <v>548</v>
      </c>
      <c r="BL24" s="396">
        <v>0</v>
      </c>
      <c r="BM24" s="396">
        <v>0</v>
      </c>
      <c r="BN24" s="396">
        <v>0</v>
      </c>
      <c r="BO24" s="396">
        <v>0</v>
      </c>
      <c r="BP24" s="396">
        <v>0</v>
      </c>
      <c r="BQ24" s="396">
        <v>0</v>
      </c>
      <c r="BR24" s="396">
        <v>0</v>
      </c>
      <c r="BS24" s="396">
        <v>0</v>
      </c>
      <c r="BT24" s="396">
        <v>0</v>
      </c>
      <c r="BU24" s="396">
        <v>0</v>
      </c>
      <c r="BV24" s="396">
        <v>0</v>
      </c>
      <c r="BW24" s="396">
        <v>0</v>
      </c>
      <c r="BX24" s="396">
        <v>0</v>
      </c>
      <c r="BY24" s="396">
        <v>0</v>
      </c>
    </row>
    <row r="25" spans="2:77" x14ac:dyDescent="0.2">
      <c r="B25" s="207" t="s">
        <v>550</v>
      </c>
      <c r="C25" s="396">
        <v>1</v>
      </c>
      <c r="AR25" s="207" t="s">
        <v>550</v>
      </c>
      <c r="AS25" s="396">
        <v>0</v>
      </c>
      <c r="AT25" s="396">
        <v>0</v>
      </c>
      <c r="AU25" s="396">
        <v>0</v>
      </c>
      <c r="AV25" s="396">
        <v>0</v>
      </c>
      <c r="AW25" s="396">
        <v>0</v>
      </c>
      <c r="AX25" s="396">
        <v>0</v>
      </c>
      <c r="AY25" s="396">
        <v>0</v>
      </c>
      <c r="AZ25" s="396">
        <v>0</v>
      </c>
      <c r="BA25" s="396">
        <v>0</v>
      </c>
      <c r="BB25" s="396">
        <v>0</v>
      </c>
      <c r="BC25" s="396">
        <v>0</v>
      </c>
      <c r="BD25" s="396">
        <v>0</v>
      </c>
      <c r="BE25" s="396">
        <v>0</v>
      </c>
      <c r="BF25" s="396">
        <v>0</v>
      </c>
      <c r="BK25" s="207" t="s">
        <v>550</v>
      </c>
      <c r="BL25" s="396">
        <v>0</v>
      </c>
      <c r="BM25" s="396">
        <v>0</v>
      </c>
      <c r="BN25" s="396">
        <v>0</v>
      </c>
      <c r="BO25" s="396">
        <v>0</v>
      </c>
      <c r="BP25" s="396">
        <v>0</v>
      </c>
      <c r="BQ25" s="396">
        <v>0</v>
      </c>
      <c r="BR25" s="396">
        <v>0</v>
      </c>
      <c r="BS25" s="396">
        <v>0</v>
      </c>
      <c r="BT25" s="396">
        <v>0</v>
      </c>
      <c r="BU25" s="396">
        <v>0</v>
      </c>
      <c r="BV25" s="396">
        <v>0</v>
      </c>
      <c r="BW25" s="396">
        <v>0</v>
      </c>
      <c r="BX25" s="396">
        <v>0</v>
      </c>
      <c r="BY25" s="396">
        <v>0</v>
      </c>
    </row>
    <row r="26" spans="2:77" x14ac:dyDescent="0.2">
      <c r="B26" s="207" t="s">
        <v>549</v>
      </c>
      <c r="C26" s="396">
        <v>1</v>
      </c>
      <c r="AR26" s="207" t="s">
        <v>549</v>
      </c>
      <c r="AS26" s="396">
        <v>0</v>
      </c>
      <c r="AT26" s="396">
        <v>0</v>
      </c>
      <c r="AU26" s="396">
        <v>0</v>
      </c>
      <c r="AV26" s="396">
        <v>0</v>
      </c>
      <c r="AW26" s="396">
        <v>0</v>
      </c>
      <c r="AX26" s="396">
        <v>0</v>
      </c>
      <c r="AY26" s="396">
        <v>0</v>
      </c>
      <c r="AZ26" s="396">
        <v>0</v>
      </c>
      <c r="BA26" s="396">
        <v>0</v>
      </c>
      <c r="BB26" s="396">
        <v>0</v>
      </c>
      <c r="BC26" s="396">
        <v>0</v>
      </c>
      <c r="BD26" s="396">
        <v>0</v>
      </c>
      <c r="BE26" s="396">
        <v>0</v>
      </c>
      <c r="BF26" s="396">
        <v>0</v>
      </c>
      <c r="BK26" s="207" t="s">
        <v>549</v>
      </c>
      <c r="BL26" s="396">
        <v>0</v>
      </c>
      <c r="BM26" s="396">
        <v>0</v>
      </c>
      <c r="BN26" s="396">
        <v>0</v>
      </c>
      <c r="BO26" s="396">
        <v>0</v>
      </c>
      <c r="BP26" s="396">
        <v>0</v>
      </c>
      <c r="BQ26" s="396">
        <v>0</v>
      </c>
      <c r="BR26" s="396">
        <v>0</v>
      </c>
      <c r="BS26" s="396">
        <v>0</v>
      </c>
      <c r="BT26" s="396">
        <v>0</v>
      </c>
      <c r="BU26" s="396">
        <v>0</v>
      </c>
      <c r="BV26" s="396">
        <v>0</v>
      </c>
      <c r="BW26" s="396">
        <v>0</v>
      </c>
      <c r="BX26" s="396">
        <v>0</v>
      </c>
      <c r="BY26" s="396">
        <v>0</v>
      </c>
    </row>
    <row r="27" spans="2:77" x14ac:dyDescent="0.2">
      <c r="B27" s="207" t="s">
        <v>543</v>
      </c>
      <c r="C27" s="396">
        <v>1</v>
      </c>
      <c r="AR27" s="207" t="s">
        <v>543</v>
      </c>
      <c r="AS27" s="396">
        <v>0</v>
      </c>
      <c r="AT27" s="396">
        <v>0</v>
      </c>
      <c r="AU27" s="396">
        <v>0</v>
      </c>
      <c r="AV27" s="396">
        <v>0</v>
      </c>
      <c r="AW27" s="396">
        <v>0</v>
      </c>
      <c r="AX27" s="396">
        <v>0</v>
      </c>
      <c r="AY27" s="396">
        <v>0</v>
      </c>
      <c r="AZ27" s="396">
        <v>0</v>
      </c>
      <c r="BA27" s="396">
        <v>0</v>
      </c>
      <c r="BB27" s="396">
        <v>0</v>
      </c>
      <c r="BC27" s="396">
        <v>0</v>
      </c>
      <c r="BD27" s="396">
        <v>0</v>
      </c>
      <c r="BE27" s="396">
        <v>0</v>
      </c>
      <c r="BF27" s="396">
        <v>0</v>
      </c>
      <c r="BK27" s="207" t="s">
        <v>543</v>
      </c>
      <c r="BL27" s="396">
        <v>0</v>
      </c>
      <c r="BM27" s="396">
        <v>0</v>
      </c>
      <c r="BN27" s="396">
        <v>0</v>
      </c>
      <c r="BO27" s="396">
        <v>0</v>
      </c>
      <c r="BP27" s="396">
        <v>0</v>
      </c>
      <c r="BQ27" s="396">
        <v>0</v>
      </c>
      <c r="BR27" s="396">
        <v>0</v>
      </c>
      <c r="BS27" s="396">
        <v>0</v>
      </c>
      <c r="BT27" s="396">
        <v>0</v>
      </c>
      <c r="BU27" s="396">
        <v>0</v>
      </c>
      <c r="BV27" s="396">
        <v>0</v>
      </c>
      <c r="BW27" s="396">
        <v>0</v>
      </c>
      <c r="BX27" s="396">
        <v>0</v>
      </c>
      <c r="BY27" s="396">
        <v>0</v>
      </c>
    </row>
    <row r="28" spans="2:77" ht="16" x14ac:dyDescent="0.2">
      <c r="B28" s="254" t="s">
        <v>545</v>
      </c>
      <c r="C28" s="396">
        <v>1</v>
      </c>
      <c r="AR28" s="254" t="s">
        <v>545</v>
      </c>
      <c r="AS28" s="396">
        <v>0</v>
      </c>
      <c r="AT28" s="396">
        <v>0</v>
      </c>
      <c r="AU28" s="396">
        <v>0</v>
      </c>
      <c r="AV28" s="396">
        <v>0</v>
      </c>
      <c r="AW28" s="396">
        <v>0</v>
      </c>
      <c r="AX28" s="396">
        <v>0</v>
      </c>
      <c r="AY28" s="396">
        <v>0</v>
      </c>
      <c r="AZ28" s="396">
        <v>0</v>
      </c>
      <c r="BA28" s="396">
        <v>0</v>
      </c>
      <c r="BB28" s="396">
        <v>0</v>
      </c>
      <c r="BC28" s="396">
        <v>0</v>
      </c>
      <c r="BD28" s="396">
        <v>0</v>
      </c>
      <c r="BE28" s="396">
        <v>0</v>
      </c>
      <c r="BF28" s="396">
        <v>0</v>
      </c>
      <c r="BK28" s="254" t="s">
        <v>545</v>
      </c>
      <c r="BL28" s="396">
        <v>0</v>
      </c>
      <c r="BM28" s="396">
        <v>0</v>
      </c>
      <c r="BN28" s="396">
        <v>0</v>
      </c>
      <c r="BO28" s="396">
        <v>0</v>
      </c>
      <c r="BP28" s="396">
        <v>0</v>
      </c>
      <c r="BQ28" s="396">
        <v>0</v>
      </c>
      <c r="BR28" s="396">
        <v>0</v>
      </c>
      <c r="BS28" s="396">
        <v>0</v>
      </c>
      <c r="BT28" s="396">
        <v>0</v>
      </c>
      <c r="BU28" s="396">
        <v>0</v>
      </c>
      <c r="BV28" s="396">
        <v>0</v>
      </c>
      <c r="BW28" s="396">
        <v>0</v>
      </c>
      <c r="BX28" s="396">
        <v>0</v>
      </c>
      <c r="BY28" s="396">
        <v>0</v>
      </c>
    </row>
    <row r="29" spans="2:77" x14ac:dyDescent="0.2">
      <c r="B29" s="207" t="s">
        <v>544</v>
      </c>
      <c r="C29" s="396">
        <v>1</v>
      </c>
      <c r="AR29" s="207" t="s">
        <v>544</v>
      </c>
      <c r="AS29" s="396">
        <v>0</v>
      </c>
      <c r="AT29" s="396">
        <v>0</v>
      </c>
      <c r="AU29" s="396">
        <v>0</v>
      </c>
      <c r="AV29" s="396">
        <v>0</v>
      </c>
      <c r="AW29" s="396">
        <v>0</v>
      </c>
      <c r="AX29" s="396">
        <v>0</v>
      </c>
      <c r="AY29" s="396">
        <v>0</v>
      </c>
      <c r="AZ29" s="396">
        <v>0</v>
      </c>
      <c r="BA29" s="396">
        <v>0</v>
      </c>
      <c r="BB29" s="396">
        <v>0</v>
      </c>
      <c r="BC29" s="396">
        <v>0</v>
      </c>
      <c r="BD29" s="396">
        <v>0</v>
      </c>
      <c r="BE29" s="396">
        <v>0</v>
      </c>
      <c r="BF29" s="396">
        <v>0</v>
      </c>
      <c r="BK29" s="207" t="s">
        <v>544</v>
      </c>
      <c r="BL29" s="396">
        <v>0</v>
      </c>
      <c r="BM29" s="396">
        <v>0</v>
      </c>
      <c r="BN29" s="396">
        <v>0</v>
      </c>
      <c r="BO29" s="396">
        <v>0</v>
      </c>
      <c r="BP29" s="396">
        <v>0</v>
      </c>
      <c r="BQ29" s="396">
        <v>0</v>
      </c>
      <c r="BR29" s="396">
        <v>0</v>
      </c>
      <c r="BS29" s="396">
        <v>0</v>
      </c>
      <c r="BT29" s="396">
        <v>0</v>
      </c>
      <c r="BU29" s="396">
        <v>0</v>
      </c>
      <c r="BV29" s="396">
        <v>0</v>
      </c>
      <c r="BW29" s="396">
        <v>0</v>
      </c>
      <c r="BX29" s="396">
        <v>0</v>
      </c>
      <c r="BY29" s="396">
        <v>0</v>
      </c>
    </row>
    <row r="30" spans="2:77" x14ac:dyDescent="0.2">
      <c r="B30" s="205" t="s">
        <v>546</v>
      </c>
      <c r="C30" s="396">
        <v>1</v>
      </c>
      <c r="AR30" s="205" t="s">
        <v>546</v>
      </c>
      <c r="AS30" s="396">
        <v>0</v>
      </c>
      <c r="AT30" s="396">
        <v>0</v>
      </c>
      <c r="AU30" s="396">
        <v>0</v>
      </c>
      <c r="AV30" s="396">
        <v>0</v>
      </c>
      <c r="AW30" s="396">
        <v>0</v>
      </c>
      <c r="AX30" s="396">
        <v>0</v>
      </c>
      <c r="AY30" s="396">
        <v>0</v>
      </c>
      <c r="AZ30" s="396">
        <v>0</v>
      </c>
      <c r="BA30" s="396">
        <v>0</v>
      </c>
      <c r="BB30" s="396">
        <v>0</v>
      </c>
      <c r="BC30" s="396">
        <v>0</v>
      </c>
      <c r="BD30" s="396">
        <v>0</v>
      </c>
      <c r="BE30" s="396">
        <v>0</v>
      </c>
      <c r="BF30" s="396">
        <v>0</v>
      </c>
      <c r="BK30" s="205" t="s">
        <v>546</v>
      </c>
      <c r="BL30" s="396">
        <v>0</v>
      </c>
      <c r="BM30" s="396">
        <v>0</v>
      </c>
      <c r="BN30" s="396">
        <v>0</v>
      </c>
      <c r="BO30" s="396">
        <v>0</v>
      </c>
      <c r="BP30" s="396">
        <v>0</v>
      </c>
      <c r="BQ30" s="396">
        <v>0</v>
      </c>
      <c r="BR30" s="396">
        <v>0</v>
      </c>
      <c r="BS30" s="396">
        <v>0</v>
      </c>
      <c r="BT30" s="396">
        <v>0</v>
      </c>
      <c r="BU30" s="396">
        <v>0</v>
      </c>
      <c r="BV30" s="396">
        <v>0</v>
      </c>
      <c r="BW30" s="396">
        <v>0</v>
      </c>
      <c r="BX30" s="396">
        <v>0</v>
      </c>
      <c r="BY30" s="396">
        <v>0</v>
      </c>
    </row>
    <row r="31" spans="2:77" x14ac:dyDescent="0.2">
      <c r="B31" s="207" t="s">
        <v>541</v>
      </c>
      <c r="C31" s="396">
        <v>1</v>
      </c>
      <c r="AR31" s="207" t="s">
        <v>541</v>
      </c>
      <c r="AS31" s="396">
        <v>0</v>
      </c>
      <c r="AT31" s="396">
        <v>0</v>
      </c>
      <c r="AU31" s="396">
        <v>0</v>
      </c>
      <c r="AV31" s="396">
        <v>0</v>
      </c>
      <c r="AW31" s="396">
        <v>0</v>
      </c>
      <c r="AX31" s="396">
        <v>0</v>
      </c>
      <c r="AY31" s="396">
        <v>0</v>
      </c>
      <c r="AZ31" s="396">
        <v>0</v>
      </c>
      <c r="BA31" s="396">
        <v>0</v>
      </c>
      <c r="BB31" s="396">
        <v>0</v>
      </c>
      <c r="BC31" s="396">
        <v>0</v>
      </c>
      <c r="BD31" s="396">
        <v>0</v>
      </c>
      <c r="BE31" s="396">
        <v>0</v>
      </c>
      <c r="BF31" s="396">
        <v>0</v>
      </c>
      <c r="BK31" s="207" t="s">
        <v>541</v>
      </c>
      <c r="BL31" s="396">
        <v>0</v>
      </c>
      <c r="BM31" s="396">
        <v>0</v>
      </c>
      <c r="BN31" s="396">
        <v>0</v>
      </c>
      <c r="BO31" s="396">
        <v>0</v>
      </c>
      <c r="BP31" s="396">
        <v>0</v>
      </c>
      <c r="BQ31" s="396">
        <v>0</v>
      </c>
      <c r="BR31" s="396">
        <v>0</v>
      </c>
      <c r="BS31" s="396">
        <v>0</v>
      </c>
      <c r="BT31" s="396">
        <v>0</v>
      </c>
      <c r="BU31" s="396">
        <v>0</v>
      </c>
      <c r="BV31" s="396">
        <v>0</v>
      </c>
      <c r="BW31" s="396">
        <v>0</v>
      </c>
      <c r="BX31" s="396">
        <v>0</v>
      </c>
      <c r="BY31" s="396">
        <v>0</v>
      </c>
    </row>
    <row r="32" spans="2:77" x14ac:dyDescent="0.2">
      <c r="B32" s="207" t="s">
        <v>571</v>
      </c>
      <c r="C32" s="396">
        <v>1</v>
      </c>
      <c r="AR32" s="207" t="s">
        <v>571</v>
      </c>
      <c r="AS32" s="396">
        <v>0</v>
      </c>
      <c r="AT32" s="396">
        <v>0</v>
      </c>
      <c r="AU32" s="396">
        <v>0</v>
      </c>
      <c r="AV32" s="396">
        <v>0</v>
      </c>
      <c r="AW32" s="396">
        <v>0</v>
      </c>
      <c r="AX32" s="396">
        <v>0</v>
      </c>
      <c r="AY32" s="396">
        <v>0</v>
      </c>
      <c r="AZ32" s="396">
        <v>0</v>
      </c>
      <c r="BA32" s="396">
        <v>0</v>
      </c>
      <c r="BB32" s="396">
        <v>0</v>
      </c>
      <c r="BC32" s="396">
        <v>0</v>
      </c>
      <c r="BD32" s="396">
        <v>0</v>
      </c>
      <c r="BE32" s="396">
        <v>0</v>
      </c>
      <c r="BF32" s="396">
        <v>0</v>
      </c>
      <c r="BK32" s="207" t="s">
        <v>571</v>
      </c>
      <c r="BL32" s="396">
        <v>0</v>
      </c>
      <c r="BM32" s="396">
        <v>0</v>
      </c>
      <c r="BN32" s="396">
        <v>0</v>
      </c>
      <c r="BO32" s="396">
        <v>0</v>
      </c>
      <c r="BP32" s="396">
        <v>0</v>
      </c>
      <c r="BQ32" s="396">
        <v>0</v>
      </c>
      <c r="BR32" s="396">
        <v>0</v>
      </c>
      <c r="BS32" s="396">
        <v>0</v>
      </c>
      <c r="BT32" s="396">
        <v>0</v>
      </c>
      <c r="BU32" s="396">
        <v>0</v>
      </c>
      <c r="BV32" s="396">
        <v>0</v>
      </c>
      <c r="BW32" s="396">
        <v>0</v>
      </c>
      <c r="BX32" s="396">
        <v>0</v>
      </c>
      <c r="BY32" s="396">
        <v>0</v>
      </c>
    </row>
    <row r="33" spans="2:77" x14ac:dyDescent="0.2">
      <c r="B33" s="207" t="s">
        <v>572</v>
      </c>
      <c r="C33" s="396">
        <v>1</v>
      </c>
      <c r="AR33" s="207" t="s">
        <v>572</v>
      </c>
      <c r="AS33" s="396">
        <v>0</v>
      </c>
      <c r="AT33" s="396">
        <v>0</v>
      </c>
      <c r="AU33" s="396">
        <v>0</v>
      </c>
      <c r="AV33" s="396">
        <v>0</v>
      </c>
      <c r="AW33" s="396">
        <v>0</v>
      </c>
      <c r="AX33" s="396">
        <v>0</v>
      </c>
      <c r="AY33" s="396">
        <v>0</v>
      </c>
      <c r="AZ33" s="396">
        <v>0</v>
      </c>
      <c r="BA33" s="396">
        <v>0</v>
      </c>
      <c r="BB33" s="396">
        <v>0</v>
      </c>
      <c r="BC33" s="396">
        <v>0</v>
      </c>
      <c r="BD33" s="396">
        <v>0</v>
      </c>
      <c r="BE33" s="396">
        <v>0</v>
      </c>
      <c r="BF33" s="396">
        <v>0</v>
      </c>
      <c r="BK33" s="207" t="s">
        <v>572</v>
      </c>
      <c r="BL33" s="396">
        <v>0</v>
      </c>
      <c r="BM33" s="396">
        <v>0</v>
      </c>
      <c r="BN33" s="396">
        <v>0</v>
      </c>
      <c r="BO33" s="396">
        <v>0</v>
      </c>
      <c r="BP33" s="396">
        <v>0</v>
      </c>
      <c r="BQ33" s="396">
        <v>0</v>
      </c>
      <c r="BR33" s="396">
        <v>0</v>
      </c>
      <c r="BS33" s="396">
        <v>0</v>
      </c>
      <c r="BT33" s="396">
        <v>0</v>
      </c>
      <c r="BU33" s="396">
        <v>0</v>
      </c>
      <c r="BV33" s="396">
        <v>0</v>
      </c>
      <c r="BW33" s="396">
        <v>0</v>
      </c>
      <c r="BX33" s="396">
        <v>0</v>
      </c>
      <c r="BY33" s="396">
        <v>0</v>
      </c>
    </row>
    <row r="34" spans="2:77" x14ac:dyDescent="0.2">
      <c r="B34" s="207" t="s">
        <v>573</v>
      </c>
      <c r="C34" s="396">
        <v>1</v>
      </c>
      <c r="AR34" s="207" t="s">
        <v>573</v>
      </c>
      <c r="AS34" s="396">
        <v>0</v>
      </c>
      <c r="AT34" s="396">
        <v>0</v>
      </c>
      <c r="AU34" s="396">
        <v>0</v>
      </c>
      <c r="AV34" s="396">
        <v>0</v>
      </c>
      <c r="AW34" s="396">
        <v>0</v>
      </c>
      <c r="AX34" s="396">
        <v>0</v>
      </c>
      <c r="AY34" s="396">
        <v>0</v>
      </c>
      <c r="AZ34" s="396">
        <v>0</v>
      </c>
      <c r="BA34" s="396">
        <v>0</v>
      </c>
      <c r="BB34" s="396">
        <v>0</v>
      </c>
      <c r="BC34" s="396">
        <v>0</v>
      </c>
      <c r="BD34" s="396">
        <v>0</v>
      </c>
      <c r="BE34" s="396">
        <v>0</v>
      </c>
      <c r="BF34" s="396">
        <v>0</v>
      </c>
      <c r="BK34" s="207" t="s">
        <v>573</v>
      </c>
      <c r="BL34" s="396">
        <v>0</v>
      </c>
      <c r="BM34" s="396">
        <v>0</v>
      </c>
      <c r="BN34" s="396">
        <v>0</v>
      </c>
      <c r="BO34" s="396">
        <v>0</v>
      </c>
      <c r="BP34" s="396">
        <v>0</v>
      </c>
      <c r="BQ34" s="396">
        <v>0</v>
      </c>
      <c r="BR34" s="396">
        <v>0</v>
      </c>
      <c r="BS34" s="396">
        <v>0</v>
      </c>
      <c r="BT34" s="396">
        <v>0</v>
      </c>
      <c r="BU34" s="396">
        <v>0</v>
      </c>
      <c r="BV34" s="396">
        <v>0</v>
      </c>
      <c r="BW34" s="396">
        <v>0</v>
      </c>
      <c r="BX34" s="396">
        <v>0</v>
      </c>
      <c r="BY34" s="396">
        <v>0</v>
      </c>
    </row>
    <row r="35" spans="2:77" x14ac:dyDescent="0.2">
      <c r="B35" s="207" t="s">
        <v>584</v>
      </c>
      <c r="C35" s="396">
        <v>1</v>
      </c>
      <c r="AR35" s="207" t="s">
        <v>584</v>
      </c>
      <c r="AS35" s="396">
        <v>0</v>
      </c>
      <c r="AT35" s="396">
        <v>0</v>
      </c>
      <c r="AU35" s="396">
        <v>0</v>
      </c>
      <c r="AV35" s="396">
        <v>0</v>
      </c>
      <c r="AW35" s="396">
        <v>0</v>
      </c>
      <c r="AX35" s="396">
        <v>0</v>
      </c>
      <c r="AY35" s="396">
        <v>0</v>
      </c>
      <c r="AZ35" s="396">
        <v>0</v>
      </c>
      <c r="BA35" s="396">
        <v>0</v>
      </c>
      <c r="BB35" s="396">
        <v>0</v>
      </c>
      <c r="BC35" s="396">
        <v>0</v>
      </c>
      <c r="BD35" s="396">
        <v>0</v>
      </c>
      <c r="BE35" s="396">
        <v>0</v>
      </c>
      <c r="BF35" s="396">
        <v>0</v>
      </c>
      <c r="BK35" s="207" t="s">
        <v>584</v>
      </c>
      <c r="BL35" s="396">
        <v>0</v>
      </c>
      <c r="BM35" s="396">
        <v>0</v>
      </c>
      <c r="BN35" s="396">
        <v>0</v>
      </c>
      <c r="BO35" s="396">
        <v>0</v>
      </c>
      <c r="BP35" s="396">
        <v>0</v>
      </c>
      <c r="BQ35" s="396">
        <v>0</v>
      </c>
      <c r="BR35" s="396">
        <v>0</v>
      </c>
      <c r="BS35" s="396">
        <v>0</v>
      </c>
      <c r="BT35" s="396">
        <v>0</v>
      </c>
      <c r="BU35" s="396">
        <v>0</v>
      </c>
      <c r="BV35" s="396">
        <v>0</v>
      </c>
      <c r="BW35" s="396">
        <v>0</v>
      </c>
      <c r="BX35" s="396">
        <v>0</v>
      </c>
      <c r="BY35" s="396">
        <v>0</v>
      </c>
    </row>
    <row r="36" spans="2:77" x14ac:dyDescent="0.2">
      <c r="C36" s="172" t="s">
        <v>603</v>
      </c>
      <c r="AR36" s="207"/>
      <c r="AS36" s="359" t="s">
        <v>600</v>
      </c>
      <c r="AT36" s="359"/>
      <c r="AU36" s="359"/>
      <c r="AV36" s="359"/>
      <c r="AW36" s="359"/>
      <c r="AX36" s="359"/>
      <c r="AY36" s="359"/>
      <c r="AZ36" s="359"/>
      <c r="BA36" s="359"/>
      <c r="BB36" s="359"/>
      <c r="BC36" s="359"/>
      <c r="BD36" s="359"/>
      <c r="BE36" s="359"/>
      <c r="BF36" s="359"/>
      <c r="BK36" s="207"/>
      <c r="BL36" s="359" t="s">
        <v>601</v>
      </c>
      <c r="BM36" s="359"/>
      <c r="BN36" s="359"/>
      <c r="BO36" s="359"/>
      <c r="BP36" s="359"/>
      <c r="BQ36" s="359"/>
      <c r="BR36" s="359"/>
      <c r="BS36" s="359"/>
      <c r="BT36" s="359"/>
      <c r="BU36" s="359"/>
      <c r="BV36" s="359"/>
      <c r="BW36" s="359"/>
      <c r="BX36" s="359"/>
      <c r="BY36" s="359"/>
    </row>
    <row r="37" spans="2:77" x14ac:dyDescent="0.2">
      <c r="AR37" s="207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7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7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7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1"/>
      <c r="AS39" s="208" t="s">
        <v>418</v>
      </c>
      <c r="AT39" s="208" t="s">
        <v>419</v>
      </c>
      <c r="AU39" s="208" t="s">
        <v>420</v>
      </c>
      <c r="AV39" s="208" t="s">
        <v>582</v>
      </c>
      <c r="AW39" s="208" t="s">
        <v>561</v>
      </c>
      <c r="AX39" s="208" t="s">
        <v>560</v>
      </c>
      <c r="AY39" s="208" t="s">
        <v>446</v>
      </c>
      <c r="AZ39" s="208" t="s">
        <v>443</v>
      </c>
      <c r="BA39" s="208" t="s">
        <v>465</v>
      </c>
      <c r="BB39" s="208" t="s">
        <v>444</v>
      </c>
      <c r="BC39" s="208" t="s">
        <v>439</v>
      </c>
      <c r="BD39" s="208" t="s">
        <v>461</v>
      </c>
      <c r="BE39" s="208" t="s">
        <v>81</v>
      </c>
      <c r="BF39" s="208" t="s">
        <v>430</v>
      </c>
      <c r="BK39" s="207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5" t="s">
        <v>426</v>
      </c>
      <c r="AS40" s="396">
        <f>AS83</f>
        <v>109233.7126431732</v>
      </c>
      <c r="AT40" s="396">
        <f t="shared" ref="AT40:BF40" si="0">AT83</f>
        <v>0</v>
      </c>
      <c r="AU40" s="396">
        <f t="shared" si="0"/>
        <v>0</v>
      </c>
      <c r="AV40" s="396">
        <f t="shared" si="0"/>
        <v>0</v>
      </c>
      <c r="AW40" s="396">
        <f t="shared" si="0"/>
        <v>0</v>
      </c>
      <c r="AX40" s="396">
        <f t="shared" si="0"/>
        <v>0</v>
      </c>
      <c r="AY40" s="396">
        <f t="shared" si="0"/>
        <v>0</v>
      </c>
      <c r="AZ40" s="396">
        <f t="shared" si="0"/>
        <v>0</v>
      </c>
      <c r="BA40" s="396">
        <f t="shared" si="0"/>
        <v>0</v>
      </c>
      <c r="BB40" s="396">
        <f t="shared" si="0"/>
        <v>0</v>
      </c>
      <c r="BC40" s="396">
        <f t="shared" si="0"/>
        <v>0</v>
      </c>
      <c r="BD40" s="396">
        <f t="shared" si="0"/>
        <v>0</v>
      </c>
      <c r="BE40" s="396">
        <f t="shared" si="0"/>
        <v>0</v>
      </c>
      <c r="BF40" s="396">
        <f t="shared" si="0"/>
        <v>0</v>
      </c>
      <c r="BK40" s="207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5" t="s">
        <v>428</v>
      </c>
      <c r="AS41" s="396">
        <f t="shared" ref="AS41:BF41" si="1">AS84</f>
        <v>0</v>
      </c>
      <c r="AT41" s="396">
        <f t="shared" si="1"/>
        <v>25394.240916408646</v>
      </c>
      <c r="AU41" s="396">
        <f t="shared" si="1"/>
        <v>0</v>
      </c>
      <c r="AV41" s="396">
        <f t="shared" si="1"/>
        <v>0</v>
      </c>
      <c r="AW41" s="396">
        <f t="shared" si="1"/>
        <v>0</v>
      </c>
      <c r="AX41" s="396">
        <f t="shared" si="1"/>
        <v>0</v>
      </c>
      <c r="AY41" s="396">
        <f t="shared" si="1"/>
        <v>0</v>
      </c>
      <c r="AZ41" s="396">
        <f t="shared" si="1"/>
        <v>0</v>
      </c>
      <c r="BA41" s="396">
        <f t="shared" si="1"/>
        <v>0</v>
      </c>
      <c r="BB41" s="396">
        <f t="shared" si="1"/>
        <v>0</v>
      </c>
      <c r="BC41" s="396">
        <f t="shared" si="1"/>
        <v>0</v>
      </c>
      <c r="BD41" s="396">
        <f t="shared" si="1"/>
        <v>0</v>
      </c>
      <c r="BE41" s="396">
        <f t="shared" si="1"/>
        <v>0</v>
      </c>
      <c r="BF41" s="396">
        <f t="shared" si="1"/>
        <v>0</v>
      </c>
      <c r="BK41" s="207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5" t="s">
        <v>429</v>
      </c>
      <c r="AS42" s="396">
        <f t="shared" ref="AS42:BF42" si="2">AS85</f>
        <v>0</v>
      </c>
      <c r="AT42" s="396">
        <f t="shared" si="2"/>
        <v>0</v>
      </c>
      <c r="AU42" s="396">
        <f t="shared" si="2"/>
        <v>8746311.5419027284</v>
      </c>
      <c r="AV42" s="396">
        <f t="shared" si="2"/>
        <v>0</v>
      </c>
      <c r="AW42" s="396">
        <f t="shared" si="2"/>
        <v>0</v>
      </c>
      <c r="AX42" s="396">
        <f t="shared" si="2"/>
        <v>0</v>
      </c>
      <c r="AY42" s="396">
        <f t="shared" si="2"/>
        <v>0</v>
      </c>
      <c r="AZ42" s="396">
        <f t="shared" si="2"/>
        <v>0</v>
      </c>
      <c r="BA42" s="396">
        <f t="shared" si="2"/>
        <v>0</v>
      </c>
      <c r="BB42" s="396">
        <f t="shared" si="2"/>
        <v>0</v>
      </c>
      <c r="BC42" s="396">
        <f t="shared" si="2"/>
        <v>0</v>
      </c>
      <c r="BD42" s="396">
        <f t="shared" si="2"/>
        <v>0</v>
      </c>
      <c r="BE42" s="396">
        <f t="shared" si="2"/>
        <v>0</v>
      </c>
      <c r="BF42" s="396">
        <f t="shared" si="2"/>
        <v>0</v>
      </c>
      <c r="BK42" s="207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5" t="s">
        <v>450</v>
      </c>
      <c r="AS43" s="396">
        <f t="shared" ref="AS43:BF43" si="3">AS86</f>
        <v>233.82334445083558</v>
      </c>
      <c r="AT43" s="396">
        <f t="shared" si="3"/>
        <v>0.70159378736823275</v>
      </c>
      <c r="AU43" s="396">
        <f t="shared" si="3"/>
        <v>9.9856594755010616E-2</v>
      </c>
      <c r="AV43" s="396">
        <f t="shared" si="3"/>
        <v>0</v>
      </c>
      <c r="AW43" s="396">
        <f t="shared" si="3"/>
        <v>0</v>
      </c>
      <c r="AX43" s="396">
        <f t="shared" si="3"/>
        <v>0</v>
      </c>
      <c r="AY43" s="396">
        <f t="shared" si="3"/>
        <v>0</v>
      </c>
      <c r="AZ43" s="396">
        <f t="shared" si="3"/>
        <v>0</v>
      </c>
      <c r="BA43" s="396">
        <f t="shared" si="3"/>
        <v>0</v>
      </c>
      <c r="BB43" s="396">
        <f t="shared" si="3"/>
        <v>2228.753251272266</v>
      </c>
      <c r="BC43" s="396">
        <f t="shared" si="3"/>
        <v>7.8280438423951519</v>
      </c>
      <c r="BD43" s="396">
        <f t="shared" si="3"/>
        <v>0</v>
      </c>
      <c r="BE43" s="396">
        <f t="shared" si="3"/>
        <v>0</v>
      </c>
      <c r="BF43" s="396">
        <f t="shared" si="3"/>
        <v>23611.293462025522</v>
      </c>
      <c r="BK43" s="207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5" t="s">
        <v>485</v>
      </c>
      <c r="AS44" s="396">
        <f t="shared" ref="AS44:BF44" si="4">AS87</f>
        <v>0</v>
      </c>
      <c r="AT44" s="396">
        <f t="shared" si="4"/>
        <v>0</v>
      </c>
      <c r="AU44" s="396">
        <f t="shared" si="4"/>
        <v>0</v>
      </c>
      <c r="AV44" s="396">
        <f t="shared" si="4"/>
        <v>0</v>
      </c>
      <c r="AW44" s="396">
        <f t="shared" si="4"/>
        <v>0</v>
      </c>
      <c r="AX44" s="396">
        <f t="shared" si="4"/>
        <v>0</v>
      </c>
      <c r="AY44" s="396">
        <f t="shared" si="4"/>
        <v>0</v>
      </c>
      <c r="AZ44" s="396">
        <f t="shared" si="4"/>
        <v>0</v>
      </c>
      <c r="BA44" s="396">
        <f t="shared" si="4"/>
        <v>0</v>
      </c>
      <c r="BB44" s="396">
        <f t="shared" si="4"/>
        <v>1078370532.5161049</v>
      </c>
      <c r="BC44" s="396">
        <f t="shared" si="4"/>
        <v>879540.87913658854</v>
      </c>
      <c r="BD44" s="396">
        <f t="shared" si="4"/>
        <v>0</v>
      </c>
      <c r="BE44" s="396">
        <f t="shared" si="4"/>
        <v>0</v>
      </c>
      <c r="BF44" s="396">
        <f t="shared" si="4"/>
        <v>2321518.855933811</v>
      </c>
      <c r="BK44" s="207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5" t="s">
        <v>596</v>
      </c>
      <c r="AS45" s="396">
        <f t="shared" ref="AS45:BF45" si="5">AS88</f>
        <v>87512.008023532893</v>
      </c>
      <c r="AT45" s="396">
        <f t="shared" si="5"/>
        <v>239.81393514966189</v>
      </c>
      <c r="AU45" s="396">
        <f t="shared" si="5"/>
        <v>20815.376944573403</v>
      </c>
      <c r="AV45" s="396">
        <f t="shared" si="5"/>
        <v>0</v>
      </c>
      <c r="AW45" s="396">
        <f t="shared" si="5"/>
        <v>0</v>
      </c>
      <c r="AX45" s="396">
        <f t="shared" si="5"/>
        <v>0</v>
      </c>
      <c r="AY45" s="396">
        <f t="shared" si="5"/>
        <v>0</v>
      </c>
      <c r="AZ45" s="396">
        <f t="shared" si="5"/>
        <v>0</v>
      </c>
      <c r="BA45" s="396">
        <f t="shared" si="5"/>
        <v>0</v>
      </c>
      <c r="BB45" s="396">
        <f t="shared" si="5"/>
        <v>0</v>
      </c>
      <c r="BC45" s="396">
        <f t="shared" si="5"/>
        <v>0</v>
      </c>
      <c r="BD45" s="396">
        <f t="shared" si="5"/>
        <v>0</v>
      </c>
      <c r="BE45" s="396">
        <f t="shared" si="5"/>
        <v>0</v>
      </c>
      <c r="BF45" s="396">
        <f t="shared" si="5"/>
        <v>0</v>
      </c>
      <c r="BK45" s="207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5" t="s">
        <v>597</v>
      </c>
      <c r="AS46" s="396">
        <f t="shared" ref="AS46:BF46" si="6">AS89</f>
        <v>0</v>
      </c>
      <c r="AT46" s="396">
        <f t="shared" si="6"/>
        <v>24.513235855857225</v>
      </c>
      <c r="AU46" s="396">
        <f t="shared" si="6"/>
        <v>0</v>
      </c>
      <c r="AV46" s="396">
        <f t="shared" si="6"/>
        <v>0</v>
      </c>
      <c r="AW46" s="396">
        <f t="shared" si="6"/>
        <v>0</v>
      </c>
      <c r="AX46" s="396">
        <f t="shared" si="6"/>
        <v>0</v>
      </c>
      <c r="AY46" s="396">
        <f t="shared" si="6"/>
        <v>0</v>
      </c>
      <c r="AZ46" s="396">
        <f t="shared" si="6"/>
        <v>0</v>
      </c>
      <c r="BA46" s="396">
        <f t="shared" si="6"/>
        <v>0</v>
      </c>
      <c r="BB46" s="396">
        <f t="shared" si="6"/>
        <v>0</v>
      </c>
      <c r="BC46" s="396">
        <f t="shared" si="6"/>
        <v>0</v>
      </c>
      <c r="BD46" s="396">
        <f t="shared" si="6"/>
        <v>0</v>
      </c>
      <c r="BE46" s="396">
        <f t="shared" si="6"/>
        <v>0</v>
      </c>
      <c r="BF46" s="396">
        <f t="shared" si="6"/>
        <v>0</v>
      </c>
      <c r="BK46" s="207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5" t="s">
        <v>533</v>
      </c>
      <c r="AS47" s="396">
        <f t="shared" ref="AS47:BF47" si="7">AS90</f>
        <v>0</v>
      </c>
      <c r="AT47" s="396">
        <f t="shared" si="7"/>
        <v>0</v>
      </c>
      <c r="AU47" s="396">
        <f t="shared" si="7"/>
        <v>0</v>
      </c>
      <c r="AV47" s="396">
        <f t="shared" si="7"/>
        <v>0</v>
      </c>
      <c r="AW47" s="396">
        <f t="shared" si="7"/>
        <v>0</v>
      </c>
      <c r="AX47" s="396">
        <f t="shared" si="7"/>
        <v>0</v>
      </c>
      <c r="AY47" s="396">
        <f t="shared" si="7"/>
        <v>0</v>
      </c>
      <c r="AZ47" s="396">
        <f t="shared" si="7"/>
        <v>0</v>
      </c>
      <c r="BA47" s="396">
        <f t="shared" si="7"/>
        <v>0</v>
      </c>
      <c r="BB47" s="396">
        <f t="shared" si="7"/>
        <v>0</v>
      </c>
      <c r="BC47" s="396">
        <f t="shared" si="7"/>
        <v>0</v>
      </c>
      <c r="BD47" s="396">
        <f t="shared" si="7"/>
        <v>0</v>
      </c>
      <c r="BE47" s="396">
        <f t="shared" si="7"/>
        <v>0</v>
      </c>
      <c r="BF47" s="396">
        <f t="shared" si="7"/>
        <v>203313.0005430537</v>
      </c>
      <c r="BK47" s="207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5" t="s">
        <v>586</v>
      </c>
      <c r="AS48" s="396">
        <f t="shared" ref="AS48:BF48" si="8">AS91</f>
        <v>0</v>
      </c>
      <c r="AT48" s="396">
        <f t="shared" si="8"/>
        <v>0</v>
      </c>
      <c r="AU48" s="396">
        <f t="shared" si="8"/>
        <v>77449.427901236573</v>
      </c>
      <c r="AV48" s="396">
        <f t="shared" si="8"/>
        <v>609792.2517593482</v>
      </c>
      <c r="AW48" s="396">
        <f t="shared" si="8"/>
        <v>2824.8856477449194</v>
      </c>
      <c r="AX48" s="396">
        <f t="shared" si="8"/>
        <v>160253.43323591491</v>
      </c>
      <c r="AY48" s="396">
        <f t="shared" si="8"/>
        <v>12626.098826338684</v>
      </c>
      <c r="AZ48" s="396">
        <f t="shared" si="8"/>
        <v>34.678095164114971</v>
      </c>
      <c r="BA48" s="396">
        <f t="shared" si="8"/>
        <v>28604.157765782104</v>
      </c>
      <c r="BB48" s="396">
        <f t="shared" si="8"/>
        <v>0</v>
      </c>
      <c r="BC48" s="396">
        <f t="shared" si="8"/>
        <v>0</v>
      </c>
      <c r="BD48" s="396">
        <f t="shared" si="8"/>
        <v>50099.526545856235</v>
      </c>
      <c r="BE48" s="396">
        <f t="shared" si="8"/>
        <v>0</v>
      </c>
      <c r="BF48" s="396">
        <f t="shared" si="8"/>
        <v>317844.87395625591</v>
      </c>
      <c r="BK48" s="207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6" t="s">
        <v>568</v>
      </c>
      <c r="AS49" s="396">
        <f t="shared" ref="AS49:BF49" si="9">AS92</f>
        <v>0</v>
      </c>
      <c r="AT49" s="396">
        <f t="shared" si="9"/>
        <v>0</v>
      </c>
      <c r="AU49" s="396">
        <f t="shared" si="9"/>
        <v>0</v>
      </c>
      <c r="AV49" s="396">
        <f t="shared" si="9"/>
        <v>109233.7126431732</v>
      </c>
      <c r="AW49" s="396">
        <f t="shared" si="9"/>
        <v>0</v>
      </c>
      <c r="AX49" s="396">
        <f t="shared" si="9"/>
        <v>0</v>
      </c>
      <c r="AY49" s="396">
        <f t="shared" si="9"/>
        <v>0</v>
      </c>
      <c r="AZ49" s="396">
        <f t="shared" si="9"/>
        <v>0</v>
      </c>
      <c r="BA49" s="396">
        <f t="shared" si="9"/>
        <v>0</v>
      </c>
      <c r="BB49" s="396">
        <f t="shared" si="9"/>
        <v>0</v>
      </c>
      <c r="BC49" s="396">
        <f t="shared" si="9"/>
        <v>0</v>
      </c>
      <c r="BD49" s="396">
        <f t="shared" si="9"/>
        <v>0</v>
      </c>
      <c r="BE49" s="396">
        <f t="shared" si="9"/>
        <v>0</v>
      </c>
      <c r="BF49" s="396">
        <f t="shared" si="9"/>
        <v>0</v>
      </c>
      <c r="BK49" s="207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5" t="s">
        <v>531</v>
      </c>
      <c r="AS50" s="396">
        <f t="shared" ref="AS50:BF50" si="10">AS93</f>
        <v>0</v>
      </c>
      <c r="AT50" s="396">
        <f t="shared" si="10"/>
        <v>0</v>
      </c>
      <c r="AU50" s="396">
        <f t="shared" si="10"/>
        <v>0</v>
      </c>
      <c r="AV50" s="396">
        <f t="shared" si="10"/>
        <v>0</v>
      </c>
      <c r="AW50" s="396">
        <f t="shared" si="10"/>
        <v>0</v>
      </c>
      <c r="AX50" s="396">
        <f t="shared" si="10"/>
        <v>0</v>
      </c>
      <c r="AY50" s="396">
        <f t="shared" si="10"/>
        <v>0</v>
      </c>
      <c r="AZ50" s="396">
        <f t="shared" si="10"/>
        <v>0</v>
      </c>
      <c r="BA50" s="396">
        <f t="shared" si="10"/>
        <v>0</v>
      </c>
      <c r="BB50" s="396">
        <f t="shared" si="10"/>
        <v>0</v>
      </c>
      <c r="BC50" s="396">
        <f t="shared" si="10"/>
        <v>0</v>
      </c>
      <c r="BD50" s="396">
        <f t="shared" si="10"/>
        <v>0</v>
      </c>
      <c r="BE50" s="396">
        <f t="shared" si="10"/>
        <v>0</v>
      </c>
      <c r="BF50" s="396">
        <f t="shared" si="10"/>
        <v>0</v>
      </c>
      <c r="BK50" s="207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6" t="s">
        <v>534</v>
      </c>
      <c r="AS51" s="396">
        <f t="shared" ref="AS51:BF51" si="11">AS94</f>
        <v>0</v>
      </c>
      <c r="AT51" s="396">
        <f t="shared" si="11"/>
        <v>0</v>
      </c>
      <c r="AU51" s="396">
        <f t="shared" si="11"/>
        <v>0</v>
      </c>
      <c r="AV51" s="396">
        <f t="shared" si="11"/>
        <v>0</v>
      </c>
      <c r="AW51" s="396">
        <f t="shared" si="11"/>
        <v>25394.240916408646</v>
      </c>
      <c r="AX51" s="396">
        <f t="shared" si="11"/>
        <v>0</v>
      </c>
      <c r="AY51" s="396">
        <f t="shared" si="11"/>
        <v>0</v>
      </c>
      <c r="AZ51" s="396">
        <f t="shared" si="11"/>
        <v>0</v>
      </c>
      <c r="BA51" s="396">
        <f t="shared" si="11"/>
        <v>0</v>
      </c>
      <c r="BB51" s="396">
        <f t="shared" si="11"/>
        <v>0</v>
      </c>
      <c r="BC51" s="396">
        <f t="shared" si="11"/>
        <v>0</v>
      </c>
      <c r="BD51" s="396">
        <f t="shared" si="11"/>
        <v>0</v>
      </c>
      <c r="BE51" s="396">
        <f t="shared" si="11"/>
        <v>0</v>
      </c>
      <c r="BF51" s="396">
        <f t="shared" si="11"/>
        <v>0</v>
      </c>
      <c r="BK51" s="207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5" t="s">
        <v>563</v>
      </c>
      <c r="AS52" s="396">
        <f t="shared" ref="AS52:BF52" si="12">AS95</f>
        <v>0</v>
      </c>
      <c r="AT52" s="396">
        <f t="shared" si="12"/>
        <v>0</v>
      </c>
      <c r="AU52" s="396">
        <f t="shared" si="12"/>
        <v>0</v>
      </c>
      <c r="AV52" s="396">
        <f t="shared" si="12"/>
        <v>0</v>
      </c>
      <c r="AW52" s="396">
        <f t="shared" si="12"/>
        <v>0</v>
      </c>
      <c r="AX52" s="396">
        <f t="shared" si="12"/>
        <v>0</v>
      </c>
      <c r="AY52" s="396">
        <f t="shared" si="12"/>
        <v>0</v>
      </c>
      <c r="AZ52" s="396">
        <f t="shared" si="12"/>
        <v>0</v>
      </c>
      <c r="BA52" s="396">
        <f t="shared" si="12"/>
        <v>0</v>
      </c>
      <c r="BB52" s="396">
        <f t="shared" si="12"/>
        <v>0</v>
      </c>
      <c r="BC52" s="396">
        <f t="shared" si="12"/>
        <v>0</v>
      </c>
      <c r="BD52" s="396">
        <f t="shared" si="12"/>
        <v>0</v>
      </c>
      <c r="BE52" s="396">
        <f t="shared" si="12"/>
        <v>0</v>
      </c>
      <c r="BF52" s="396">
        <f t="shared" si="12"/>
        <v>0</v>
      </c>
      <c r="BK52" s="207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7" t="s">
        <v>555</v>
      </c>
      <c r="AS53" s="396">
        <f t="shared" ref="AS53:BF53" si="13">AS96</f>
        <v>0</v>
      </c>
      <c r="AT53" s="396">
        <f t="shared" si="13"/>
        <v>0</v>
      </c>
      <c r="AU53" s="396">
        <f t="shared" si="13"/>
        <v>0</v>
      </c>
      <c r="AV53" s="396">
        <f t="shared" si="13"/>
        <v>0</v>
      </c>
      <c r="AW53" s="396">
        <f t="shared" si="13"/>
        <v>0</v>
      </c>
      <c r="AX53" s="396">
        <f t="shared" si="13"/>
        <v>8746311.5419027284</v>
      </c>
      <c r="AY53" s="396">
        <f t="shared" si="13"/>
        <v>0</v>
      </c>
      <c r="AZ53" s="396">
        <f t="shared" si="13"/>
        <v>0</v>
      </c>
      <c r="BA53" s="396">
        <f t="shared" si="13"/>
        <v>0</v>
      </c>
      <c r="BB53" s="396">
        <f t="shared" si="13"/>
        <v>0</v>
      </c>
      <c r="BC53" s="396">
        <f t="shared" si="13"/>
        <v>0</v>
      </c>
      <c r="BD53" s="396">
        <f t="shared" si="13"/>
        <v>0</v>
      </c>
      <c r="BE53" s="396">
        <f t="shared" si="13"/>
        <v>0</v>
      </c>
      <c r="BF53" s="396">
        <f t="shared" si="13"/>
        <v>0</v>
      </c>
      <c r="BK53" s="207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5" t="s">
        <v>538</v>
      </c>
      <c r="AS54" s="396">
        <f t="shared" ref="AS54:BF54" si="14">AS97</f>
        <v>0</v>
      </c>
      <c r="AT54" s="396">
        <f t="shared" si="14"/>
        <v>0</v>
      </c>
      <c r="AU54" s="396">
        <f t="shared" si="14"/>
        <v>0</v>
      </c>
      <c r="AV54" s="396">
        <f t="shared" si="14"/>
        <v>0</v>
      </c>
      <c r="AW54" s="396">
        <f t="shared" si="14"/>
        <v>0</v>
      </c>
      <c r="AX54" s="396">
        <f t="shared" si="14"/>
        <v>0</v>
      </c>
      <c r="AY54" s="396">
        <f t="shared" si="14"/>
        <v>0</v>
      </c>
      <c r="AZ54" s="396">
        <f t="shared" si="14"/>
        <v>0</v>
      </c>
      <c r="BA54" s="396">
        <f t="shared" si="14"/>
        <v>0</v>
      </c>
      <c r="BB54" s="396">
        <f t="shared" si="14"/>
        <v>0</v>
      </c>
      <c r="BC54" s="396">
        <f t="shared" si="14"/>
        <v>0</v>
      </c>
      <c r="BD54" s="396">
        <f t="shared" si="14"/>
        <v>0</v>
      </c>
      <c r="BE54" s="396">
        <f t="shared" si="14"/>
        <v>0</v>
      </c>
      <c r="BF54" s="396">
        <f t="shared" si="14"/>
        <v>0</v>
      </c>
      <c r="BK54" s="207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6" t="s">
        <v>567</v>
      </c>
      <c r="AS55" s="396">
        <f t="shared" ref="AS55:BF55" si="15">AS98</f>
        <v>0</v>
      </c>
      <c r="AT55" s="396">
        <f t="shared" si="15"/>
        <v>0</v>
      </c>
      <c r="AU55" s="396">
        <f t="shared" si="15"/>
        <v>0</v>
      </c>
      <c r="AV55" s="396">
        <f t="shared" si="15"/>
        <v>0</v>
      </c>
      <c r="AW55" s="396">
        <f t="shared" si="15"/>
        <v>0</v>
      </c>
      <c r="AX55" s="396">
        <f t="shared" si="15"/>
        <v>0</v>
      </c>
      <c r="AY55" s="396">
        <f t="shared" si="15"/>
        <v>109233.7126431732</v>
      </c>
      <c r="AZ55" s="396">
        <f t="shared" si="15"/>
        <v>0</v>
      </c>
      <c r="BA55" s="396">
        <f t="shared" si="15"/>
        <v>0</v>
      </c>
      <c r="BB55" s="396">
        <f t="shared" si="15"/>
        <v>0</v>
      </c>
      <c r="BC55" s="396">
        <f t="shared" si="15"/>
        <v>0</v>
      </c>
      <c r="BD55" s="396">
        <f t="shared" si="15"/>
        <v>0</v>
      </c>
      <c r="BE55" s="396">
        <f t="shared" si="15"/>
        <v>0</v>
      </c>
      <c r="BF55" s="396">
        <f t="shared" si="15"/>
        <v>0</v>
      </c>
      <c r="BK55" s="207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6" t="s">
        <v>562</v>
      </c>
      <c r="AS56" s="396">
        <f t="shared" ref="AS56:BF56" si="16">AS99</f>
        <v>0</v>
      </c>
      <c r="AT56" s="396">
        <f t="shared" si="16"/>
        <v>0</v>
      </c>
      <c r="AU56" s="396">
        <f t="shared" si="16"/>
        <v>0</v>
      </c>
      <c r="AV56" s="396">
        <f t="shared" si="16"/>
        <v>0</v>
      </c>
      <c r="AW56" s="396">
        <f t="shared" si="16"/>
        <v>0</v>
      </c>
      <c r="AX56" s="396">
        <f t="shared" si="16"/>
        <v>0</v>
      </c>
      <c r="AY56" s="396">
        <f t="shared" si="16"/>
        <v>0</v>
      </c>
      <c r="AZ56" s="396">
        <f t="shared" si="16"/>
        <v>25394.240916408646</v>
      </c>
      <c r="BA56" s="396">
        <f t="shared" si="16"/>
        <v>0</v>
      </c>
      <c r="BB56" s="396">
        <f t="shared" si="16"/>
        <v>0</v>
      </c>
      <c r="BC56" s="396">
        <f t="shared" si="16"/>
        <v>0</v>
      </c>
      <c r="BD56" s="396">
        <f t="shared" si="16"/>
        <v>0</v>
      </c>
      <c r="BE56" s="396">
        <f t="shared" si="16"/>
        <v>0</v>
      </c>
      <c r="BF56" s="396">
        <f t="shared" si="16"/>
        <v>0</v>
      </c>
      <c r="BK56" s="207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6" t="s">
        <v>559</v>
      </c>
      <c r="AS57" s="396">
        <f t="shared" ref="AS57:BF57" si="17">AS100</f>
        <v>0</v>
      </c>
      <c r="AT57" s="396">
        <f t="shared" si="17"/>
        <v>0</v>
      </c>
      <c r="AU57" s="396">
        <f t="shared" si="17"/>
        <v>0</v>
      </c>
      <c r="AV57" s="396">
        <f t="shared" si="17"/>
        <v>0</v>
      </c>
      <c r="AW57" s="396">
        <f t="shared" si="17"/>
        <v>0</v>
      </c>
      <c r="AX57" s="396">
        <f t="shared" si="17"/>
        <v>0</v>
      </c>
      <c r="AY57" s="396">
        <f t="shared" si="17"/>
        <v>0</v>
      </c>
      <c r="AZ57" s="396">
        <f t="shared" si="17"/>
        <v>0</v>
      </c>
      <c r="BA57" s="396">
        <f t="shared" si="17"/>
        <v>8746311.5419027284</v>
      </c>
      <c r="BB57" s="396">
        <f t="shared" si="17"/>
        <v>0</v>
      </c>
      <c r="BC57" s="396">
        <f t="shared" si="17"/>
        <v>0</v>
      </c>
      <c r="BD57" s="396">
        <f t="shared" si="17"/>
        <v>0</v>
      </c>
      <c r="BE57" s="396">
        <f t="shared" si="17"/>
        <v>0</v>
      </c>
      <c r="BF57" s="396">
        <f t="shared" si="17"/>
        <v>0</v>
      </c>
      <c r="BK57" s="207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6" t="s">
        <v>565</v>
      </c>
      <c r="AS58" s="396">
        <f t="shared" ref="AS58:BF58" si="18">AS101</f>
        <v>0</v>
      </c>
      <c r="AT58" s="396">
        <f t="shared" si="18"/>
        <v>0</v>
      </c>
      <c r="AU58" s="396">
        <f t="shared" si="18"/>
        <v>0</v>
      </c>
      <c r="AV58" s="396">
        <f t="shared" si="18"/>
        <v>0</v>
      </c>
      <c r="AW58" s="396">
        <f t="shared" si="18"/>
        <v>0</v>
      </c>
      <c r="AX58" s="396">
        <f t="shared" si="18"/>
        <v>0</v>
      </c>
      <c r="AY58" s="396">
        <f t="shared" si="18"/>
        <v>0</v>
      </c>
      <c r="AZ58" s="396">
        <f t="shared" si="18"/>
        <v>0</v>
      </c>
      <c r="BA58" s="396">
        <f t="shared" si="18"/>
        <v>0</v>
      </c>
      <c r="BB58" s="396">
        <f t="shared" si="18"/>
        <v>0</v>
      </c>
      <c r="BC58" s="396">
        <f t="shared" si="18"/>
        <v>0</v>
      </c>
      <c r="BD58" s="396">
        <f t="shared" si="18"/>
        <v>0</v>
      </c>
      <c r="BE58" s="396">
        <f t="shared" si="18"/>
        <v>88965.799815334409</v>
      </c>
      <c r="BF58" s="396">
        <f t="shared" si="18"/>
        <v>0</v>
      </c>
      <c r="BK58" s="207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7" t="s">
        <v>564</v>
      </c>
      <c r="AS59" s="396">
        <f t="shared" ref="AS59:BF59" si="19">AS102</f>
        <v>0</v>
      </c>
      <c r="AT59" s="396">
        <f t="shared" si="19"/>
        <v>0</v>
      </c>
      <c r="AU59" s="396">
        <f t="shared" si="19"/>
        <v>0</v>
      </c>
      <c r="AV59" s="396">
        <f t="shared" si="19"/>
        <v>0</v>
      </c>
      <c r="AW59" s="396">
        <f t="shared" si="19"/>
        <v>0</v>
      </c>
      <c r="AX59" s="396">
        <f t="shared" si="19"/>
        <v>0</v>
      </c>
      <c r="AY59" s="396">
        <f t="shared" si="19"/>
        <v>0</v>
      </c>
      <c r="AZ59" s="396">
        <f t="shared" si="19"/>
        <v>0</v>
      </c>
      <c r="BA59" s="396">
        <f t="shared" si="19"/>
        <v>0</v>
      </c>
      <c r="BB59" s="396">
        <f t="shared" si="19"/>
        <v>0</v>
      </c>
      <c r="BC59" s="396">
        <f t="shared" si="19"/>
        <v>0</v>
      </c>
      <c r="BD59" s="396">
        <f t="shared" si="19"/>
        <v>0</v>
      </c>
      <c r="BE59" s="396">
        <f t="shared" si="19"/>
        <v>0</v>
      </c>
      <c r="BF59" s="396">
        <f t="shared" si="19"/>
        <v>0</v>
      </c>
      <c r="BK59" s="207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7" t="s">
        <v>547</v>
      </c>
      <c r="AS60" s="396">
        <f t="shared" ref="AS60:BF60" si="20">AS103</f>
        <v>0</v>
      </c>
      <c r="AT60" s="396">
        <f t="shared" si="20"/>
        <v>0</v>
      </c>
      <c r="AU60" s="396">
        <f t="shared" si="20"/>
        <v>0</v>
      </c>
      <c r="AV60" s="396">
        <f t="shared" si="20"/>
        <v>0</v>
      </c>
      <c r="AW60" s="396">
        <f t="shared" si="20"/>
        <v>0</v>
      </c>
      <c r="AX60" s="396">
        <f t="shared" si="20"/>
        <v>0</v>
      </c>
      <c r="AY60" s="396">
        <f t="shared" si="20"/>
        <v>0</v>
      </c>
      <c r="AZ60" s="396">
        <f t="shared" si="20"/>
        <v>0</v>
      </c>
      <c r="BA60" s="396">
        <f t="shared" si="20"/>
        <v>0</v>
      </c>
      <c r="BB60" s="396">
        <f t="shared" si="20"/>
        <v>25394.240916408646</v>
      </c>
      <c r="BC60" s="396">
        <f t="shared" si="20"/>
        <v>0</v>
      </c>
      <c r="BD60" s="396">
        <f t="shared" si="20"/>
        <v>0</v>
      </c>
      <c r="BE60" s="396">
        <f t="shared" si="20"/>
        <v>0</v>
      </c>
      <c r="BF60" s="396">
        <f t="shared" si="20"/>
        <v>0</v>
      </c>
      <c r="BK60" s="207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7" t="s">
        <v>583</v>
      </c>
      <c r="AS61" s="396">
        <f t="shared" ref="AS61:BF61" si="21">AS104</f>
        <v>0</v>
      </c>
      <c r="AT61" s="396">
        <f t="shared" si="21"/>
        <v>0</v>
      </c>
      <c r="AU61" s="396">
        <f t="shared" si="21"/>
        <v>0</v>
      </c>
      <c r="AV61" s="396">
        <f t="shared" si="21"/>
        <v>0</v>
      </c>
      <c r="AW61" s="396">
        <f t="shared" si="21"/>
        <v>0</v>
      </c>
      <c r="AX61" s="396">
        <f t="shared" si="21"/>
        <v>0</v>
      </c>
      <c r="AY61" s="396">
        <f t="shared" si="21"/>
        <v>0</v>
      </c>
      <c r="AZ61" s="396">
        <f t="shared" si="21"/>
        <v>0</v>
      </c>
      <c r="BA61" s="396">
        <f t="shared" si="21"/>
        <v>0</v>
      </c>
      <c r="BB61" s="396">
        <f t="shared" si="21"/>
        <v>0</v>
      </c>
      <c r="BC61" s="396">
        <f t="shared" si="21"/>
        <v>8746311.5419027284</v>
      </c>
      <c r="BD61" s="396">
        <f t="shared" si="21"/>
        <v>0</v>
      </c>
      <c r="BE61" s="396">
        <f t="shared" si="21"/>
        <v>0</v>
      </c>
      <c r="BF61" s="396">
        <f t="shared" si="21"/>
        <v>0</v>
      </c>
      <c r="BK61" s="207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7" t="s">
        <v>548</v>
      </c>
      <c r="AS62" s="396">
        <f t="shared" ref="AS62:BF62" si="22">AS105</f>
        <v>0</v>
      </c>
      <c r="AT62" s="396">
        <f t="shared" si="22"/>
        <v>0</v>
      </c>
      <c r="AU62" s="396">
        <f t="shared" si="22"/>
        <v>0</v>
      </c>
      <c r="AV62" s="396">
        <f t="shared" si="22"/>
        <v>0</v>
      </c>
      <c r="AW62" s="396">
        <f t="shared" si="22"/>
        <v>0</v>
      </c>
      <c r="AX62" s="396">
        <f t="shared" si="22"/>
        <v>0</v>
      </c>
      <c r="AY62" s="396">
        <f t="shared" si="22"/>
        <v>0</v>
      </c>
      <c r="AZ62" s="396">
        <f t="shared" si="22"/>
        <v>0</v>
      </c>
      <c r="BA62" s="396">
        <f t="shared" si="22"/>
        <v>0</v>
      </c>
      <c r="BB62" s="396">
        <f t="shared" si="22"/>
        <v>0</v>
      </c>
      <c r="BC62" s="396">
        <f t="shared" si="22"/>
        <v>0</v>
      </c>
      <c r="BD62" s="396">
        <f t="shared" si="22"/>
        <v>0</v>
      </c>
      <c r="BE62" s="396">
        <f t="shared" si="22"/>
        <v>242016.07607977447</v>
      </c>
      <c r="BF62" s="396">
        <f t="shared" si="22"/>
        <v>0</v>
      </c>
      <c r="BK62" s="207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7" t="s">
        <v>550</v>
      </c>
      <c r="AS63" s="396">
        <f t="shared" ref="AS63:BF63" si="23">AS106</f>
        <v>0</v>
      </c>
      <c r="AT63" s="396">
        <f t="shared" si="23"/>
        <v>0</v>
      </c>
      <c r="AU63" s="396">
        <f t="shared" si="23"/>
        <v>0</v>
      </c>
      <c r="AV63" s="396">
        <f t="shared" si="23"/>
        <v>0</v>
      </c>
      <c r="AW63" s="396">
        <f t="shared" si="23"/>
        <v>0</v>
      </c>
      <c r="AX63" s="396">
        <f t="shared" si="23"/>
        <v>0</v>
      </c>
      <c r="AY63" s="396">
        <f t="shared" si="23"/>
        <v>0</v>
      </c>
      <c r="AZ63" s="396">
        <f t="shared" si="23"/>
        <v>0</v>
      </c>
      <c r="BA63" s="396">
        <f t="shared" si="23"/>
        <v>0</v>
      </c>
      <c r="BB63" s="396">
        <f t="shared" si="23"/>
        <v>0</v>
      </c>
      <c r="BC63" s="396">
        <f t="shared" si="23"/>
        <v>0</v>
      </c>
      <c r="BD63" s="396">
        <f t="shared" si="23"/>
        <v>0</v>
      </c>
      <c r="BE63" s="396">
        <f t="shared" si="23"/>
        <v>0</v>
      </c>
      <c r="BF63" s="396">
        <f t="shared" si="23"/>
        <v>0</v>
      </c>
      <c r="BK63" s="207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7" t="s">
        <v>549</v>
      </c>
      <c r="AS64" s="396">
        <f t="shared" ref="AS64:BF64" si="24">AS107</f>
        <v>0</v>
      </c>
      <c r="AT64" s="396">
        <f t="shared" si="24"/>
        <v>0</v>
      </c>
      <c r="AU64" s="396">
        <f t="shared" si="24"/>
        <v>0</v>
      </c>
      <c r="AV64" s="396">
        <f t="shared" si="24"/>
        <v>0</v>
      </c>
      <c r="AW64" s="396">
        <f t="shared" si="24"/>
        <v>0</v>
      </c>
      <c r="AX64" s="396">
        <f t="shared" si="24"/>
        <v>0</v>
      </c>
      <c r="AY64" s="396">
        <f t="shared" si="24"/>
        <v>0</v>
      </c>
      <c r="AZ64" s="396">
        <f t="shared" si="24"/>
        <v>0</v>
      </c>
      <c r="BA64" s="396">
        <f t="shared" si="24"/>
        <v>0</v>
      </c>
      <c r="BB64" s="396">
        <f t="shared" si="24"/>
        <v>0</v>
      </c>
      <c r="BC64" s="396">
        <f t="shared" si="24"/>
        <v>0</v>
      </c>
      <c r="BD64" s="396">
        <f t="shared" si="24"/>
        <v>0</v>
      </c>
      <c r="BE64" s="396">
        <f t="shared" si="24"/>
        <v>0</v>
      </c>
      <c r="BF64" s="396">
        <f t="shared" si="24"/>
        <v>0</v>
      </c>
      <c r="BK64" s="207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7" t="s">
        <v>543</v>
      </c>
      <c r="AS65" s="396">
        <f t="shared" ref="AS65:BF65" si="25">AS108</f>
        <v>0</v>
      </c>
      <c r="AT65" s="396">
        <f t="shared" si="25"/>
        <v>0</v>
      </c>
      <c r="AU65" s="396">
        <f t="shared" si="25"/>
        <v>0</v>
      </c>
      <c r="AV65" s="396">
        <f t="shared" si="25"/>
        <v>0</v>
      </c>
      <c r="AW65" s="396">
        <f t="shared" si="25"/>
        <v>0</v>
      </c>
      <c r="AX65" s="396">
        <f t="shared" si="25"/>
        <v>0</v>
      </c>
      <c r="AY65" s="396">
        <f t="shared" si="25"/>
        <v>0</v>
      </c>
      <c r="AZ65" s="396">
        <f t="shared" si="25"/>
        <v>0</v>
      </c>
      <c r="BA65" s="396">
        <f t="shared" si="25"/>
        <v>0</v>
      </c>
      <c r="BB65" s="396">
        <f t="shared" si="25"/>
        <v>0</v>
      </c>
      <c r="BC65" s="396">
        <f t="shared" si="25"/>
        <v>0</v>
      </c>
      <c r="BD65" s="396">
        <f t="shared" si="25"/>
        <v>0</v>
      </c>
      <c r="BE65" s="396">
        <f t="shared" si="25"/>
        <v>6791339.3350291392</v>
      </c>
      <c r="BF65" s="396">
        <f t="shared" si="25"/>
        <v>0</v>
      </c>
      <c r="BK65" s="207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4" t="s">
        <v>545</v>
      </c>
      <c r="AS66" s="396">
        <f t="shared" ref="AS66:BF66" si="26">AS109</f>
        <v>0</v>
      </c>
      <c r="AT66" s="396">
        <f t="shared" si="26"/>
        <v>0</v>
      </c>
      <c r="AU66" s="396">
        <f t="shared" si="26"/>
        <v>0</v>
      </c>
      <c r="AV66" s="396">
        <f t="shared" si="26"/>
        <v>0</v>
      </c>
      <c r="AW66" s="396">
        <f t="shared" si="26"/>
        <v>0</v>
      </c>
      <c r="AX66" s="396">
        <f t="shared" si="26"/>
        <v>0</v>
      </c>
      <c r="AY66" s="396">
        <f t="shared" si="26"/>
        <v>0</v>
      </c>
      <c r="AZ66" s="396">
        <f t="shared" si="26"/>
        <v>0</v>
      </c>
      <c r="BA66" s="396">
        <f t="shared" si="26"/>
        <v>0</v>
      </c>
      <c r="BB66" s="396">
        <f t="shared" si="26"/>
        <v>0</v>
      </c>
      <c r="BC66" s="396">
        <f t="shared" si="26"/>
        <v>0</v>
      </c>
      <c r="BD66" s="396">
        <f t="shared" si="26"/>
        <v>5935408.0537775028</v>
      </c>
      <c r="BE66" s="396">
        <f t="shared" si="26"/>
        <v>0</v>
      </c>
      <c r="BF66" s="396">
        <f t="shared" si="26"/>
        <v>0</v>
      </c>
      <c r="BK66" s="207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7" t="s">
        <v>544</v>
      </c>
      <c r="AS67" s="396">
        <f t="shared" ref="AS67:BF67" si="27">AS110</f>
        <v>0</v>
      </c>
      <c r="AT67" s="396">
        <f t="shared" si="27"/>
        <v>0</v>
      </c>
      <c r="AU67" s="396">
        <f t="shared" si="27"/>
        <v>0</v>
      </c>
      <c r="AV67" s="396">
        <f t="shared" si="27"/>
        <v>0</v>
      </c>
      <c r="AW67" s="396">
        <f t="shared" si="27"/>
        <v>0</v>
      </c>
      <c r="AX67" s="396">
        <f t="shared" si="27"/>
        <v>0</v>
      </c>
      <c r="AY67" s="396">
        <f t="shared" si="27"/>
        <v>0</v>
      </c>
      <c r="AZ67" s="396">
        <f t="shared" si="27"/>
        <v>0</v>
      </c>
      <c r="BA67" s="396">
        <f t="shared" si="27"/>
        <v>0</v>
      </c>
      <c r="BB67" s="396">
        <f t="shared" si="27"/>
        <v>0</v>
      </c>
      <c r="BC67" s="396">
        <f t="shared" si="27"/>
        <v>0</v>
      </c>
      <c r="BD67" s="396">
        <f t="shared" si="27"/>
        <v>0</v>
      </c>
      <c r="BE67" s="396">
        <f t="shared" si="27"/>
        <v>0</v>
      </c>
      <c r="BF67" s="396">
        <f t="shared" si="27"/>
        <v>0</v>
      </c>
      <c r="BK67" s="207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5" t="s">
        <v>546</v>
      </c>
      <c r="AS68" s="396">
        <f t="shared" ref="AS68:BF68" si="28">AS111</f>
        <v>0</v>
      </c>
      <c r="AT68" s="396">
        <f t="shared" si="28"/>
        <v>0</v>
      </c>
      <c r="AU68" s="396">
        <f t="shared" si="28"/>
        <v>0</v>
      </c>
      <c r="AV68" s="396">
        <f t="shared" si="28"/>
        <v>0</v>
      </c>
      <c r="AW68" s="396">
        <f t="shared" si="28"/>
        <v>0</v>
      </c>
      <c r="AX68" s="396">
        <f t="shared" si="28"/>
        <v>0</v>
      </c>
      <c r="AY68" s="396">
        <f t="shared" si="28"/>
        <v>0</v>
      </c>
      <c r="AZ68" s="396">
        <f t="shared" si="28"/>
        <v>0</v>
      </c>
      <c r="BA68" s="396">
        <f t="shared" si="28"/>
        <v>0</v>
      </c>
      <c r="BB68" s="396">
        <f t="shared" si="28"/>
        <v>0</v>
      </c>
      <c r="BC68" s="396">
        <f t="shared" si="28"/>
        <v>0</v>
      </c>
      <c r="BD68" s="396">
        <f t="shared" si="28"/>
        <v>0</v>
      </c>
      <c r="BE68" s="396">
        <f t="shared" si="28"/>
        <v>0</v>
      </c>
      <c r="BF68" s="396">
        <f t="shared" si="28"/>
        <v>0</v>
      </c>
      <c r="BK68" s="207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7" t="s">
        <v>541</v>
      </c>
      <c r="AS69" s="396">
        <f t="shared" ref="AS69:BF69" si="29">AS112</f>
        <v>0</v>
      </c>
      <c r="AT69" s="396">
        <f t="shared" si="29"/>
        <v>0</v>
      </c>
      <c r="AU69" s="396">
        <f t="shared" si="29"/>
        <v>0</v>
      </c>
      <c r="AV69" s="396">
        <f t="shared" si="29"/>
        <v>0</v>
      </c>
      <c r="AW69" s="396">
        <f t="shared" si="29"/>
        <v>0</v>
      </c>
      <c r="AX69" s="396">
        <f t="shared" si="29"/>
        <v>0</v>
      </c>
      <c r="AY69" s="396">
        <f t="shared" si="29"/>
        <v>0</v>
      </c>
      <c r="AZ69" s="396">
        <f t="shared" si="29"/>
        <v>0</v>
      </c>
      <c r="BA69" s="396">
        <f t="shared" si="29"/>
        <v>0</v>
      </c>
      <c r="BB69" s="396">
        <f t="shared" si="29"/>
        <v>0</v>
      </c>
      <c r="BC69" s="396">
        <f t="shared" si="29"/>
        <v>891683.71589033271</v>
      </c>
      <c r="BD69" s="396">
        <f t="shared" si="29"/>
        <v>0</v>
      </c>
      <c r="BE69" s="396">
        <f t="shared" si="29"/>
        <v>0</v>
      </c>
      <c r="BF69" s="396">
        <f t="shared" si="29"/>
        <v>4161190.674154886</v>
      </c>
      <c r="BK69" s="207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7" t="s">
        <v>571</v>
      </c>
      <c r="AS70" s="396">
        <f t="shared" ref="AS70:BF70" si="30">AS113</f>
        <v>0</v>
      </c>
      <c r="AT70" s="396">
        <f t="shared" si="30"/>
        <v>0</v>
      </c>
      <c r="AU70" s="396">
        <f t="shared" si="30"/>
        <v>0</v>
      </c>
      <c r="AV70" s="396">
        <f t="shared" si="30"/>
        <v>0</v>
      </c>
      <c r="AW70" s="396">
        <f t="shared" si="30"/>
        <v>0</v>
      </c>
      <c r="AX70" s="396">
        <f t="shared" si="30"/>
        <v>0</v>
      </c>
      <c r="AY70" s="396">
        <f t="shared" si="30"/>
        <v>0</v>
      </c>
      <c r="AZ70" s="396">
        <f t="shared" si="30"/>
        <v>0</v>
      </c>
      <c r="BA70" s="396">
        <f t="shared" si="30"/>
        <v>0</v>
      </c>
      <c r="BB70" s="396">
        <f t="shared" si="30"/>
        <v>0</v>
      </c>
      <c r="BC70" s="396">
        <f t="shared" si="30"/>
        <v>0</v>
      </c>
      <c r="BD70" s="396">
        <f t="shared" si="30"/>
        <v>0</v>
      </c>
      <c r="BE70" s="396">
        <f t="shared" si="30"/>
        <v>0</v>
      </c>
      <c r="BF70" s="396">
        <f t="shared" si="30"/>
        <v>7072531.8830895294</v>
      </c>
      <c r="BK70" s="207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7" t="s">
        <v>572</v>
      </c>
      <c r="AS71" s="396">
        <f t="shared" ref="AS71:BF71" si="31">AS114</f>
        <v>0</v>
      </c>
      <c r="AT71" s="396">
        <f t="shared" si="31"/>
        <v>0</v>
      </c>
      <c r="AU71" s="396">
        <f t="shared" si="31"/>
        <v>0</v>
      </c>
      <c r="AV71" s="396">
        <f t="shared" si="31"/>
        <v>0</v>
      </c>
      <c r="AW71" s="396">
        <f t="shared" si="31"/>
        <v>0</v>
      </c>
      <c r="AX71" s="396">
        <f t="shared" si="31"/>
        <v>0</v>
      </c>
      <c r="AY71" s="396">
        <f t="shared" si="31"/>
        <v>0</v>
      </c>
      <c r="AZ71" s="396">
        <f t="shared" si="31"/>
        <v>0</v>
      </c>
      <c r="BA71" s="396">
        <f t="shared" si="31"/>
        <v>0</v>
      </c>
      <c r="BB71" s="396">
        <f t="shared" si="31"/>
        <v>0</v>
      </c>
      <c r="BC71" s="396">
        <f t="shared" si="31"/>
        <v>0</v>
      </c>
      <c r="BD71" s="396">
        <f t="shared" si="31"/>
        <v>0</v>
      </c>
      <c r="BE71" s="396">
        <f t="shared" si="31"/>
        <v>0</v>
      </c>
      <c r="BF71" s="396">
        <f t="shared" si="31"/>
        <v>0</v>
      </c>
      <c r="BK71" s="207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7" t="s">
        <v>573</v>
      </c>
      <c r="AS72" s="396">
        <f t="shared" ref="AS72:BF72" si="32">AS115</f>
        <v>0</v>
      </c>
      <c r="AT72" s="396">
        <f t="shared" si="32"/>
        <v>0</v>
      </c>
      <c r="AU72" s="396">
        <f t="shared" si="32"/>
        <v>0</v>
      </c>
      <c r="AV72" s="396">
        <f t="shared" si="32"/>
        <v>0</v>
      </c>
      <c r="AW72" s="396">
        <f t="shared" si="32"/>
        <v>0</v>
      </c>
      <c r="AX72" s="396">
        <f t="shared" si="32"/>
        <v>0</v>
      </c>
      <c r="AY72" s="396">
        <f t="shared" si="32"/>
        <v>0</v>
      </c>
      <c r="AZ72" s="396">
        <f t="shared" si="32"/>
        <v>0</v>
      </c>
      <c r="BA72" s="396">
        <f t="shared" si="32"/>
        <v>0</v>
      </c>
      <c r="BB72" s="396">
        <f t="shared" si="32"/>
        <v>0</v>
      </c>
      <c r="BC72" s="396">
        <f t="shared" si="32"/>
        <v>0</v>
      </c>
      <c r="BD72" s="396">
        <f t="shared" si="32"/>
        <v>0</v>
      </c>
      <c r="BE72" s="396">
        <f t="shared" si="32"/>
        <v>0</v>
      </c>
      <c r="BF72" s="396">
        <f t="shared" si="32"/>
        <v>0</v>
      </c>
      <c r="BK72" s="207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7" t="s">
        <v>584</v>
      </c>
      <c r="AS73" s="396">
        <f t="shared" ref="AS73:BF73" si="33">AS116</f>
        <v>0</v>
      </c>
      <c r="AT73" s="396">
        <f t="shared" si="33"/>
        <v>0</v>
      </c>
      <c r="AU73" s="396">
        <f t="shared" si="33"/>
        <v>0</v>
      </c>
      <c r="AV73" s="396">
        <f t="shared" si="33"/>
        <v>0</v>
      </c>
      <c r="AW73" s="396">
        <f t="shared" si="33"/>
        <v>0</v>
      </c>
      <c r="AX73" s="396">
        <f t="shared" si="33"/>
        <v>0</v>
      </c>
      <c r="AY73" s="396">
        <f t="shared" si="33"/>
        <v>0</v>
      </c>
      <c r="AZ73" s="396">
        <f t="shared" si="33"/>
        <v>0</v>
      </c>
      <c r="BA73" s="396">
        <f t="shared" si="33"/>
        <v>0</v>
      </c>
      <c r="BB73" s="396">
        <f t="shared" si="33"/>
        <v>0</v>
      </c>
      <c r="BC73" s="396">
        <f t="shared" si="33"/>
        <v>0</v>
      </c>
      <c r="BD73" s="396">
        <f t="shared" si="33"/>
        <v>0</v>
      </c>
      <c r="BE73" s="396">
        <f t="shared" si="33"/>
        <v>0</v>
      </c>
      <c r="BF73" s="396">
        <f t="shared" si="33"/>
        <v>0</v>
      </c>
      <c r="BK73" s="207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7"/>
      <c r="AS74" s="359" t="s">
        <v>602</v>
      </c>
      <c r="AT74" s="359"/>
      <c r="AU74" s="359"/>
      <c r="AV74" s="359"/>
      <c r="AW74" s="359"/>
      <c r="AX74" s="359"/>
      <c r="AY74" s="359"/>
      <c r="AZ74" s="359"/>
      <c r="BA74" s="359"/>
      <c r="BB74" s="359"/>
      <c r="BC74" s="359"/>
      <c r="BD74" s="359"/>
      <c r="BE74" s="359"/>
      <c r="BF74" s="359"/>
      <c r="BK74" s="207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7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7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7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7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7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7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1" t="s">
        <v>457</v>
      </c>
      <c r="AS82" s="208" t="s">
        <v>418</v>
      </c>
      <c r="AT82" s="208" t="s">
        <v>419</v>
      </c>
      <c r="AU82" s="208" t="s">
        <v>420</v>
      </c>
      <c r="AV82" s="208" t="s">
        <v>582</v>
      </c>
      <c r="AW82" s="208" t="s">
        <v>561</v>
      </c>
      <c r="AX82" s="208" t="s">
        <v>560</v>
      </c>
      <c r="AY82" s="208" t="s">
        <v>446</v>
      </c>
      <c r="AZ82" s="208" t="s">
        <v>443</v>
      </c>
      <c r="BA82" s="208" t="s">
        <v>465</v>
      </c>
      <c r="BB82" s="208" t="s">
        <v>444</v>
      </c>
      <c r="BC82" s="208" t="s">
        <v>439</v>
      </c>
      <c r="BD82" s="208" t="s">
        <v>461</v>
      </c>
      <c r="BE82" s="208" t="s">
        <v>81</v>
      </c>
      <c r="BF82" s="208" t="s">
        <v>430</v>
      </c>
      <c r="BK82" s="208"/>
      <c r="BL82" s="208" t="s">
        <v>424</v>
      </c>
      <c r="BM82" s="208" t="s">
        <v>357</v>
      </c>
    </row>
    <row r="83" spans="35:66" x14ac:dyDescent="0.2">
      <c r="AI83" s="205"/>
      <c r="AR83" s="205" t="s">
        <v>426</v>
      </c>
      <c r="AS83" s="231">
        <f>'Ore-&gt;PI'!$U$42</f>
        <v>109233.7126431732</v>
      </c>
      <c r="AT83" s="231"/>
      <c r="AU83" s="231"/>
      <c r="AV83" s="231"/>
      <c r="AW83" s="231"/>
      <c r="AX83" s="231"/>
      <c r="AY83" s="231"/>
      <c r="AZ83" s="231"/>
      <c r="BA83" s="231"/>
      <c r="BB83" s="231"/>
      <c r="BC83" s="231"/>
      <c r="BD83" s="231"/>
      <c r="BE83" s="231"/>
      <c r="BF83" s="231"/>
      <c r="BG83" s="253">
        <f>SUM(AS83:BF83)</f>
        <v>109233.7126431732</v>
      </c>
      <c r="BK83" s="205" t="s">
        <v>426</v>
      </c>
      <c r="BL83" s="245"/>
      <c r="BM83" s="245"/>
      <c r="BN83" s="253">
        <f>SUM(BL83:BM83)</f>
        <v>0</v>
      </c>
    </row>
    <row r="84" spans="35:66" x14ac:dyDescent="0.2">
      <c r="AI84" s="205"/>
      <c r="AR84" s="205" t="s">
        <v>428</v>
      </c>
      <c r="AS84" s="231"/>
      <c r="AT84" s="231">
        <f>'Ore-&gt;PI'!$U$126</f>
        <v>25394.240916408646</v>
      </c>
      <c r="AU84" s="231"/>
      <c r="AV84" s="231"/>
      <c r="AW84" s="231"/>
      <c r="AX84" s="231"/>
      <c r="AY84" s="231"/>
      <c r="AZ84" s="231"/>
      <c r="BA84" s="231"/>
      <c r="BB84" s="231"/>
      <c r="BC84" s="231"/>
      <c r="BD84" s="231"/>
      <c r="BE84" s="231"/>
      <c r="BF84" s="231"/>
      <c r="BG84" s="253">
        <f>SUM(AS84:BF84)</f>
        <v>25394.240916408646</v>
      </c>
      <c r="BK84" s="205" t="s">
        <v>428</v>
      </c>
      <c r="BL84" s="245"/>
      <c r="BM84" s="245"/>
      <c r="BN84" s="253">
        <f>SUM(BL84:BM84)</f>
        <v>0</v>
      </c>
    </row>
    <row r="85" spans="35:66" x14ac:dyDescent="0.2">
      <c r="AI85" s="205"/>
      <c r="AR85" s="205" t="s">
        <v>429</v>
      </c>
      <c r="AS85" s="231"/>
      <c r="AT85" s="231"/>
      <c r="AU85" s="231">
        <f>'Ore-&gt;PI'!$U$206</f>
        <v>8746311.5419027284</v>
      </c>
      <c r="AV85" s="231"/>
      <c r="AW85" s="231"/>
      <c r="AX85" s="231"/>
      <c r="AY85" s="231"/>
      <c r="AZ85" s="231"/>
      <c r="BA85" s="231"/>
      <c r="BB85" s="231"/>
      <c r="BC85" s="231"/>
      <c r="BD85" s="231"/>
      <c r="BE85" s="231"/>
      <c r="BF85" s="231"/>
      <c r="BG85" s="253">
        <f t="shared" ref="BG85:BG116" si="34">SUM(AS85:BF85)</f>
        <v>8746311.5419027284</v>
      </c>
      <c r="BK85" s="205" t="s">
        <v>429</v>
      </c>
      <c r="BL85" s="245"/>
      <c r="BM85" s="245"/>
      <c r="BN85" s="253">
        <f>SUM(BL85:BM85)</f>
        <v>0</v>
      </c>
    </row>
    <row r="86" spans="35:66" x14ac:dyDescent="0.2">
      <c r="AI86" s="205"/>
      <c r="AR86" s="205" t="s">
        <v>450</v>
      </c>
      <c r="AS86" s="231">
        <f>'Ore-&gt;PI'!U72</f>
        <v>233.82334445083558</v>
      </c>
      <c r="AT86" s="231">
        <f>'Ore-&gt;PI'!U163</f>
        <v>0.70159378736823275</v>
      </c>
      <c r="AU86" s="231">
        <f>'Ore-&gt;PI'!U236</f>
        <v>9.9856594755010616E-2</v>
      </c>
      <c r="AV86" s="231"/>
      <c r="AW86" s="231"/>
      <c r="AX86" s="231"/>
      <c r="AY86" s="231"/>
      <c r="AZ86" s="231"/>
      <c r="BA86" s="231"/>
      <c r="BB86" s="231">
        <f>'Ore-&gt;PI'!BX140</f>
        <v>2228.753251272266</v>
      </c>
      <c r="BC86" s="231">
        <f>'Ore-&gt;PI'!BX242</f>
        <v>7.8280438423951519</v>
      </c>
      <c r="BD86" s="231"/>
      <c r="BE86" s="231"/>
      <c r="BF86" s="244">
        <f>'Ore-&gt;PI'!EG140</f>
        <v>23611.293462025522</v>
      </c>
      <c r="BG86" s="253">
        <f t="shared" si="34"/>
        <v>26082.499551973142</v>
      </c>
      <c r="BK86" s="205" t="s">
        <v>450</v>
      </c>
      <c r="BL86" s="245"/>
      <c r="BM86" s="245"/>
      <c r="BN86" s="253">
        <f t="shared" ref="BN86:BN90" si="35">SUM(BL86:BM86)</f>
        <v>0</v>
      </c>
    </row>
    <row r="87" spans="35:66" x14ac:dyDescent="0.2">
      <c r="AI87" s="205"/>
      <c r="AR87" s="205" t="s">
        <v>485</v>
      </c>
      <c r="AS87" s="231"/>
      <c r="AT87" s="231"/>
      <c r="AU87" s="231"/>
      <c r="AV87" s="231"/>
      <c r="AW87" s="231"/>
      <c r="AX87" s="231"/>
      <c r="AY87" s="231"/>
      <c r="AZ87" s="231"/>
      <c r="BA87" s="231"/>
      <c r="BB87" s="231">
        <f>'Ore-&gt;PI'!BX152</f>
        <v>1078370532.5161049</v>
      </c>
      <c r="BC87" s="231">
        <f>'Ore-&gt;PI'!BX254</f>
        <v>879540.87913658854</v>
      </c>
      <c r="BD87" s="231"/>
      <c r="BE87" s="231"/>
      <c r="BF87" s="231">
        <f>'Ore-&gt;PI'!EG114</f>
        <v>2321518.855933811</v>
      </c>
      <c r="BG87" s="253">
        <f t="shared" si="34"/>
        <v>1081571592.2511754</v>
      </c>
      <c r="BK87" s="205" t="s">
        <v>485</v>
      </c>
      <c r="BL87" s="245"/>
      <c r="BM87" s="245"/>
      <c r="BN87" s="253">
        <f t="shared" si="35"/>
        <v>0</v>
      </c>
    </row>
    <row r="88" spans="35:66" x14ac:dyDescent="0.2">
      <c r="AI88" s="205"/>
      <c r="AR88" s="205" t="s">
        <v>596</v>
      </c>
      <c r="AS88" s="231">
        <f>'Ore-&gt;PI'!U59</f>
        <v>87512.008023532893</v>
      </c>
      <c r="AT88" s="231">
        <f>'Ore-&gt;PI'!U140</f>
        <v>239.81393514966189</v>
      </c>
      <c r="AU88" s="231">
        <f>'Ore-&gt;PI'!U222</f>
        <v>20815.376944573403</v>
      </c>
      <c r="AV88" s="231"/>
      <c r="AW88" s="231"/>
      <c r="AX88" s="231"/>
      <c r="AY88" s="231"/>
      <c r="AZ88" s="231"/>
      <c r="BA88" s="231"/>
      <c r="BB88" s="231"/>
      <c r="BC88" s="231"/>
      <c r="BD88" s="231"/>
      <c r="BE88" s="231"/>
      <c r="BF88" s="231"/>
      <c r="BG88" s="253">
        <f t="shared" si="34"/>
        <v>108567.19890325596</v>
      </c>
      <c r="BK88" s="205" t="s">
        <v>596</v>
      </c>
      <c r="BL88" s="245"/>
      <c r="BM88" s="245"/>
      <c r="BN88" s="253">
        <f t="shared" si="35"/>
        <v>0</v>
      </c>
    </row>
    <row r="89" spans="35:66" x14ac:dyDescent="0.2">
      <c r="AI89" s="205"/>
      <c r="AR89" s="205" t="s">
        <v>597</v>
      </c>
      <c r="AS89" s="231"/>
      <c r="AT89" s="231">
        <f>'Ore-&gt;PI'!U151</f>
        <v>24.513235855857225</v>
      </c>
      <c r="AU89" s="231"/>
      <c r="AV89" s="231"/>
      <c r="AW89" s="231"/>
      <c r="AX89" s="231"/>
      <c r="AY89" s="231"/>
      <c r="AZ89" s="231"/>
      <c r="BA89" s="231"/>
      <c r="BB89" s="231"/>
      <c r="BC89" s="231"/>
      <c r="BD89" s="231"/>
      <c r="BE89" s="231"/>
      <c r="BF89" s="231"/>
      <c r="BG89" s="253">
        <f t="shared" si="34"/>
        <v>24.513235855857225</v>
      </c>
      <c r="BK89" s="205" t="s">
        <v>597</v>
      </c>
      <c r="BL89" s="245"/>
      <c r="BM89" s="245"/>
      <c r="BN89" s="253">
        <f t="shared" si="35"/>
        <v>0</v>
      </c>
    </row>
    <row r="90" spans="35:66" x14ac:dyDescent="0.2">
      <c r="AI90" s="205"/>
      <c r="AR90" s="205" t="s">
        <v>533</v>
      </c>
      <c r="AS90" s="231"/>
      <c r="AT90" s="231"/>
      <c r="AU90" s="231"/>
      <c r="AV90" s="231"/>
      <c r="AW90" s="231"/>
      <c r="AX90" s="231"/>
      <c r="AY90" s="231"/>
      <c r="AZ90" s="231"/>
      <c r="BA90" s="231"/>
      <c r="BB90" s="231"/>
      <c r="BC90" s="231"/>
      <c r="BD90" s="231"/>
      <c r="BE90" s="231"/>
      <c r="BF90" s="231">
        <f>'Ore-&gt;PI'!EG101</f>
        <v>203313.0005430537</v>
      </c>
      <c r="BG90" s="253">
        <f t="shared" si="34"/>
        <v>203313.0005430537</v>
      </c>
      <c r="BK90" s="205" t="s">
        <v>533</v>
      </c>
      <c r="BL90" s="245"/>
      <c r="BM90" s="245"/>
      <c r="BN90" s="253">
        <f t="shared" si="35"/>
        <v>0</v>
      </c>
    </row>
    <row r="91" spans="35:66" x14ac:dyDescent="0.2">
      <c r="AI91" s="205"/>
      <c r="AR91" s="205" t="s">
        <v>586</v>
      </c>
      <c r="AS91" s="231"/>
      <c r="AT91" s="231"/>
      <c r="AU91" s="231">
        <f>'Ore-&gt;PI'!AB195</f>
        <v>77449.427901236573</v>
      </c>
      <c r="AV91" s="231">
        <f>'Ore-&gt;PI'!AS28</f>
        <v>609792.2517593482</v>
      </c>
      <c r="AW91" s="231">
        <f>'Ore-&gt;PI'!AS113</f>
        <v>2824.8856477449194</v>
      </c>
      <c r="AX91" s="231">
        <f>'Ore-&gt;PI'!AS190</f>
        <v>160253.43323591491</v>
      </c>
      <c r="AY91" s="231">
        <f>'Ore-&gt;PI'!BK35</f>
        <v>12626.098826338684</v>
      </c>
      <c r="AZ91" s="231">
        <f>'Ore-&gt;PI'!BJ116</f>
        <v>34.678095164114971</v>
      </c>
      <c r="BA91" s="231">
        <f>'Ore-&gt;PI'!BJ195</f>
        <v>28604.157765782104</v>
      </c>
      <c r="BB91" s="231"/>
      <c r="BC91" s="231"/>
      <c r="BD91" s="231">
        <f>'Ore-&gt;PI'!CW229</f>
        <v>50099.526545856235</v>
      </c>
      <c r="BE91" s="231"/>
      <c r="BF91" s="231">
        <f>'Ore-&gt;PI'!EO117</f>
        <v>317844.87395625591</v>
      </c>
      <c r="BG91" s="253">
        <f t="shared" si="34"/>
        <v>1259529.3337336415</v>
      </c>
      <c r="BK91" s="205" t="s">
        <v>586</v>
      </c>
      <c r="BL91" s="245"/>
      <c r="BM91" s="245"/>
      <c r="BN91" s="253">
        <f t="shared" ref="BN91:BN97" si="36">SUM(BL91:BM91)</f>
        <v>0</v>
      </c>
    </row>
    <row r="92" spans="35:66" ht="16" x14ac:dyDescent="0.2">
      <c r="AI92" s="247"/>
      <c r="AR92" s="206" t="s">
        <v>568</v>
      </c>
      <c r="AS92" s="231"/>
      <c r="AT92" s="231"/>
      <c r="AU92" s="231"/>
      <c r="AV92" s="231">
        <f>'Ore-&gt;PI'!$AM$42</f>
        <v>109233.7126431732</v>
      </c>
      <c r="AW92" s="231"/>
      <c r="AX92" s="231"/>
      <c r="AY92" s="231"/>
      <c r="AZ92" s="231"/>
      <c r="BA92" s="231"/>
      <c r="BB92" s="231"/>
      <c r="BC92" s="231"/>
      <c r="BD92" s="231"/>
      <c r="BE92" s="231"/>
      <c r="BF92" s="231"/>
      <c r="BG92" s="253">
        <f t="shared" si="34"/>
        <v>109233.7126431732</v>
      </c>
      <c r="BK92" s="206" t="s">
        <v>568</v>
      </c>
      <c r="BL92" s="245"/>
      <c r="BM92" s="245"/>
      <c r="BN92" s="253">
        <f t="shared" si="36"/>
        <v>0</v>
      </c>
    </row>
    <row r="93" spans="35:66" ht="16" x14ac:dyDescent="0.2">
      <c r="AI93" s="206"/>
      <c r="AR93" s="205" t="s">
        <v>531</v>
      </c>
      <c r="AS93" s="231"/>
      <c r="AT93" s="231"/>
      <c r="AU93" s="231"/>
      <c r="AV93" s="231"/>
      <c r="AW93" s="231"/>
      <c r="AX93" s="231"/>
      <c r="AY93" s="231"/>
      <c r="AZ93" s="231"/>
      <c r="BA93" s="231"/>
      <c r="BB93" s="231"/>
      <c r="BC93" s="231"/>
      <c r="BD93" s="231"/>
      <c r="BE93" s="231"/>
      <c r="BF93" s="231"/>
      <c r="BG93" s="253">
        <f t="shared" si="34"/>
        <v>0</v>
      </c>
      <c r="BK93" s="205" t="s">
        <v>531</v>
      </c>
      <c r="BL93" s="245"/>
      <c r="BM93" s="245">
        <f>'Ore-&gt;PI'!AM63</f>
        <v>2396.1586162428257</v>
      </c>
      <c r="BN93" s="253">
        <f t="shared" si="36"/>
        <v>2396.1586162428257</v>
      </c>
    </row>
    <row r="94" spans="35:66" ht="16" x14ac:dyDescent="0.2">
      <c r="AI94" s="207"/>
      <c r="AR94" s="206" t="s">
        <v>534</v>
      </c>
      <c r="AS94" s="231"/>
      <c r="AT94" s="231"/>
      <c r="AU94" s="231"/>
      <c r="AV94" s="231"/>
      <c r="AW94" s="231">
        <f>'Ore-&gt;PI'!$AN$126</f>
        <v>25394.240916408646</v>
      </c>
      <c r="AX94" s="231"/>
      <c r="AY94" s="231"/>
      <c r="AZ94" s="231"/>
      <c r="BA94" s="231"/>
      <c r="BB94" s="231"/>
      <c r="BC94" s="231"/>
      <c r="BD94" s="231"/>
      <c r="BE94" s="231"/>
      <c r="BF94" s="231"/>
      <c r="BG94" s="253">
        <f t="shared" si="34"/>
        <v>25394.240916408646</v>
      </c>
      <c r="BK94" s="206" t="s">
        <v>534</v>
      </c>
      <c r="BL94" s="245"/>
      <c r="BM94" s="249"/>
      <c r="BN94" s="253">
        <f t="shared" si="36"/>
        <v>0</v>
      </c>
    </row>
    <row r="95" spans="35:66" x14ac:dyDescent="0.2">
      <c r="AI95" s="207"/>
      <c r="AR95" s="205" t="s">
        <v>563</v>
      </c>
      <c r="AS95" s="231"/>
      <c r="AT95" s="231"/>
      <c r="AU95" s="231"/>
      <c r="AV95" s="231"/>
      <c r="AW95" s="231"/>
      <c r="AX95" s="231"/>
      <c r="AY95" s="231"/>
      <c r="AZ95" s="231"/>
      <c r="BA95" s="231"/>
      <c r="BB95" s="231"/>
      <c r="BC95" s="231"/>
      <c r="BD95" s="231"/>
      <c r="BE95" s="244"/>
      <c r="BF95" s="231"/>
      <c r="BG95" s="253">
        <f t="shared" si="34"/>
        <v>0</v>
      </c>
      <c r="BK95" s="205" t="s">
        <v>563</v>
      </c>
      <c r="BL95" s="245"/>
      <c r="BM95" s="245">
        <f>'Ore-&gt;PI'!AN142</f>
        <v>7.1782646247188149</v>
      </c>
      <c r="BN95" s="253">
        <f t="shared" si="36"/>
        <v>7.1782646247188149</v>
      </c>
    </row>
    <row r="96" spans="35:66" x14ac:dyDescent="0.2">
      <c r="AI96" s="207"/>
      <c r="AR96" s="207" t="s">
        <v>555</v>
      </c>
      <c r="AS96" s="231"/>
      <c r="AT96" s="231"/>
      <c r="AU96" s="231"/>
      <c r="AV96" s="231"/>
      <c r="AW96" s="231"/>
      <c r="AX96" s="231">
        <f>'Ore-&gt;PI'!$AN$206</f>
        <v>8746311.5419027284</v>
      </c>
      <c r="AY96" s="231"/>
      <c r="AZ96" s="231"/>
      <c r="BA96" s="231"/>
      <c r="BB96" s="231"/>
      <c r="BC96" s="231"/>
      <c r="BD96" s="231"/>
      <c r="BE96" s="231"/>
      <c r="BF96" s="244"/>
      <c r="BG96" s="253">
        <f t="shared" si="34"/>
        <v>8746311.5419027284</v>
      </c>
      <c r="BK96" s="207" t="s">
        <v>555</v>
      </c>
      <c r="BL96" s="245"/>
      <c r="BM96" s="245"/>
      <c r="BN96" s="253">
        <f t="shared" si="36"/>
        <v>0</v>
      </c>
    </row>
    <row r="97" spans="35:71" x14ac:dyDescent="0.2">
      <c r="AI97" s="207"/>
      <c r="AR97" s="205" t="s">
        <v>538</v>
      </c>
      <c r="AS97" s="231"/>
      <c r="AT97" s="231"/>
      <c r="AU97" s="231"/>
      <c r="AV97" s="231"/>
      <c r="AW97" s="231"/>
      <c r="AX97" s="231"/>
      <c r="AY97" s="231"/>
      <c r="AZ97" s="231"/>
      <c r="BA97" s="231"/>
      <c r="BB97" s="231"/>
      <c r="BC97" s="231"/>
      <c r="BD97" s="231"/>
      <c r="BE97" s="231"/>
      <c r="BF97" s="231"/>
      <c r="BG97" s="253">
        <f t="shared" si="34"/>
        <v>0</v>
      </c>
      <c r="BK97" s="205" t="s">
        <v>538</v>
      </c>
      <c r="BL97" s="245"/>
      <c r="BM97" s="245">
        <f>'Ore-&gt;PI'!AN227</f>
        <v>569.94401045704944</v>
      </c>
      <c r="BN97" s="253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7"/>
      <c r="AR98" s="206" t="s">
        <v>567</v>
      </c>
      <c r="AS98" s="231"/>
      <c r="AT98" s="231"/>
      <c r="AU98" s="231"/>
      <c r="AV98" s="231"/>
      <c r="AW98" s="231"/>
      <c r="AX98" s="231"/>
      <c r="AY98" s="231">
        <f>'Ore-&gt;PI'!$BE$42</f>
        <v>109233.7126431732</v>
      </c>
      <c r="AZ98" s="231"/>
      <c r="BA98" s="231"/>
      <c r="BB98" s="231"/>
      <c r="BC98" s="231"/>
      <c r="BD98" s="231"/>
      <c r="BE98" s="231"/>
      <c r="BF98" s="231"/>
      <c r="BG98" s="253">
        <f t="shared" si="34"/>
        <v>109233.7126431732</v>
      </c>
      <c r="BK98" s="206" t="s">
        <v>567</v>
      </c>
      <c r="BL98" s="245"/>
      <c r="BM98" s="245"/>
      <c r="BN98" s="253">
        <f t="shared" ref="BN98:BN116" si="37">SUM(BL98:BM98)</f>
        <v>0</v>
      </c>
    </row>
    <row r="99" spans="35:71" ht="16" x14ac:dyDescent="0.2">
      <c r="AI99" s="207"/>
      <c r="AR99" s="206" t="s">
        <v>562</v>
      </c>
      <c r="AS99" s="231"/>
      <c r="AT99" s="231"/>
      <c r="AU99" s="231"/>
      <c r="AV99" s="231"/>
      <c r="AW99" s="231"/>
      <c r="AX99" s="231"/>
      <c r="AY99" s="231"/>
      <c r="AZ99" s="231">
        <f>'Ore-&gt;PI'!$BF$126</f>
        <v>25394.240916408646</v>
      </c>
      <c r="BA99" s="231"/>
      <c r="BB99" s="231"/>
      <c r="BC99" s="231"/>
      <c r="BD99" s="231"/>
      <c r="BE99" s="231"/>
      <c r="BF99" s="231"/>
      <c r="BG99" s="253">
        <f t="shared" si="34"/>
        <v>25394.240916408646</v>
      </c>
      <c r="BK99" s="206" t="s">
        <v>562</v>
      </c>
      <c r="BL99" s="245"/>
      <c r="BM99" s="245"/>
      <c r="BN99" s="253">
        <f t="shared" si="37"/>
        <v>0</v>
      </c>
    </row>
    <row r="100" spans="35:71" ht="16" x14ac:dyDescent="0.2">
      <c r="AI100" s="207"/>
      <c r="AR100" s="206" t="s">
        <v>559</v>
      </c>
      <c r="AS100" s="231"/>
      <c r="AT100" s="231"/>
      <c r="AU100" s="231"/>
      <c r="AV100" s="231"/>
      <c r="AW100" s="231"/>
      <c r="AX100" s="231"/>
      <c r="AY100" s="231"/>
      <c r="AZ100" s="231"/>
      <c r="BA100" s="231">
        <f>'Ore-&gt;PI'!$BF$206</f>
        <v>8746311.5419027284</v>
      </c>
      <c r="BB100" s="231"/>
      <c r="BC100" s="231"/>
      <c r="BD100" s="231"/>
      <c r="BE100" s="231"/>
      <c r="BF100" s="231"/>
      <c r="BG100" s="253">
        <f t="shared" si="34"/>
        <v>8746311.5419027284</v>
      </c>
      <c r="BK100" s="206" t="s">
        <v>559</v>
      </c>
      <c r="BL100" s="245"/>
      <c r="BM100" s="245"/>
      <c r="BN100" s="253">
        <f t="shared" si="37"/>
        <v>0</v>
      </c>
    </row>
    <row r="101" spans="35:71" ht="16" x14ac:dyDescent="0.2">
      <c r="AI101" s="254"/>
      <c r="AR101" s="206" t="s">
        <v>565</v>
      </c>
      <c r="AS101" s="231"/>
      <c r="AT101" s="231"/>
      <c r="AU101" s="231"/>
      <c r="AV101" s="231"/>
      <c r="AW101" s="231"/>
      <c r="AX101" s="231"/>
      <c r="AY101" s="231"/>
      <c r="AZ101" s="231"/>
      <c r="BA101" s="231"/>
      <c r="BB101" s="231"/>
      <c r="BC101" s="231"/>
      <c r="BD101" s="231"/>
      <c r="BE101" s="231">
        <f>'Ore-&gt;PI'!BW42</f>
        <v>88965.799815334409</v>
      </c>
      <c r="BF101" s="231"/>
      <c r="BG101" s="253">
        <f t="shared" si="34"/>
        <v>88965.799815334409</v>
      </c>
      <c r="BK101" s="206" t="s">
        <v>565</v>
      </c>
      <c r="BL101" s="245"/>
      <c r="BM101" s="245"/>
      <c r="BN101" s="253">
        <f t="shared" si="37"/>
        <v>0</v>
      </c>
    </row>
    <row r="102" spans="35:71" x14ac:dyDescent="0.2">
      <c r="AI102" s="207"/>
      <c r="AR102" s="207" t="s">
        <v>564</v>
      </c>
      <c r="AS102" s="231"/>
      <c r="AT102" s="231"/>
      <c r="AU102" s="231"/>
      <c r="AV102" s="231"/>
      <c r="AW102" s="231"/>
      <c r="AX102" s="231"/>
      <c r="AY102" s="231"/>
      <c r="AZ102" s="231"/>
      <c r="BA102" s="231"/>
      <c r="BB102" s="231"/>
      <c r="BC102" s="231"/>
      <c r="BD102" s="231"/>
      <c r="BE102" s="231"/>
      <c r="BF102" s="244"/>
      <c r="BG102" s="253">
        <f t="shared" si="34"/>
        <v>0</v>
      </c>
      <c r="BH102" s="25"/>
      <c r="BI102" s="25"/>
      <c r="BK102" s="207" t="s">
        <v>564</v>
      </c>
      <c r="BL102" s="245"/>
      <c r="BM102" s="245">
        <f>'Ore-&gt;PI'!BW55</f>
        <v>21743.416787545681</v>
      </c>
      <c r="BN102" s="253">
        <f t="shared" si="37"/>
        <v>21743.416787545681</v>
      </c>
    </row>
    <row r="103" spans="35:71" x14ac:dyDescent="0.2">
      <c r="AI103" s="207"/>
      <c r="AR103" s="207" t="s">
        <v>547</v>
      </c>
      <c r="AS103" s="231"/>
      <c r="AT103" s="231"/>
      <c r="AU103" s="231"/>
      <c r="AV103" s="231"/>
      <c r="AW103" s="231"/>
      <c r="AX103" s="231"/>
      <c r="AY103" s="231"/>
      <c r="AZ103" s="231"/>
      <c r="BA103" s="231"/>
      <c r="BB103" s="231">
        <f>'Ore-&gt;PI'!$BX$126</f>
        <v>25394.240916408646</v>
      </c>
      <c r="BC103" s="231"/>
      <c r="BD103" s="231"/>
      <c r="BE103" s="231"/>
      <c r="BF103" s="231"/>
      <c r="BG103" s="253">
        <f t="shared" si="34"/>
        <v>25394.240916408646</v>
      </c>
      <c r="BK103" s="207" t="s">
        <v>547</v>
      </c>
      <c r="BL103" s="245"/>
      <c r="BM103" s="245"/>
      <c r="BN103" s="253">
        <f t="shared" si="37"/>
        <v>0</v>
      </c>
    </row>
    <row r="104" spans="35:71" x14ac:dyDescent="0.2">
      <c r="AI104" s="207"/>
      <c r="AR104" s="207" t="s">
        <v>583</v>
      </c>
      <c r="AS104" s="231"/>
      <c r="AT104" s="231"/>
      <c r="AU104" s="231"/>
      <c r="AV104" s="231"/>
      <c r="AW104" s="231"/>
      <c r="AX104" s="231"/>
      <c r="AY104" s="231"/>
      <c r="AZ104" s="231"/>
      <c r="BA104" s="231"/>
      <c r="BB104" s="231"/>
      <c r="BC104" s="231">
        <f>'Ore-&gt;PI'!$BX$206</f>
        <v>8746311.5419027284</v>
      </c>
      <c r="BD104" s="231"/>
      <c r="BE104" s="231"/>
      <c r="BF104" s="231"/>
      <c r="BG104" s="253">
        <f t="shared" si="34"/>
        <v>8746311.5419027284</v>
      </c>
      <c r="BK104" s="207" t="s">
        <v>583</v>
      </c>
      <c r="BL104" s="245"/>
      <c r="BM104" s="245"/>
      <c r="BN104" s="253">
        <f t="shared" si="37"/>
        <v>0</v>
      </c>
    </row>
    <row r="105" spans="35:71" x14ac:dyDescent="0.2">
      <c r="AI105" s="207"/>
      <c r="AR105" s="207" t="s">
        <v>548</v>
      </c>
      <c r="AS105" s="231"/>
      <c r="AT105" s="231"/>
      <c r="AU105" s="231"/>
      <c r="AV105" s="231"/>
      <c r="AW105" s="231"/>
      <c r="AX105" s="231"/>
      <c r="AY105" s="231"/>
      <c r="AZ105" s="231"/>
      <c r="BA105" s="231"/>
      <c r="BB105" s="231"/>
      <c r="BC105" s="231"/>
      <c r="BD105" s="231"/>
      <c r="BE105" s="231">
        <f>'Ore-&gt;PI'!$CR$126</f>
        <v>242016.07607977447</v>
      </c>
      <c r="BF105" s="231"/>
      <c r="BG105" s="253">
        <f t="shared" si="34"/>
        <v>242016.07607977447</v>
      </c>
      <c r="BK105" s="207" t="s">
        <v>548</v>
      </c>
      <c r="BL105" s="245"/>
      <c r="BM105" s="245"/>
      <c r="BN105" s="253">
        <f t="shared" si="37"/>
        <v>0</v>
      </c>
    </row>
    <row r="106" spans="35:71" x14ac:dyDescent="0.2">
      <c r="AI106" s="207"/>
      <c r="AR106" s="207" t="s">
        <v>550</v>
      </c>
      <c r="AS106" s="231"/>
      <c r="AT106" s="231"/>
      <c r="AU106" s="231"/>
      <c r="AV106" s="231"/>
      <c r="AW106" s="231"/>
      <c r="AX106" s="231"/>
      <c r="AY106" s="231"/>
      <c r="AZ106" s="231"/>
      <c r="BA106" s="231"/>
      <c r="BB106" s="231"/>
      <c r="BC106" s="231"/>
      <c r="BD106" s="231"/>
      <c r="BE106" s="231"/>
      <c r="BF106" s="244"/>
      <c r="BG106" s="253">
        <f t="shared" si="34"/>
        <v>0</v>
      </c>
      <c r="BK106" s="207" t="s">
        <v>550</v>
      </c>
      <c r="BL106" s="245"/>
      <c r="BM106" s="245">
        <f>'Ore-&gt;PI'!CR114</f>
        <v>7739.2511800711582</v>
      </c>
      <c r="BN106" s="253">
        <f t="shared" si="37"/>
        <v>7739.2511800711582</v>
      </c>
    </row>
    <row r="107" spans="35:71" x14ac:dyDescent="0.2">
      <c r="AI107" s="207"/>
      <c r="AR107" s="207" t="s">
        <v>549</v>
      </c>
      <c r="AS107" s="231"/>
      <c r="AT107" s="231"/>
      <c r="AU107" s="231"/>
      <c r="AV107" s="231"/>
      <c r="AW107" s="231"/>
      <c r="AX107" s="231"/>
      <c r="AY107" s="231"/>
      <c r="AZ107" s="231"/>
      <c r="BA107" s="231"/>
      <c r="BB107" s="231"/>
      <c r="BC107" s="231"/>
      <c r="BD107" s="231"/>
      <c r="BE107" s="231"/>
      <c r="BF107" s="231"/>
      <c r="BG107" s="253">
        <f t="shared" si="34"/>
        <v>0</v>
      </c>
      <c r="BK107" s="207" t="s">
        <v>549</v>
      </c>
      <c r="BL107" s="245"/>
      <c r="BM107" s="245">
        <f>'Ore-&gt;PI'!CR138</f>
        <v>1065721621.9898958</v>
      </c>
      <c r="BN107" s="253">
        <f t="shared" si="37"/>
        <v>1065721621.9898958</v>
      </c>
    </row>
    <row r="108" spans="35:71" x14ac:dyDescent="0.2">
      <c r="AI108" s="207"/>
      <c r="AR108" s="207" t="s">
        <v>543</v>
      </c>
      <c r="AS108" s="231"/>
      <c r="AT108" s="231"/>
      <c r="AU108" s="231"/>
      <c r="AV108" s="231"/>
      <c r="AW108" s="231"/>
      <c r="AX108" s="231"/>
      <c r="AY108" s="231"/>
      <c r="AZ108" s="231"/>
      <c r="BA108" s="231"/>
      <c r="BB108" s="231"/>
      <c r="BC108" s="231"/>
      <c r="BD108" s="231"/>
      <c r="BE108" s="231">
        <f>'Ore-&gt;PI'!$CP$206</f>
        <v>6791339.3350291392</v>
      </c>
      <c r="BF108" s="231"/>
      <c r="BG108" s="253">
        <f t="shared" si="34"/>
        <v>6791339.3350291392</v>
      </c>
      <c r="BK108" s="207" t="s">
        <v>543</v>
      </c>
      <c r="BL108" s="245"/>
      <c r="BM108" s="245"/>
      <c r="BN108" s="253">
        <f t="shared" si="37"/>
        <v>0</v>
      </c>
    </row>
    <row r="109" spans="35:71" ht="16" x14ac:dyDescent="0.2">
      <c r="AI109" s="207"/>
      <c r="AR109" s="254" t="s">
        <v>545</v>
      </c>
      <c r="AS109" s="231"/>
      <c r="AT109" s="231"/>
      <c r="AU109" s="231"/>
      <c r="AV109" s="231"/>
      <c r="AW109" s="231"/>
      <c r="AX109" s="231"/>
      <c r="AY109" s="231"/>
      <c r="AZ109" s="231"/>
      <c r="BA109" s="231"/>
      <c r="BB109" s="231"/>
      <c r="BC109" s="231"/>
      <c r="BD109" s="231">
        <f>'Ore-&gt;PI'!$CP$233</f>
        <v>5935408.0537775028</v>
      </c>
      <c r="BE109" s="231"/>
      <c r="BF109" s="231"/>
      <c r="BG109" s="253">
        <f t="shared" si="34"/>
        <v>5935408.0537775028</v>
      </c>
      <c r="BK109" s="254" t="s">
        <v>545</v>
      </c>
      <c r="BL109" s="245"/>
      <c r="BM109" s="245"/>
      <c r="BN109" s="253">
        <f t="shared" si="37"/>
        <v>0</v>
      </c>
    </row>
    <row r="110" spans="35:71" x14ac:dyDescent="0.2">
      <c r="AI110" s="207"/>
      <c r="AR110" s="207" t="s">
        <v>544</v>
      </c>
      <c r="AS110" s="231"/>
      <c r="AT110" s="231"/>
      <c r="AU110" s="231"/>
      <c r="AV110" s="231"/>
      <c r="AW110" s="231"/>
      <c r="AX110" s="231"/>
      <c r="AY110" s="231"/>
      <c r="AZ110" s="231"/>
      <c r="BA110" s="231"/>
      <c r="BB110" s="231"/>
      <c r="BC110" s="231"/>
      <c r="BD110" s="231"/>
      <c r="BE110" s="231"/>
      <c r="BF110" s="231"/>
      <c r="BG110" s="253">
        <f t="shared" si="34"/>
        <v>0</v>
      </c>
      <c r="BK110" s="207" t="s">
        <v>544</v>
      </c>
      <c r="BL110" s="245"/>
      <c r="BM110" s="245">
        <f>'Ore-&gt;PI'!CP217</f>
        <v>5366.0434241372932</v>
      </c>
      <c r="BN110" s="253">
        <f t="shared" si="37"/>
        <v>5366.0434241372932</v>
      </c>
    </row>
    <row r="111" spans="35:71" x14ac:dyDescent="0.2">
      <c r="AI111" s="207"/>
      <c r="AR111" s="205" t="s">
        <v>546</v>
      </c>
      <c r="AS111" s="231"/>
      <c r="AT111" s="231"/>
      <c r="AU111" s="231"/>
      <c r="AV111" s="231"/>
      <c r="AW111" s="231"/>
      <c r="AX111" s="231"/>
      <c r="AY111" s="231"/>
      <c r="AZ111" s="231"/>
      <c r="BA111" s="231"/>
      <c r="BB111" s="231"/>
      <c r="BC111" s="231"/>
      <c r="BD111" s="231"/>
      <c r="BE111" s="231"/>
      <c r="BF111" s="231"/>
      <c r="BG111" s="253">
        <f t="shared" si="34"/>
        <v>0</v>
      </c>
      <c r="BK111" s="205" t="s">
        <v>546</v>
      </c>
      <c r="BL111" s="245"/>
      <c r="BM111" s="245">
        <f>'Ore-&gt;PI'!CP250</f>
        <v>50611.612737094918</v>
      </c>
      <c r="BN111" s="253">
        <f t="shared" si="37"/>
        <v>50611.612737094918</v>
      </c>
    </row>
    <row r="112" spans="35:71" x14ac:dyDescent="0.2">
      <c r="AI112" s="207"/>
      <c r="AR112" s="207" t="s">
        <v>541</v>
      </c>
      <c r="AS112" s="231"/>
      <c r="AT112" s="231"/>
      <c r="AU112" s="231"/>
      <c r="AV112" s="231"/>
      <c r="AW112" s="231"/>
      <c r="AX112" s="231"/>
      <c r="AY112" s="231"/>
      <c r="AZ112" s="231"/>
      <c r="BA112" s="231"/>
      <c r="BB112" s="231"/>
      <c r="BC112" s="231">
        <f>'Ore-&gt;PI'!BX225</f>
        <v>891683.71589033271</v>
      </c>
      <c r="BD112" s="231"/>
      <c r="BE112" s="231"/>
      <c r="BF112" s="244">
        <f>'Ore-&gt;PI'!EG152</f>
        <v>4161190.674154886</v>
      </c>
      <c r="BG112" s="253">
        <f t="shared" si="34"/>
        <v>5052874.3900452191</v>
      </c>
      <c r="BK112" s="207" t="s">
        <v>541</v>
      </c>
      <c r="BL112" s="245">
        <f>'Ore-&gt;PI'!EN233</f>
        <v>891683.71589033271</v>
      </c>
      <c r="BM112" s="245"/>
      <c r="BN112" s="253">
        <f t="shared" si="37"/>
        <v>891683.71589033271</v>
      </c>
    </row>
    <row r="113" spans="5:66" x14ac:dyDescent="0.2">
      <c r="AI113" s="207"/>
      <c r="AR113" s="207" t="s">
        <v>571</v>
      </c>
      <c r="AS113" s="231"/>
      <c r="AT113" s="231"/>
      <c r="AU113" s="231"/>
      <c r="AV113" s="231"/>
      <c r="AW113" s="231"/>
      <c r="AX113" s="231"/>
      <c r="AY113" s="231"/>
      <c r="AZ113" s="231"/>
      <c r="BA113" s="231"/>
      <c r="BB113" s="231"/>
      <c r="BC113" s="231"/>
      <c r="BD113" s="231"/>
      <c r="BE113" s="231"/>
      <c r="BF113" s="244">
        <f>'Ore-&gt;PI'!EG126</f>
        <v>7072531.8830895294</v>
      </c>
      <c r="BG113" s="253">
        <f t="shared" si="34"/>
        <v>7072531.8830895294</v>
      </c>
      <c r="BK113" s="207" t="s">
        <v>571</v>
      </c>
      <c r="BL113" s="245"/>
      <c r="BM113" s="245"/>
      <c r="BN113" s="253">
        <f t="shared" si="37"/>
        <v>0</v>
      </c>
    </row>
    <row r="114" spans="5:66" x14ac:dyDescent="0.2">
      <c r="AI114" s="207"/>
      <c r="AR114" s="207" t="s">
        <v>572</v>
      </c>
      <c r="AS114" s="231"/>
      <c r="AT114" s="231"/>
      <c r="AU114" s="231"/>
      <c r="AV114" s="231"/>
      <c r="AW114" s="231"/>
      <c r="AX114" s="231"/>
      <c r="AY114" s="231"/>
      <c r="AZ114" s="231"/>
      <c r="BA114" s="231"/>
      <c r="BB114" s="231"/>
      <c r="BC114" s="231"/>
      <c r="BD114" s="231"/>
      <c r="BE114" s="231"/>
      <c r="BF114" s="231"/>
      <c r="BG114" s="253">
        <f t="shared" si="34"/>
        <v>0</v>
      </c>
      <c r="BK114" s="207" t="s">
        <v>572</v>
      </c>
      <c r="BL114" s="245">
        <f>'Ore-&gt;PI'!FF126</f>
        <v>4157895.2984628798</v>
      </c>
      <c r="BM114" s="245"/>
      <c r="BN114" s="253">
        <f t="shared" si="37"/>
        <v>4157895.2984628798</v>
      </c>
    </row>
    <row r="115" spans="5:66" x14ac:dyDescent="0.2">
      <c r="AI115" s="207"/>
      <c r="AR115" s="207" t="s">
        <v>573</v>
      </c>
      <c r="AS115" s="231"/>
      <c r="AT115" s="231"/>
      <c r="AU115" s="231"/>
      <c r="AV115" s="231"/>
      <c r="AW115" s="231"/>
      <c r="AX115" s="231"/>
      <c r="AY115" s="231"/>
      <c r="AZ115" s="231"/>
      <c r="BA115" s="231"/>
      <c r="BB115" s="231"/>
      <c r="BC115" s="231"/>
      <c r="BD115" s="231"/>
      <c r="BE115" s="231"/>
      <c r="BF115" s="231"/>
      <c r="BG115" s="253">
        <f t="shared" si="34"/>
        <v>0</v>
      </c>
      <c r="BK115" s="207" t="s">
        <v>573</v>
      </c>
      <c r="BL115" s="245"/>
      <c r="BM115" s="245">
        <f>'Ore-&gt;PI'!FF141</f>
        <v>432711.9695416363</v>
      </c>
      <c r="BN115" s="253">
        <f t="shared" si="37"/>
        <v>432711.9695416363</v>
      </c>
    </row>
    <row r="116" spans="5:66" x14ac:dyDescent="0.2">
      <c r="AI116" s="207"/>
      <c r="AR116" s="207" t="s">
        <v>584</v>
      </c>
      <c r="AS116" s="231"/>
      <c r="AT116" s="231"/>
      <c r="AU116" s="231"/>
      <c r="AV116" s="231"/>
      <c r="AW116" s="231"/>
      <c r="AX116" s="231"/>
      <c r="AY116" s="231"/>
      <c r="AZ116" s="231"/>
      <c r="BA116" s="231"/>
      <c r="BB116" s="231"/>
      <c r="BC116" s="231"/>
      <c r="BD116" s="231"/>
      <c r="BE116" s="231"/>
      <c r="BF116" s="231"/>
      <c r="BG116" s="253">
        <f t="shared" si="34"/>
        <v>0</v>
      </c>
      <c r="BK116" s="207" t="s">
        <v>584</v>
      </c>
      <c r="BL116" s="245"/>
      <c r="BM116" s="245">
        <f>'Ore-&gt;PI'!FF104</f>
        <v>67875.356217847453</v>
      </c>
      <c r="BN116" s="253">
        <f t="shared" si="37"/>
        <v>67875.356217847453</v>
      </c>
    </row>
    <row r="117" spans="5:66" x14ac:dyDescent="0.2">
      <c r="AI117" s="207"/>
      <c r="AR117" s="207"/>
      <c r="AS117" s="359" t="s">
        <v>421</v>
      </c>
      <c r="AT117" s="359"/>
      <c r="AU117" s="359"/>
      <c r="AV117" s="359"/>
      <c r="AW117" s="359"/>
      <c r="AX117" s="359"/>
      <c r="AY117" s="359"/>
      <c r="AZ117" s="359"/>
      <c r="BA117" s="359"/>
      <c r="BB117" s="359"/>
      <c r="BC117" s="359"/>
      <c r="BD117" s="359"/>
      <c r="BE117" s="359"/>
      <c r="BF117" s="359"/>
      <c r="BG117" s="25" t="s">
        <v>477</v>
      </c>
      <c r="BL117" s="359" t="s">
        <v>423</v>
      </c>
      <c r="BM117" s="359"/>
      <c r="BN117" s="25" t="s">
        <v>492</v>
      </c>
    </row>
    <row r="118" spans="5:66" x14ac:dyDescent="0.2">
      <c r="AI118" s="207"/>
      <c r="AR118" s="207"/>
      <c r="AS118" s="253">
        <f>SUM(AS83:AS116)</f>
        <v>196979.54401115695</v>
      </c>
      <c r="AT118" s="253">
        <f>SUM(AT83:AT116)</f>
        <v>25659.269681201535</v>
      </c>
      <c r="AU118" s="253">
        <f>SUM(AU83:AU116)</f>
        <v>8844576.4466051329</v>
      </c>
      <c r="AV118" s="253">
        <f t="shared" ref="AV118:BF118" si="38">SUM(AV83:AV116)</f>
        <v>719025.96440252138</v>
      </c>
      <c r="AW118" s="253">
        <f t="shared" si="38"/>
        <v>28219.126564153565</v>
      </c>
      <c r="AX118" s="253">
        <f t="shared" si="38"/>
        <v>8906564.9751386438</v>
      </c>
      <c r="AY118" s="253">
        <f t="shared" si="38"/>
        <v>121859.81146951189</v>
      </c>
      <c r="AZ118" s="253">
        <f t="shared" si="38"/>
        <v>25428.919011572762</v>
      </c>
      <c r="BA118" s="253">
        <f t="shared" si="38"/>
        <v>8774915.6996685099</v>
      </c>
      <c r="BB118" s="253">
        <f t="shared" si="38"/>
        <v>1078398155.5102727</v>
      </c>
      <c r="BC118" s="253">
        <f t="shared" si="38"/>
        <v>10517543.964973493</v>
      </c>
      <c r="BD118" s="253">
        <f t="shared" si="38"/>
        <v>5985507.580323359</v>
      </c>
      <c r="BE118" s="253">
        <f t="shared" si="38"/>
        <v>7122321.2109242482</v>
      </c>
      <c r="BF118" s="253">
        <f t="shared" si="38"/>
        <v>14100010.581139561</v>
      </c>
      <c r="BL118" s="25"/>
      <c r="BM118" s="25"/>
    </row>
    <row r="119" spans="5:66" ht="13" customHeight="1" x14ac:dyDescent="0.2">
      <c r="F119" s="360"/>
      <c r="G119" s="360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4"/>
      <c r="AI119" s="207"/>
      <c r="AJ119" s="234"/>
      <c r="AK119" s="234"/>
      <c r="AL119" s="234"/>
      <c r="AM119" s="234"/>
      <c r="AN119" s="234"/>
      <c r="AO119" s="234"/>
      <c r="AP119" s="234"/>
      <c r="AS119" s="359" t="s">
        <v>476</v>
      </c>
      <c r="AT119" s="359"/>
      <c r="AU119" s="359"/>
      <c r="AV119" s="359"/>
      <c r="AW119" s="359"/>
      <c r="AX119" s="359"/>
      <c r="AY119" s="359"/>
      <c r="AZ119" s="359"/>
      <c r="BA119" s="359"/>
      <c r="BB119" s="359"/>
      <c r="BC119" s="359"/>
      <c r="BD119" s="359"/>
      <c r="BE119" s="359"/>
      <c r="BF119" s="359"/>
      <c r="BL119" s="25"/>
      <c r="BM119" s="25"/>
    </row>
    <row r="120" spans="5:66" ht="236" x14ac:dyDescent="0.2">
      <c r="E120" s="241" t="s">
        <v>456</v>
      </c>
      <c r="F120" s="208" t="s">
        <v>426</v>
      </c>
      <c r="G120" s="208" t="s">
        <v>428</v>
      </c>
      <c r="H120" s="208" t="s">
        <v>429</v>
      </c>
      <c r="I120" s="208" t="s">
        <v>450</v>
      </c>
      <c r="J120" s="208" t="s">
        <v>485</v>
      </c>
      <c r="K120" s="208" t="s">
        <v>596</v>
      </c>
      <c r="L120" s="208" t="s">
        <v>597</v>
      </c>
      <c r="M120" s="208" t="s">
        <v>533</v>
      </c>
      <c r="N120" s="208" t="s">
        <v>586</v>
      </c>
      <c r="O120" s="210" t="s">
        <v>568</v>
      </c>
      <c r="P120" s="208" t="s">
        <v>531</v>
      </c>
      <c r="Q120" s="210" t="s">
        <v>534</v>
      </c>
      <c r="R120" s="208" t="s">
        <v>563</v>
      </c>
      <c r="S120" s="211" t="s">
        <v>555</v>
      </c>
      <c r="T120" s="208" t="s">
        <v>538</v>
      </c>
      <c r="U120" s="210" t="s">
        <v>567</v>
      </c>
      <c r="V120" s="210" t="s">
        <v>562</v>
      </c>
      <c r="W120" s="210" t="s">
        <v>559</v>
      </c>
      <c r="X120" s="210" t="s">
        <v>565</v>
      </c>
      <c r="Y120" s="211" t="s">
        <v>564</v>
      </c>
      <c r="Z120" s="211" t="s">
        <v>547</v>
      </c>
      <c r="AA120" s="211" t="s">
        <v>583</v>
      </c>
      <c r="AB120" s="211" t="s">
        <v>548</v>
      </c>
      <c r="AC120" s="211" t="s">
        <v>550</v>
      </c>
      <c r="AD120" s="211" t="s">
        <v>549</v>
      </c>
      <c r="AE120" s="211" t="s">
        <v>543</v>
      </c>
      <c r="AF120" s="233" t="s">
        <v>545</v>
      </c>
      <c r="AG120" s="211" t="s">
        <v>544</v>
      </c>
      <c r="AH120" s="208" t="s">
        <v>546</v>
      </c>
      <c r="AI120" s="211" t="s">
        <v>541</v>
      </c>
      <c r="AJ120" s="211" t="s">
        <v>571</v>
      </c>
      <c r="AK120" s="211" t="s">
        <v>572</v>
      </c>
      <c r="AL120" s="211" t="s">
        <v>573</v>
      </c>
      <c r="AM120" s="211" t="s">
        <v>584</v>
      </c>
    </row>
    <row r="121" spans="5:66" x14ac:dyDescent="0.2">
      <c r="E121" s="205" t="s">
        <v>418</v>
      </c>
      <c r="F121" s="231"/>
      <c r="G121" s="231"/>
      <c r="H121" s="231"/>
      <c r="I121" s="231"/>
      <c r="J121" s="231"/>
      <c r="K121" s="231"/>
      <c r="L121" s="231"/>
      <c r="M121" s="231"/>
      <c r="N121" s="231"/>
      <c r="O121" s="231">
        <f>'Ore-&gt;PI'!AM42</f>
        <v>109233.7126431732</v>
      </c>
      <c r="P121" s="231">
        <f>'Ore-&gt;PI'!AM63</f>
        <v>2396.1586162428257</v>
      </c>
      <c r="Q121" s="231"/>
      <c r="R121" s="231"/>
      <c r="S121" s="231"/>
      <c r="T121" s="231"/>
      <c r="U121" s="231"/>
      <c r="V121" s="231"/>
      <c r="W121" s="231"/>
      <c r="X121" s="231"/>
      <c r="Y121" s="231"/>
      <c r="Z121" s="231"/>
      <c r="AA121" s="231"/>
      <c r="AB121" s="231"/>
      <c r="AC121" s="231"/>
      <c r="AD121" s="231"/>
      <c r="AE121" s="231"/>
      <c r="AF121" s="231"/>
      <c r="AG121" s="231"/>
      <c r="AH121" s="231"/>
      <c r="AI121" s="231"/>
      <c r="AJ121" s="231"/>
      <c r="AK121" s="231"/>
      <c r="AL121" s="231"/>
      <c r="AM121" s="231"/>
      <c r="AN121" s="253">
        <f>SUM(F121:AM121)</f>
        <v>111629.87125941603</v>
      </c>
    </row>
    <row r="122" spans="5:66" x14ac:dyDescent="0.2">
      <c r="E122" s="205" t="s">
        <v>419</v>
      </c>
      <c r="F122" s="231"/>
      <c r="G122" s="231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>
        <f>'Ore-&gt;PI'!AN126</f>
        <v>25394.240916408646</v>
      </c>
      <c r="R122" s="231">
        <f>'Ore-&gt;PI'!AN142</f>
        <v>7.1782646247188149</v>
      </c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31"/>
      <c r="AJ122" s="231"/>
      <c r="AK122" s="231"/>
      <c r="AL122" s="231"/>
      <c r="AM122" s="231"/>
      <c r="AN122" s="253">
        <f>SUM(F122:AM122)</f>
        <v>25401.419181033365</v>
      </c>
    </row>
    <row r="123" spans="5:66" x14ac:dyDescent="0.2">
      <c r="E123" s="205" t="s">
        <v>420</v>
      </c>
      <c r="F123" s="231"/>
      <c r="G123" s="231"/>
      <c r="H123" s="231"/>
      <c r="I123" s="231"/>
      <c r="J123" s="231"/>
      <c r="K123" s="231"/>
      <c r="L123" s="231"/>
      <c r="M123" s="231"/>
      <c r="N123" s="231"/>
      <c r="O123" s="231"/>
      <c r="P123" s="231"/>
      <c r="Q123" s="231"/>
      <c r="R123" s="231"/>
      <c r="S123" s="231">
        <f>'Ore-&gt;PI'!AN206</f>
        <v>8746311.5419027284</v>
      </c>
      <c r="T123" s="231">
        <f>'Ore-&gt;PI'!AN227</f>
        <v>569.94401045704944</v>
      </c>
      <c r="U123" s="231"/>
      <c r="V123" s="231"/>
      <c r="W123" s="231"/>
      <c r="X123" s="231"/>
      <c r="Y123" s="231"/>
      <c r="Z123" s="231"/>
      <c r="AA123" s="231"/>
      <c r="AB123" s="231"/>
      <c r="AC123" s="231"/>
      <c r="AD123" s="231"/>
      <c r="AE123" s="231"/>
      <c r="AF123" s="231"/>
      <c r="AG123" s="231"/>
      <c r="AH123" s="231"/>
      <c r="AI123" s="231"/>
      <c r="AJ123" s="231"/>
      <c r="AK123" s="231"/>
      <c r="AL123" s="231"/>
      <c r="AM123" s="231"/>
      <c r="AN123" s="253">
        <f t="shared" ref="AN123:AN134" si="39">SUM(F123:AM123)</f>
        <v>8746881.4859131854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5" t="s">
        <v>582</v>
      </c>
      <c r="F124" s="231"/>
      <c r="G124" s="231"/>
      <c r="H124" s="231"/>
      <c r="I124" s="231"/>
      <c r="J124" s="231"/>
      <c r="K124" s="231"/>
      <c r="L124" s="231"/>
      <c r="M124" s="231"/>
      <c r="N124" s="231"/>
      <c r="O124" s="231"/>
      <c r="P124" s="231"/>
      <c r="Q124" s="231"/>
      <c r="R124" s="231"/>
      <c r="S124" s="231"/>
      <c r="T124" s="231"/>
      <c r="U124" s="231">
        <f>'Ore-&gt;PI'!BE42</f>
        <v>109233.7126431732</v>
      </c>
      <c r="V124" s="231"/>
      <c r="W124" s="231"/>
      <c r="X124" s="231"/>
      <c r="Y124" s="231"/>
      <c r="Z124" s="231"/>
      <c r="AA124" s="231"/>
      <c r="AB124" s="231"/>
      <c r="AC124" s="231"/>
      <c r="AD124" s="231"/>
      <c r="AE124" s="231"/>
      <c r="AF124" s="231"/>
      <c r="AG124" s="231"/>
      <c r="AH124" s="231"/>
      <c r="AI124" s="231"/>
      <c r="AJ124" s="231"/>
      <c r="AK124" s="231"/>
      <c r="AL124" s="231"/>
      <c r="AM124" s="231"/>
      <c r="AN124" s="253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5" t="s">
        <v>561</v>
      </c>
      <c r="F125" s="231"/>
      <c r="G125" s="231"/>
      <c r="H125" s="231"/>
      <c r="I125" s="231"/>
      <c r="J125" s="231"/>
      <c r="K125" s="231"/>
      <c r="L125" s="231"/>
      <c r="M125" s="231"/>
      <c r="N125" s="231"/>
      <c r="O125" s="231"/>
      <c r="P125" s="231"/>
      <c r="Q125" s="231"/>
      <c r="R125" s="231"/>
      <c r="S125" s="231"/>
      <c r="T125" s="231"/>
      <c r="U125" s="231"/>
      <c r="V125" s="231">
        <f>'Ore-&gt;PI'!BF126</f>
        <v>25394.240916408646</v>
      </c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1"/>
      <c r="AI125" s="231"/>
      <c r="AJ125" s="231"/>
      <c r="AK125" s="231"/>
      <c r="AL125" s="231"/>
      <c r="AM125" s="231"/>
      <c r="AN125" s="253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5" t="s">
        <v>560</v>
      </c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>
        <f>'Ore-&gt;PI'!BF206</f>
        <v>8746311.5419027284</v>
      </c>
      <c r="X126" s="231"/>
      <c r="Y126" s="231"/>
      <c r="Z126" s="231"/>
      <c r="AA126" s="231"/>
      <c r="AB126" s="231"/>
      <c r="AC126" s="231"/>
      <c r="AD126" s="231"/>
      <c r="AE126" s="231"/>
      <c r="AF126" s="231"/>
      <c r="AG126" s="231"/>
      <c r="AH126" s="231"/>
      <c r="AI126" s="231"/>
      <c r="AJ126" s="231"/>
      <c r="AK126" s="231"/>
      <c r="AL126" s="231"/>
      <c r="AM126" s="231"/>
      <c r="AN126" s="253">
        <f t="shared" si="39"/>
        <v>8746311.5419027284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5" t="s">
        <v>446</v>
      </c>
      <c r="F127" s="231"/>
      <c r="G127" s="231"/>
      <c r="H127" s="231"/>
      <c r="I127" s="231"/>
      <c r="J127" s="231"/>
      <c r="K127" s="231"/>
      <c r="L127" s="231"/>
      <c r="M127" s="231"/>
      <c r="N127" s="231"/>
      <c r="O127" s="231"/>
      <c r="P127" s="231"/>
      <c r="Q127" s="231"/>
      <c r="R127" s="231"/>
      <c r="S127" s="231"/>
      <c r="T127" s="231"/>
      <c r="U127" s="231"/>
      <c r="V127" s="231"/>
      <c r="W127" s="231"/>
      <c r="X127" s="231">
        <f>'Ore-&gt;PI'!BW42</f>
        <v>88965.799815334409</v>
      </c>
      <c r="Y127" s="231">
        <f>'Ore-&gt;PI'!BW55</f>
        <v>21743.416787545681</v>
      </c>
      <c r="Z127" s="231"/>
      <c r="AA127" s="231"/>
      <c r="AB127" s="231"/>
      <c r="AC127" s="231"/>
      <c r="AD127" s="231"/>
      <c r="AE127" s="231"/>
      <c r="AF127" s="231"/>
      <c r="AG127" s="231"/>
      <c r="AH127" s="231"/>
      <c r="AI127" s="231"/>
      <c r="AJ127" s="231"/>
      <c r="AK127" s="231"/>
      <c r="AL127" s="231"/>
      <c r="AM127" s="231"/>
      <c r="AN127" s="253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5" t="s">
        <v>443</v>
      </c>
      <c r="F128" s="231"/>
      <c r="G128" s="231"/>
      <c r="H128" s="231"/>
      <c r="I128" s="231"/>
      <c r="J128" s="231"/>
      <c r="K128" s="231"/>
      <c r="L128" s="231"/>
      <c r="M128" s="231"/>
      <c r="N128" s="231"/>
      <c r="O128" s="231"/>
      <c r="P128" s="231"/>
      <c r="Q128" s="231"/>
      <c r="R128" s="231"/>
      <c r="S128" s="231"/>
      <c r="T128" s="231"/>
      <c r="U128" s="231"/>
      <c r="V128" s="231"/>
      <c r="W128" s="231"/>
      <c r="X128" s="231"/>
      <c r="Y128" s="231"/>
      <c r="Z128" s="231">
        <f>'Ore-&gt;PI'!BX126</f>
        <v>25394.240916408646</v>
      </c>
      <c r="AA128" s="231"/>
      <c r="AB128" s="231"/>
      <c r="AC128" s="231"/>
      <c r="AD128" s="231"/>
      <c r="AE128" s="231"/>
      <c r="AF128" s="231"/>
      <c r="AG128" s="231"/>
      <c r="AH128" s="231"/>
      <c r="AI128" s="231"/>
      <c r="AJ128" s="231"/>
      <c r="AK128" s="231"/>
      <c r="AL128" s="231"/>
      <c r="AM128" s="231"/>
      <c r="AN128" s="253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5" t="s">
        <v>465</v>
      </c>
      <c r="F129" s="231"/>
      <c r="G129" s="231"/>
      <c r="H129" s="231"/>
      <c r="I129" s="231"/>
      <c r="J129" s="231"/>
      <c r="K129" s="231"/>
      <c r="L129" s="231"/>
      <c r="M129" s="231"/>
      <c r="N129" s="231"/>
      <c r="O129" s="231"/>
      <c r="P129" s="231"/>
      <c r="Q129" s="231"/>
      <c r="R129" s="231"/>
      <c r="S129" s="231"/>
      <c r="T129" s="231"/>
      <c r="U129" s="231"/>
      <c r="V129" s="231"/>
      <c r="W129" s="231"/>
      <c r="X129" s="231"/>
      <c r="Y129" s="231"/>
      <c r="Z129" s="231"/>
      <c r="AA129" s="231">
        <f>'Ore-&gt;PI'!BX206</f>
        <v>8746311.5419027284</v>
      </c>
      <c r="AB129" s="231"/>
      <c r="AC129" s="231"/>
      <c r="AD129" s="231"/>
      <c r="AE129" s="231"/>
      <c r="AF129" s="231"/>
      <c r="AG129" s="231"/>
      <c r="AH129" s="231"/>
      <c r="AI129" s="231"/>
      <c r="AJ129" s="231"/>
      <c r="AK129" s="231"/>
      <c r="AL129" s="231"/>
      <c r="AM129" s="231"/>
      <c r="AN129" s="253">
        <f t="shared" si="39"/>
        <v>8746311.5419027284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5" t="s">
        <v>444</v>
      </c>
      <c r="F130" s="231"/>
      <c r="G130" s="231"/>
      <c r="H130" s="231"/>
      <c r="I130" s="231"/>
      <c r="J130" s="231"/>
      <c r="K130" s="231"/>
      <c r="L130" s="231"/>
      <c r="M130" s="231"/>
      <c r="N130" s="231"/>
      <c r="O130" s="231"/>
      <c r="P130" s="231"/>
      <c r="Q130" s="231"/>
      <c r="R130" s="231"/>
      <c r="S130" s="231"/>
      <c r="T130" s="231"/>
      <c r="U130" s="231"/>
      <c r="V130" s="231"/>
      <c r="W130" s="231"/>
      <c r="X130" s="231"/>
      <c r="Y130" s="231"/>
      <c r="Z130" s="231"/>
      <c r="AA130" s="231"/>
      <c r="AB130" s="231">
        <f>'Ore-&gt;PI'!CR126</f>
        <v>242016.07607977447</v>
      </c>
      <c r="AC130" s="231">
        <f>'Ore-&gt;PI'!CR114</f>
        <v>7739.2511800711582</v>
      </c>
      <c r="AD130" s="231">
        <f>'Ore-&gt;PI'!CR138</f>
        <v>1065721621.9898958</v>
      </c>
      <c r="AE130" s="231"/>
      <c r="AF130" s="231"/>
      <c r="AG130" s="231"/>
      <c r="AH130" s="231"/>
      <c r="AI130" s="231"/>
      <c r="AJ130" s="231"/>
      <c r="AK130" s="231"/>
      <c r="AL130" s="231"/>
      <c r="AM130" s="231"/>
      <c r="AN130" s="253">
        <f t="shared" si="39"/>
        <v>1065971377.3171557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5" t="s">
        <v>439</v>
      </c>
      <c r="F131" s="231"/>
      <c r="G131" s="231"/>
      <c r="H131" s="231"/>
      <c r="I131" s="231"/>
      <c r="J131" s="231"/>
      <c r="K131" s="231"/>
      <c r="L131" s="231"/>
      <c r="M131" s="231"/>
      <c r="N131" s="231"/>
      <c r="O131" s="231"/>
      <c r="P131" s="231"/>
      <c r="Q131" s="231"/>
      <c r="R131" s="231"/>
      <c r="S131" s="231"/>
      <c r="T131" s="231"/>
      <c r="U131" s="231"/>
      <c r="V131" s="231"/>
      <c r="W131" s="231"/>
      <c r="X131" s="231"/>
      <c r="Y131" s="231"/>
      <c r="Z131" s="231"/>
      <c r="AA131" s="231"/>
      <c r="AB131" s="231"/>
      <c r="AC131" s="231"/>
      <c r="AD131" s="231"/>
      <c r="AE131" s="231">
        <f>'Ore-&gt;PI'!CP206</f>
        <v>6791339.3350291392</v>
      </c>
      <c r="AF131" s="231">
        <f>'Ore-&gt;PI'!CP233</f>
        <v>5935408.0537775028</v>
      </c>
      <c r="AG131" s="231">
        <f>'Ore-&gt;PI'!CP217</f>
        <v>5366.0434241372932</v>
      </c>
      <c r="AH131" s="231">
        <f>'Ore-&gt;PI'!CP250</f>
        <v>50611.612737094918</v>
      </c>
      <c r="AI131" s="231"/>
      <c r="AJ131" s="231"/>
      <c r="AK131" s="231"/>
      <c r="AL131" s="231"/>
      <c r="AM131" s="231"/>
      <c r="AN131" s="253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5" t="s">
        <v>461</v>
      </c>
      <c r="F132" s="231"/>
      <c r="G132" s="231"/>
      <c r="H132" s="231"/>
      <c r="I132" s="231"/>
      <c r="J132" s="231"/>
      <c r="K132" s="231"/>
      <c r="L132" s="231"/>
      <c r="M132" s="231"/>
      <c r="N132" s="231"/>
      <c r="O132" s="231"/>
      <c r="P132" s="231"/>
      <c r="Q132" s="231"/>
      <c r="R132" s="231"/>
      <c r="S132" s="231"/>
      <c r="T132" s="231"/>
      <c r="U132" s="231"/>
      <c r="V132" s="231"/>
      <c r="W132" s="231"/>
      <c r="X132" s="231"/>
      <c r="Y132" s="231"/>
      <c r="Z132" s="231"/>
      <c r="AA132" s="231"/>
      <c r="AB132" s="231"/>
      <c r="AC132" s="231"/>
      <c r="AD132" s="231"/>
      <c r="AE132" s="231"/>
      <c r="AF132" s="231"/>
      <c r="AG132" s="231"/>
      <c r="AH132" s="231"/>
      <c r="AI132" s="231">
        <f>'Ore-&gt;PI'!DI233</f>
        <v>5944558.1059355522</v>
      </c>
      <c r="AJ132" s="231"/>
      <c r="AK132" s="231"/>
      <c r="AL132" s="231"/>
      <c r="AM132" s="231"/>
      <c r="AN132" s="253">
        <f t="shared" si="39"/>
        <v>5944558.1059355522</v>
      </c>
    </row>
    <row r="133" spans="5:65" x14ac:dyDescent="0.2">
      <c r="E133" s="205" t="s">
        <v>81</v>
      </c>
      <c r="F133" s="231"/>
      <c r="G133" s="231"/>
      <c r="H133" s="231"/>
      <c r="I133" s="231"/>
      <c r="J133" s="231"/>
      <c r="K133" s="231"/>
      <c r="L133" s="231"/>
      <c r="M133" s="231"/>
      <c r="N133" s="231"/>
      <c r="O133" s="231"/>
      <c r="P133" s="231"/>
      <c r="Q133" s="231"/>
      <c r="R133" s="231"/>
      <c r="S133" s="231"/>
      <c r="T133" s="231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44"/>
      <c r="AI133" s="231"/>
      <c r="AJ133" s="244">
        <f>'Ore-&gt;PI'!EG126</f>
        <v>7072531.8830895294</v>
      </c>
      <c r="AK133" s="231"/>
      <c r="AL133" s="231"/>
      <c r="AM133" s="231"/>
      <c r="AN133" s="253">
        <f t="shared" si="39"/>
        <v>7072531.8830895294</v>
      </c>
    </row>
    <row r="134" spans="5:65" x14ac:dyDescent="0.2">
      <c r="E134" s="205" t="s">
        <v>430</v>
      </c>
      <c r="F134" s="231"/>
      <c r="G134" s="231"/>
      <c r="H134" s="231"/>
      <c r="I134" s="244"/>
      <c r="J134" s="231"/>
      <c r="K134" s="231"/>
      <c r="L134" s="231"/>
      <c r="M134" s="231"/>
      <c r="N134" s="231"/>
      <c r="O134" s="231"/>
      <c r="P134" s="231"/>
      <c r="Q134" s="231"/>
      <c r="R134" s="231"/>
      <c r="S134" s="231"/>
      <c r="T134" s="231"/>
      <c r="U134" s="231"/>
      <c r="V134" s="231"/>
      <c r="W134" s="231"/>
      <c r="X134" s="231"/>
      <c r="Y134" s="231"/>
      <c r="Z134" s="231"/>
      <c r="AA134" s="231"/>
      <c r="AB134" s="231"/>
      <c r="AC134" s="231"/>
      <c r="AD134" s="248"/>
      <c r="AE134" s="231"/>
      <c r="AF134" s="231"/>
      <c r="AG134" s="231"/>
      <c r="AH134" s="231"/>
      <c r="AI134" s="231"/>
      <c r="AJ134" s="231"/>
      <c r="AK134" s="231">
        <f>'Ore-&gt;PI'!FF126</f>
        <v>4157895.2984628798</v>
      </c>
      <c r="AL134" s="231">
        <f>'Ore-&gt;PI'!FF141</f>
        <v>432711.9695416363</v>
      </c>
      <c r="AM134" s="231">
        <f>'Ore-&gt;PI'!FF104</f>
        <v>67875.356217847453</v>
      </c>
      <c r="AN134" s="253">
        <f t="shared" si="39"/>
        <v>4658482.6242223633</v>
      </c>
    </row>
    <row r="135" spans="5:65" x14ac:dyDescent="0.2">
      <c r="E135" s="205"/>
      <c r="F135" s="359" t="s">
        <v>422</v>
      </c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9"/>
      <c r="AH135" s="359"/>
      <c r="AI135" s="359"/>
      <c r="AJ135" s="359"/>
      <c r="AK135" s="359"/>
      <c r="AL135" s="359"/>
      <c r="AM135" s="359"/>
      <c r="AN135" s="25" t="s">
        <v>473</v>
      </c>
      <c r="AO135" s="25"/>
    </row>
    <row r="136" spans="5:65" x14ac:dyDescent="0.2">
      <c r="E136" s="205"/>
      <c r="F136" s="253">
        <f t="shared" ref="F136:AM136" si="40">SUM(F121:F134)</f>
        <v>0</v>
      </c>
      <c r="G136" s="253">
        <f t="shared" si="40"/>
        <v>0</v>
      </c>
      <c r="H136" s="253">
        <f t="shared" si="40"/>
        <v>0</v>
      </c>
      <c r="I136" s="253">
        <f t="shared" si="40"/>
        <v>0</v>
      </c>
      <c r="J136" s="253">
        <f t="shared" si="40"/>
        <v>0</v>
      </c>
      <c r="K136" s="253">
        <f t="shared" si="40"/>
        <v>0</v>
      </c>
      <c r="L136" s="253">
        <f t="shared" si="40"/>
        <v>0</v>
      </c>
      <c r="M136" s="253">
        <f t="shared" si="40"/>
        <v>0</v>
      </c>
      <c r="N136" s="253">
        <f t="shared" si="40"/>
        <v>0</v>
      </c>
      <c r="O136" s="253">
        <f t="shared" si="40"/>
        <v>109233.7126431732</v>
      </c>
      <c r="P136" s="253">
        <f t="shared" si="40"/>
        <v>2396.1586162428257</v>
      </c>
      <c r="Q136" s="253">
        <f t="shared" si="40"/>
        <v>25394.240916408646</v>
      </c>
      <c r="R136" s="253">
        <f t="shared" si="40"/>
        <v>7.1782646247188149</v>
      </c>
      <c r="S136" s="253">
        <f t="shared" si="40"/>
        <v>8746311.5419027284</v>
      </c>
      <c r="T136" s="253">
        <f t="shared" si="40"/>
        <v>569.94401045704944</v>
      </c>
      <c r="U136" s="253">
        <f t="shared" si="40"/>
        <v>109233.7126431732</v>
      </c>
      <c r="V136" s="253">
        <f t="shared" si="40"/>
        <v>25394.240916408646</v>
      </c>
      <c r="W136" s="253">
        <f t="shared" si="40"/>
        <v>8746311.5419027284</v>
      </c>
      <c r="X136" s="253">
        <f t="shared" si="40"/>
        <v>88965.799815334409</v>
      </c>
      <c r="Y136" s="253">
        <f t="shared" si="40"/>
        <v>21743.416787545681</v>
      </c>
      <c r="Z136" s="253">
        <f t="shared" si="40"/>
        <v>25394.240916408646</v>
      </c>
      <c r="AA136" s="253">
        <f t="shared" si="40"/>
        <v>8746311.5419027284</v>
      </c>
      <c r="AB136" s="253">
        <f t="shared" si="40"/>
        <v>242016.07607977447</v>
      </c>
      <c r="AC136" s="253">
        <f t="shared" si="40"/>
        <v>7739.2511800711582</v>
      </c>
      <c r="AD136" s="253">
        <f t="shared" si="40"/>
        <v>1065721621.9898958</v>
      </c>
      <c r="AE136" s="253">
        <f t="shared" si="40"/>
        <v>6791339.3350291392</v>
      </c>
      <c r="AF136" s="253">
        <f t="shared" si="40"/>
        <v>5935408.0537775028</v>
      </c>
      <c r="AG136" s="253">
        <f t="shared" si="40"/>
        <v>5366.0434241372932</v>
      </c>
      <c r="AH136" s="253">
        <f t="shared" si="40"/>
        <v>50611.612737094918</v>
      </c>
      <c r="AI136" s="253">
        <f t="shared" si="40"/>
        <v>5944558.1059355522</v>
      </c>
      <c r="AJ136" s="253">
        <f t="shared" si="40"/>
        <v>7072531.8830895294</v>
      </c>
      <c r="AK136" s="253">
        <f t="shared" si="40"/>
        <v>4157895.2984628798</v>
      </c>
      <c r="AL136" s="253">
        <f t="shared" si="40"/>
        <v>432711.9695416363</v>
      </c>
      <c r="AM136" s="253">
        <f t="shared" si="40"/>
        <v>67875.356217847453</v>
      </c>
    </row>
    <row r="137" spans="5:65" x14ac:dyDescent="0.2">
      <c r="E137" s="205"/>
      <c r="F137" s="359" t="s">
        <v>474</v>
      </c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  <c r="AA137" s="359"/>
      <c r="AB137" s="359"/>
      <c r="AC137" s="359"/>
      <c r="AD137" s="359"/>
      <c r="AE137" s="359"/>
      <c r="AF137" s="359"/>
      <c r="AG137" s="359"/>
      <c r="AH137" s="359"/>
      <c r="AI137" s="359"/>
      <c r="AJ137" s="359"/>
      <c r="AK137" s="359"/>
      <c r="AL137" s="359"/>
      <c r="AM137" s="359"/>
    </row>
    <row r="138" spans="5:65" x14ac:dyDescent="0.2">
      <c r="E138" s="205"/>
    </row>
    <row r="139" spans="5:65" x14ac:dyDescent="0.2">
      <c r="E139" s="205"/>
    </row>
    <row r="140" spans="5:65" x14ac:dyDescent="0.2">
      <c r="E140" s="205"/>
    </row>
    <row r="141" spans="5:65" x14ac:dyDescent="0.2">
      <c r="E141" s="205"/>
    </row>
    <row r="142" spans="5:65" x14ac:dyDescent="0.2">
      <c r="E142" s="205"/>
    </row>
    <row r="143" spans="5:65" x14ac:dyDescent="0.2">
      <c r="E143" s="205"/>
    </row>
    <row r="144" spans="5:65" x14ac:dyDescent="0.2">
      <c r="E144" s="205"/>
    </row>
    <row r="145" spans="5:45" x14ac:dyDescent="0.2">
      <c r="E145" s="205"/>
    </row>
    <row r="146" spans="5:45" x14ac:dyDescent="0.2">
      <c r="E146" s="205"/>
    </row>
    <row r="147" spans="5:45" x14ac:dyDescent="0.2">
      <c r="E147" s="205"/>
    </row>
    <row r="148" spans="5:45" ht="236" x14ac:dyDescent="0.2">
      <c r="E148" s="205"/>
      <c r="F148" s="208" t="s">
        <v>426</v>
      </c>
      <c r="G148" s="208" t="s">
        <v>428</v>
      </c>
      <c r="H148" s="208" t="s">
        <v>429</v>
      </c>
      <c r="I148" s="208" t="s">
        <v>450</v>
      </c>
      <c r="J148" s="208" t="s">
        <v>485</v>
      </c>
      <c r="K148" s="208" t="s">
        <v>596</v>
      </c>
      <c r="L148" s="208" t="s">
        <v>597</v>
      </c>
      <c r="M148" s="208" t="s">
        <v>533</v>
      </c>
      <c r="N148" s="208" t="s">
        <v>586</v>
      </c>
      <c r="O148" s="210" t="s">
        <v>568</v>
      </c>
      <c r="P148" s="208" t="s">
        <v>531</v>
      </c>
      <c r="Q148" s="210" t="s">
        <v>534</v>
      </c>
      <c r="R148" s="208" t="s">
        <v>563</v>
      </c>
      <c r="S148" s="211" t="s">
        <v>555</v>
      </c>
      <c r="T148" s="208" t="s">
        <v>538</v>
      </c>
      <c r="U148" s="210" t="s">
        <v>567</v>
      </c>
      <c r="V148" s="210" t="s">
        <v>562</v>
      </c>
      <c r="W148" s="210" t="s">
        <v>559</v>
      </c>
      <c r="X148" s="210" t="s">
        <v>565</v>
      </c>
      <c r="Y148" s="211" t="s">
        <v>564</v>
      </c>
      <c r="Z148" s="211" t="s">
        <v>547</v>
      </c>
      <c r="AA148" s="211" t="s">
        <v>583</v>
      </c>
      <c r="AB148" s="211" t="s">
        <v>548</v>
      </c>
      <c r="AC148" s="211" t="s">
        <v>550</v>
      </c>
      <c r="AD148" s="211" t="s">
        <v>549</v>
      </c>
      <c r="AE148" s="211" t="s">
        <v>543</v>
      </c>
      <c r="AF148" s="233" t="s">
        <v>545</v>
      </c>
      <c r="AG148" s="211" t="s">
        <v>544</v>
      </c>
      <c r="AH148" s="208" t="s">
        <v>546</v>
      </c>
      <c r="AI148" s="211" t="s">
        <v>541</v>
      </c>
      <c r="AJ148" s="211" t="s">
        <v>571</v>
      </c>
      <c r="AK148" s="211" t="s">
        <v>572</v>
      </c>
      <c r="AL148" s="211" t="s">
        <v>573</v>
      </c>
      <c r="AM148" s="211" t="s">
        <v>584</v>
      </c>
      <c r="AN148" s="211"/>
      <c r="AO148" s="211"/>
    </row>
    <row r="149" spans="5:45" x14ac:dyDescent="0.2">
      <c r="E149" s="205" t="s">
        <v>425</v>
      </c>
      <c r="F149" s="245">
        <f>'Ore-&gt;PI'!U42</f>
        <v>109233.7126431732</v>
      </c>
      <c r="G149" s="245"/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245"/>
    </row>
    <row r="150" spans="5:45" ht="16" x14ac:dyDescent="0.2">
      <c r="E150" s="206" t="s">
        <v>427</v>
      </c>
      <c r="F150" s="245"/>
      <c r="G150" s="245">
        <f>'Ore-&gt;PI'!U126</f>
        <v>25394.240916408646</v>
      </c>
      <c r="H150" s="245"/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K150" s="245"/>
      <c r="AL150" s="245"/>
      <c r="AM150" s="245"/>
    </row>
    <row r="151" spans="5:45" x14ac:dyDescent="0.2">
      <c r="E151" s="207" t="s">
        <v>451</v>
      </c>
      <c r="F151" s="245"/>
      <c r="G151" s="245"/>
      <c r="H151" s="245">
        <f>'Ore-&gt;PI'!U206</f>
        <v>8746311.5419027284</v>
      </c>
      <c r="I151" s="245"/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5"/>
    </row>
    <row r="152" spans="5:45" x14ac:dyDescent="0.2">
      <c r="E152" s="205" t="s">
        <v>491</v>
      </c>
      <c r="F152" s="245"/>
      <c r="G152" s="245"/>
      <c r="H152" s="245"/>
      <c r="I152" s="251">
        <f>'Ore-&gt;PI'!U236+'Ore-&gt;PI'!U163+'Ore-&gt;PI'!U72+'Ore-&gt;PI'!BX242+'Ore-&gt;PI'!BX140+'Ore-&gt;PI'!EG140</f>
        <v>26082.499551973142</v>
      </c>
      <c r="J152" s="245"/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5"/>
      <c r="AM152" s="245"/>
    </row>
    <row r="153" spans="5:45" x14ac:dyDescent="0.2">
      <c r="E153" s="205" t="s">
        <v>484</v>
      </c>
      <c r="F153" s="245"/>
      <c r="G153" s="245"/>
      <c r="H153" s="245"/>
      <c r="I153" s="245"/>
      <c r="J153" s="245">
        <f>'Ore-&gt;PI'!EG114+'Ore-&gt;PI'!BX152+'Ore-&gt;PI'!BX254</f>
        <v>1081571592.2511754</v>
      </c>
      <c r="K153" s="245"/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5"/>
      <c r="AM153" s="245"/>
    </row>
    <row r="154" spans="5:45" x14ac:dyDescent="0.2">
      <c r="E154" s="205" t="s">
        <v>599</v>
      </c>
      <c r="F154" s="245"/>
      <c r="G154" s="245"/>
      <c r="H154" s="245"/>
      <c r="I154" s="245"/>
      <c r="J154" s="245"/>
      <c r="K154" s="245">
        <f>'Ore-&gt;PI'!U59+'Ore-&gt;PI'!U140+'Ore-&gt;PI'!U222</f>
        <v>108567.19890325596</v>
      </c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245"/>
      <c r="AS154" s="233"/>
    </row>
    <row r="155" spans="5:45" x14ac:dyDescent="0.2">
      <c r="E155" s="205" t="s">
        <v>598</v>
      </c>
      <c r="F155" s="245"/>
      <c r="G155" s="245"/>
      <c r="H155" s="245"/>
      <c r="I155" s="245"/>
      <c r="J155" s="245"/>
      <c r="K155" s="245"/>
      <c r="L155" s="245">
        <f>'Ore-&gt;PI'!U151</f>
        <v>24.513235855857225</v>
      </c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  <c r="AA155" s="245"/>
      <c r="AB155" s="245"/>
      <c r="AC155" s="245"/>
      <c r="AD155" s="245"/>
      <c r="AE155" s="245"/>
      <c r="AF155" s="245"/>
      <c r="AG155" s="245"/>
      <c r="AH155" s="245"/>
      <c r="AI155" s="245"/>
      <c r="AJ155" s="245"/>
      <c r="AK155" s="245"/>
      <c r="AL155" s="245"/>
      <c r="AM155" s="245"/>
    </row>
    <row r="156" spans="5:45" x14ac:dyDescent="0.2">
      <c r="E156" s="205" t="s">
        <v>532</v>
      </c>
      <c r="F156" s="245"/>
      <c r="G156" s="245"/>
      <c r="H156" s="245"/>
      <c r="I156" s="245"/>
      <c r="J156" s="245"/>
      <c r="K156" s="245"/>
      <c r="L156" s="245"/>
      <c r="M156" s="245">
        <f>'Ore-&gt;PI'!EG101</f>
        <v>203313.0005430537</v>
      </c>
      <c r="N156" s="245"/>
      <c r="O156" s="245"/>
      <c r="P156" s="245"/>
      <c r="Q156" s="245"/>
      <c r="R156" s="245"/>
      <c r="S156" s="245"/>
      <c r="T156" s="245"/>
      <c r="U156" s="245"/>
      <c r="V156" s="245"/>
      <c r="W156" s="245"/>
      <c r="X156" s="245"/>
      <c r="Y156" s="245"/>
      <c r="Z156" s="245"/>
      <c r="AA156" s="245"/>
      <c r="AB156" s="245"/>
      <c r="AC156" s="245"/>
      <c r="AD156" s="245"/>
      <c r="AE156" s="245"/>
      <c r="AF156" s="245"/>
      <c r="AG156" s="245"/>
      <c r="AH156" s="245"/>
      <c r="AI156" s="245"/>
      <c r="AJ156" s="245"/>
      <c r="AK156" s="245"/>
      <c r="AL156" s="245"/>
      <c r="AM156" s="245"/>
    </row>
    <row r="157" spans="5:45" x14ac:dyDescent="0.2">
      <c r="E157" s="205" t="s">
        <v>585</v>
      </c>
      <c r="F157" s="245"/>
      <c r="G157" s="245"/>
      <c r="H157" s="245"/>
      <c r="I157" s="245"/>
      <c r="J157" s="245"/>
      <c r="K157" s="245"/>
      <c r="L157" s="245"/>
      <c r="M157" s="245"/>
      <c r="N157" s="245">
        <f>'Ore-&gt;PI'!EO117+'Ore-&gt;PI'!BJ116+'Ore-&gt;PI'!AS113+'Ore-&gt;PI'!AB195+'Ore-&gt;PI'!AS190+'Ore-&gt;PI'!BJ195+'Ore-&gt;PI'!CW229+'Ore-&gt;PI'!BK35+'Ore-&gt;PI'!AS28</f>
        <v>1259529.3337336415</v>
      </c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5"/>
      <c r="AM157" s="245"/>
    </row>
    <row r="158" spans="5:45" x14ac:dyDescent="0.2">
      <c r="F158" s="359" t="s">
        <v>57</v>
      </c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359"/>
      <c r="AI158" s="359"/>
      <c r="AJ158" s="359"/>
      <c r="AK158" s="359"/>
      <c r="AL158" s="359"/>
      <c r="AM158" s="359"/>
      <c r="AN158" s="25"/>
      <c r="AO158" s="25"/>
    </row>
    <row r="159" spans="5:45" x14ac:dyDescent="0.2">
      <c r="F159" s="253">
        <f t="shared" ref="F159:AM159" si="41">SUM(F149:F157)</f>
        <v>109233.7126431732</v>
      </c>
      <c r="G159" s="253">
        <f t="shared" si="41"/>
        <v>25394.240916408646</v>
      </c>
      <c r="H159" s="253">
        <f t="shared" si="41"/>
        <v>8746311.5419027284</v>
      </c>
      <c r="I159" s="253">
        <f t="shared" si="41"/>
        <v>26082.499551973142</v>
      </c>
      <c r="J159" s="253">
        <f t="shared" si="41"/>
        <v>1081571592.2511754</v>
      </c>
      <c r="K159" s="253">
        <f t="shared" si="41"/>
        <v>108567.19890325596</v>
      </c>
      <c r="L159" s="253">
        <f t="shared" si="41"/>
        <v>24.513235855857225</v>
      </c>
      <c r="M159" s="253">
        <f t="shared" si="41"/>
        <v>203313.0005430537</v>
      </c>
      <c r="N159" s="253">
        <f t="shared" si="41"/>
        <v>1259529.3337336415</v>
      </c>
      <c r="O159" s="253">
        <f t="shared" si="41"/>
        <v>0</v>
      </c>
      <c r="P159" s="253">
        <f t="shared" si="41"/>
        <v>0</v>
      </c>
      <c r="Q159" s="253">
        <f t="shared" si="41"/>
        <v>0</v>
      </c>
      <c r="R159" s="253">
        <f t="shared" si="41"/>
        <v>0</v>
      </c>
      <c r="S159" s="253">
        <f t="shared" si="41"/>
        <v>0</v>
      </c>
      <c r="T159" s="253">
        <f t="shared" si="41"/>
        <v>0</v>
      </c>
      <c r="U159" s="253">
        <f t="shared" si="41"/>
        <v>0</v>
      </c>
      <c r="V159" s="253">
        <f t="shared" si="41"/>
        <v>0</v>
      </c>
      <c r="W159" s="253">
        <f t="shared" si="41"/>
        <v>0</v>
      </c>
      <c r="X159" s="253">
        <f t="shared" si="41"/>
        <v>0</v>
      </c>
      <c r="Y159" s="253">
        <f t="shared" si="41"/>
        <v>0</v>
      </c>
      <c r="Z159" s="253">
        <f t="shared" si="41"/>
        <v>0</v>
      </c>
      <c r="AA159" s="253">
        <f t="shared" si="41"/>
        <v>0</v>
      </c>
      <c r="AB159" s="253">
        <f t="shared" si="41"/>
        <v>0</v>
      </c>
      <c r="AC159" s="253">
        <f t="shared" si="41"/>
        <v>0</v>
      </c>
      <c r="AD159" s="253">
        <f t="shared" si="41"/>
        <v>0</v>
      </c>
      <c r="AE159" s="253">
        <f t="shared" si="41"/>
        <v>0</v>
      </c>
      <c r="AF159" s="253">
        <f t="shared" si="41"/>
        <v>0</v>
      </c>
      <c r="AG159" s="253">
        <f t="shared" si="41"/>
        <v>0</v>
      </c>
      <c r="AH159" s="253">
        <f t="shared" si="41"/>
        <v>0</v>
      </c>
      <c r="AI159" s="253">
        <f t="shared" si="41"/>
        <v>0</v>
      </c>
      <c r="AJ159" s="253">
        <f t="shared" si="41"/>
        <v>0</v>
      </c>
      <c r="AK159" s="253">
        <f t="shared" si="41"/>
        <v>0</v>
      </c>
      <c r="AL159" s="253">
        <f t="shared" si="41"/>
        <v>0</v>
      </c>
      <c r="AM159" s="253">
        <f t="shared" si="41"/>
        <v>0</v>
      </c>
    </row>
    <row r="160" spans="5:45" x14ac:dyDescent="0.2">
      <c r="F160" s="359" t="s">
        <v>475</v>
      </c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  <c r="AA160" s="359"/>
      <c r="AB160" s="359"/>
      <c r="AC160" s="359"/>
      <c r="AD160" s="359"/>
      <c r="AE160" s="359"/>
      <c r="AF160" s="359"/>
      <c r="AG160" s="359"/>
      <c r="AH160" s="359"/>
      <c r="AI160" s="359"/>
      <c r="AJ160" s="359"/>
      <c r="AK160" s="359"/>
      <c r="AL160" s="359"/>
      <c r="AM160" s="359"/>
      <c r="AN160" s="25"/>
      <c r="AO160" s="25"/>
    </row>
    <row r="164" spans="5:25" x14ac:dyDescent="0.2">
      <c r="F164" s="359" t="s">
        <v>588</v>
      </c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  <c r="R164" s="359"/>
      <c r="S164" s="359"/>
      <c r="T164" s="246"/>
      <c r="U164" s="246"/>
      <c r="V164" s="246"/>
      <c r="W164" s="246"/>
      <c r="X164" s="25"/>
      <c r="Y164" s="25"/>
    </row>
    <row r="167" spans="5:25" x14ac:dyDescent="0.2">
      <c r="E167" s="205" t="s">
        <v>426</v>
      </c>
      <c r="F167" s="253">
        <f>F159</f>
        <v>109233.7126431732</v>
      </c>
      <c r="H167" s="253" cm="1">
        <f t="array" ref="H167:H200">TRANSPOSE(F136:AM136)</f>
        <v>0</v>
      </c>
      <c r="J167" s="253">
        <f t="shared" ref="J167:J186" si="42">BG83</f>
        <v>109233.7126431732</v>
      </c>
      <c r="L167" s="253" cm="1">
        <f t="array" ref="L167:L200">BN83:BN116</f>
        <v>0</v>
      </c>
      <c r="N167" s="253">
        <f>F167+H167-J167-L167</f>
        <v>0</v>
      </c>
    </row>
    <row r="168" spans="5:25" x14ac:dyDescent="0.2">
      <c r="E168" s="205" t="s">
        <v>428</v>
      </c>
      <c r="F168" s="253">
        <f>G159</f>
        <v>25394.240916408646</v>
      </c>
      <c r="H168" s="253">
        <v>0</v>
      </c>
      <c r="J168" s="253">
        <f t="shared" si="42"/>
        <v>25394.240916408646</v>
      </c>
      <c r="L168" s="253">
        <v>0</v>
      </c>
      <c r="N168" s="253">
        <f>F168+H168-J168-L168</f>
        <v>0</v>
      </c>
    </row>
    <row r="169" spans="5:25" x14ac:dyDescent="0.2">
      <c r="E169" s="205" t="s">
        <v>429</v>
      </c>
      <c r="F169" s="253">
        <f>H159</f>
        <v>8746311.5419027284</v>
      </c>
      <c r="H169" s="253">
        <v>0</v>
      </c>
      <c r="J169" s="253">
        <f t="shared" si="42"/>
        <v>8746311.5419027284</v>
      </c>
      <c r="L169" s="253">
        <v>0</v>
      </c>
      <c r="N169" s="253">
        <f>F169+H169-J169-L169</f>
        <v>0</v>
      </c>
    </row>
    <row r="170" spans="5:25" x14ac:dyDescent="0.2">
      <c r="E170" s="205" t="s">
        <v>450</v>
      </c>
      <c r="F170" s="253">
        <f>I159</f>
        <v>26082.499551973142</v>
      </c>
      <c r="H170" s="253">
        <v>0</v>
      </c>
      <c r="J170" s="253">
        <f t="shared" si="42"/>
        <v>26082.499551973142</v>
      </c>
      <c r="L170" s="253">
        <v>0</v>
      </c>
      <c r="N170" s="253">
        <f>ROUND(F170+H170-J170-L170, 10)</f>
        <v>0</v>
      </c>
    </row>
    <row r="171" spans="5:25" x14ac:dyDescent="0.2">
      <c r="E171" s="205" t="s">
        <v>485</v>
      </c>
      <c r="F171" s="253">
        <f>J159</f>
        <v>1081571592.2511754</v>
      </c>
      <c r="H171" s="253">
        <v>0</v>
      </c>
      <c r="J171" s="253">
        <f t="shared" si="42"/>
        <v>1081571592.2511754</v>
      </c>
      <c r="L171" s="253">
        <v>0</v>
      </c>
      <c r="N171" s="253">
        <f t="shared" ref="N171:N186" si="43">F171+H171-J171-L171</f>
        <v>0</v>
      </c>
    </row>
    <row r="172" spans="5:25" x14ac:dyDescent="0.2">
      <c r="E172" s="205" t="s">
        <v>529</v>
      </c>
      <c r="F172" s="253">
        <f>K159</f>
        <v>108567.19890325596</v>
      </c>
      <c r="H172" s="253">
        <v>0</v>
      </c>
      <c r="J172" s="253">
        <f t="shared" si="42"/>
        <v>108567.19890325596</v>
      </c>
      <c r="L172" s="253">
        <v>0</v>
      </c>
      <c r="N172" s="253">
        <f t="shared" si="43"/>
        <v>0</v>
      </c>
    </row>
    <row r="173" spans="5:25" x14ac:dyDescent="0.2">
      <c r="E173" s="205" t="s">
        <v>530</v>
      </c>
      <c r="F173" s="253">
        <f>L159</f>
        <v>24.513235855857225</v>
      </c>
      <c r="H173" s="253">
        <v>0</v>
      </c>
      <c r="J173" s="253">
        <f t="shared" si="42"/>
        <v>24.513235855857225</v>
      </c>
      <c r="L173" s="253">
        <v>0</v>
      </c>
      <c r="N173" s="253">
        <f t="shared" si="43"/>
        <v>0</v>
      </c>
    </row>
    <row r="174" spans="5:25" x14ac:dyDescent="0.2">
      <c r="E174" s="205" t="s">
        <v>533</v>
      </c>
      <c r="F174" s="253">
        <f>M159</f>
        <v>203313.0005430537</v>
      </c>
      <c r="H174" s="253">
        <v>0</v>
      </c>
      <c r="J174" s="253">
        <f t="shared" si="42"/>
        <v>203313.0005430537</v>
      </c>
      <c r="L174" s="253">
        <v>0</v>
      </c>
      <c r="N174" s="253">
        <f t="shared" si="43"/>
        <v>0</v>
      </c>
    </row>
    <row r="175" spans="5:25" x14ac:dyDescent="0.2">
      <c r="E175" s="205" t="s">
        <v>586</v>
      </c>
      <c r="F175" s="253">
        <f>N159</f>
        <v>1259529.3337336415</v>
      </c>
      <c r="H175" s="253">
        <v>0</v>
      </c>
      <c r="J175" s="253">
        <f t="shared" si="42"/>
        <v>1259529.3337336415</v>
      </c>
      <c r="L175" s="253">
        <v>0</v>
      </c>
      <c r="N175" s="253">
        <f t="shared" si="43"/>
        <v>0</v>
      </c>
    </row>
    <row r="176" spans="5:25" ht="16" x14ac:dyDescent="0.2">
      <c r="E176" s="206" t="s">
        <v>568</v>
      </c>
      <c r="F176" s="253">
        <f>O159</f>
        <v>0</v>
      </c>
      <c r="H176" s="253">
        <v>109233.7126431732</v>
      </c>
      <c r="J176" s="253">
        <f t="shared" si="42"/>
        <v>109233.7126431732</v>
      </c>
      <c r="L176" s="253">
        <v>0</v>
      </c>
      <c r="N176" s="253">
        <f t="shared" si="43"/>
        <v>0</v>
      </c>
    </row>
    <row r="177" spans="5:21" x14ac:dyDescent="0.2">
      <c r="E177" s="205" t="s">
        <v>531</v>
      </c>
      <c r="F177" s="253">
        <f>P159</f>
        <v>0</v>
      </c>
      <c r="H177" s="253">
        <v>2396.1586162428257</v>
      </c>
      <c r="J177" s="253">
        <f t="shared" si="42"/>
        <v>0</v>
      </c>
      <c r="L177" s="253">
        <v>2396.1586162428257</v>
      </c>
      <c r="N177" s="253">
        <f t="shared" si="43"/>
        <v>0</v>
      </c>
    </row>
    <row r="178" spans="5:21" ht="16" x14ac:dyDescent="0.2">
      <c r="E178" s="206" t="s">
        <v>534</v>
      </c>
      <c r="F178" s="253">
        <f>Q159</f>
        <v>0</v>
      </c>
      <c r="H178" s="253">
        <v>25394.240916408646</v>
      </c>
      <c r="J178" s="253">
        <f t="shared" si="42"/>
        <v>25394.240916408646</v>
      </c>
      <c r="L178" s="253">
        <v>0</v>
      </c>
      <c r="N178" s="253">
        <f t="shared" si="43"/>
        <v>0</v>
      </c>
    </row>
    <row r="179" spans="5:21" x14ac:dyDescent="0.2">
      <c r="E179" s="205" t="s">
        <v>563</v>
      </c>
      <c r="F179" s="253">
        <f>R159</f>
        <v>0</v>
      </c>
      <c r="H179" s="253">
        <v>7.1782646247188149</v>
      </c>
      <c r="J179" s="253">
        <f t="shared" si="42"/>
        <v>0</v>
      </c>
      <c r="L179" s="253">
        <v>7.1782646247188149</v>
      </c>
      <c r="N179" s="253">
        <f t="shared" si="43"/>
        <v>0</v>
      </c>
    </row>
    <row r="180" spans="5:21" x14ac:dyDescent="0.2">
      <c r="E180" s="207" t="s">
        <v>555</v>
      </c>
      <c r="F180" s="253">
        <f>S159</f>
        <v>0</v>
      </c>
      <c r="G180" s="260" t="s">
        <v>479</v>
      </c>
      <c r="H180" s="253">
        <v>8746311.5419027284</v>
      </c>
      <c r="I180" s="172" t="s">
        <v>481</v>
      </c>
      <c r="J180" s="253">
        <f t="shared" si="42"/>
        <v>8746311.5419027284</v>
      </c>
      <c r="K180" s="172" t="s">
        <v>481</v>
      </c>
      <c r="L180" s="253">
        <v>0</v>
      </c>
      <c r="M180" s="260" t="s">
        <v>482</v>
      </c>
      <c r="N180" s="253">
        <f t="shared" si="43"/>
        <v>0</v>
      </c>
    </row>
    <row r="181" spans="5:21" x14ac:dyDescent="0.2">
      <c r="E181" s="205" t="s">
        <v>538</v>
      </c>
      <c r="F181" s="253">
        <f>T159</f>
        <v>0</v>
      </c>
      <c r="H181" s="253">
        <v>569.94401045704944</v>
      </c>
      <c r="J181" s="253">
        <f t="shared" si="42"/>
        <v>0</v>
      </c>
      <c r="L181" s="253">
        <v>569.94401045704944</v>
      </c>
      <c r="N181" s="253">
        <f t="shared" si="43"/>
        <v>0</v>
      </c>
    </row>
    <row r="182" spans="5:21" ht="16" x14ac:dyDescent="0.2">
      <c r="E182" s="206" t="s">
        <v>567</v>
      </c>
      <c r="F182" s="253">
        <f>U159</f>
        <v>0</v>
      </c>
      <c r="H182" s="253">
        <v>109233.7126431732</v>
      </c>
      <c r="J182" s="253">
        <f t="shared" si="42"/>
        <v>109233.7126431732</v>
      </c>
      <c r="L182" s="253">
        <v>0</v>
      </c>
      <c r="N182" s="253">
        <f t="shared" si="43"/>
        <v>0</v>
      </c>
    </row>
    <row r="183" spans="5:21" ht="16" x14ac:dyDescent="0.2">
      <c r="E183" s="206" t="s">
        <v>562</v>
      </c>
      <c r="F183" s="253">
        <f>V159</f>
        <v>0</v>
      </c>
      <c r="H183" s="253">
        <v>25394.240916408646</v>
      </c>
      <c r="J183" s="253">
        <f t="shared" si="42"/>
        <v>25394.240916408646</v>
      </c>
      <c r="L183" s="253">
        <v>0</v>
      </c>
      <c r="N183" s="253">
        <f t="shared" si="43"/>
        <v>0</v>
      </c>
    </row>
    <row r="184" spans="5:21" ht="16" x14ac:dyDescent="0.2">
      <c r="E184" s="206" t="s">
        <v>559</v>
      </c>
      <c r="F184" s="253">
        <f>W159</f>
        <v>0</v>
      </c>
      <c r="H184" s="253">
        <v>8746311.5419027284</v>
      </c>
      <c r="J184" s="253">
        <f t="shared" si="42"/>
        <v>8746311.5419027284</v>
      </c>
      <c r="L184" s="253">
        <v>0</v>
      </c>
      <c r="N184" s="253">
        <f t="shared" si="43"/>
        <v>0</v>
      </c>
    </row>
    <row r="185" spans="5:21" ht="16" x14ac:dyDescent="0.2">
      <c r="E185" s="206" t="s">
        <v>565</v>
      </c>
      <c r="F185" s="253">
        <f>X159</f>
        <v>0</v>
      </c>
      <c r="H185" s="253">
        <v>88965.799815334409</v>
      </c>
      <c r="J185" s="253">
        <f t="shared" si="42"/>
        <v>88965.799815334409</v>
      </c>
      <c r="L185" s="253">
        <v>0</v>
      </c>
      <c r="N185" s="253">
        <f t="shared" si="43"/>
        <v>0</v>
      </c>
    </row>
    <row r="186" spans="5:21" x14ac:dyDescent="0.2">
      <c r="E186" s="207" t="s">
        <v>564</v>
      </c>
      <c r="F186" s="253">
        <f>Y159</f>
        <v>0</v>
      </c>
      <c r="H186" s="253">
        <v>21743.416787545681</v>
      </c>
      <c r="J186" s="253">
        <f t="shared" si="42"/>
        <v>0</v>
      </c>
      <c r="L186" s="253">
        <v>21743.416787545681</v>
      </c>
      <c r="N186" s="253">
        <f t="shared" si="43"/>
        <v>0</v>
      </c>
    </row>
    <row r="187" spans="5:21" x14ac:dyDescent="0.2">
      <c r="E187" s="207" t="s">
        <v>547</v>
      </c>
      <c r="F187" s="253">
        <f>Z159</f>
        <v>0</v>
      </c>
      <c r="H187" s="253">
        <v>25394.240916408646</v>
      </c>
      <c r="J187" s="253">
        <f t="shared" ref="J187:J200" si="44">BG103</f>
        <v>25394.240916408646</v>
      </c>
      <c r="L187" s="253">
        <v>0</v>
      </c>
      <c r="N187" s="253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7" t="s">
        <v>583</v>
      </c>
      <c r="F188" s="253">
        <f>AA159</f>
        <v>0</v>
      </c>
      <c r="H188" s="253">
        <v>8746311.5419027284</v>
      </c>
      <c r="J188" s="253">
        <f t="shared" si="44"/>
        <v>8746311.5419027284</v>
      </c>
      <c r="L188" s="253">
        <v>0</v>
      </c>
      <c r="N188" s="253">
        <f t="shared" si="45"/>
        <v>0</v>
      </c>
      <c r="Q188" s="25"/>
      <c r="S188" s="25"/>
      <c r="T188" s="25"/>
      <c r="U188" s="25"/>
    </row>
    <row r="189" spans="5:21" x14ac:dyDescent="0.2">
      <c r="E189" s="207" t="s">
        <v>548</v>
      </c>
      <c r="F189" s="253">
        <f>AB159</f>
        <v>0</v>
      </c>
      <c r="H189" s="253">
        <v>242016.07607977447</v>
      </c>
      <c r="J189" s="253">
        <f t="shared" si="44"/>
        <v>242016.07607977447</v>
      </c>
      <c r="L189" s="253">
        <v>0</v>
      </c>
      <c r="N189" s="253">
        <f t="shared" si="45"/>
        <v>0</v>
      </c>
      <c r="Q189" s="25"/>
      <c r="S189" s="25"/>
      <c r="T189" s="25"/>
      <c r="U189" s="25"/>
    </row>
    <row r="190" spans="5:21" x14ac:dyDescent="0.2">
      <c r="E190" s="207" t="s">
        <v>550</v>
      </c>
      <c r="F190" s="253">
        <f>AC159</f>
        <v>0</v>
      </c>
      <c r="H190" s="253">
        <v>7739.2511800711582</v>
      </c>
      <c r="J190" s="253">
        <f t="shared" si="44"/>
        <v>0</v>
      </c>
      <c r="L190" s="253">
        <v>7739.2511800711582</v>
      </c>
      <c r="N190" s="253">
        <f t="shared" si="45"/>
        <v>0</v>
      </c>
      <c r="Q190" s="25"/>
      <c r="S190" s="25"/>
      <c r="T190" s="25"/>
      <c r="U190" s="25"/>
    </row>
    <row r="191" spans="5:21" x14ac:dyDescent="0.2">
      <c r="E191" s="207" t="s">
        <v>549</v>
      </c>
      <c r="F191" s="253">
        <f>AD159</f>
        <v>0</v>
      </c>
      <c r="H191" s="253">
        <v>1065721621.9898958</v>
      </c>
      <c r="J191" s="253">
        <f t="shared" si="44"/>
        <v>0</v>
      </c>
      <c r="L191" s="253">
        <v>1065721621.9898958</v>
      </c>
      <c r="N191" s="253">
        <f t="shared" si="45"/>
        <v>0</v>
      </c>
      <c r="Q191" s="25"/>
      <c r="S191" s="25"/>
      <c r="T191" s="25"/>
      <c r="U191" s="25"/>
    </row>
    <row r="192" spans="5:21" x14ac:dyDescent="0.2">
      <c r="E192" s="207" t="s">
        <v>543</v>
      </c>
      <c r="F192" s="253">
        <f>AE159</f>
        <v>0</v>
      </c>
      <c r="H192" s="253">
        <v>6791339.3350291392</v>
      </c>
      <c r="J192" s="253">
        <f t="shared" si="44"/>
        <v>6791339.3350291392</v>
      </c>
      <c r="L192" s="253">
        <v>0</v>
      </c>
      <c r="N192" s="253">
        <f t="shared" si="45"/>
        <v>0</v>
      </c>
    </row>
    <row r="193" spans="5:22" ht="16" x14ac:dyDescent="0.2">
      <c r="E193" s="254" t="s">
        <v>545</v>
      </c>
      <c r="F193" s="253">
        <f>AF159</f>
        <v>0</v>
      </c>
      <c r="H193" s="253">
        <v>5935408.0537775028</v>
      </c>
      <c r="J193" s="253">
        <f t="shared" si="44"/>
        <v>5935408.0537775028</v>
      </c>
      <c r="L193" s="253">
        <v>0</v>
      </c>
      <c r="N193" s="253">
        <f t="shared" si="45"/>
        <v>0</v>
      </c>
    </row>
    <row r="194" spans="5:22" x14ac:dyDescent="0.2">
      <c r="E194" s="207" t="s">
        <v>544</v>
      </c>
      <c r="F194" s="253">
        <f>AG159</f>
        <v>0</v>
      </c>
      <c r="H194" s="253">
        <v>5366.0434241372932</v>
      </c>
      <c r="J194" s="253">
        <f t="shared" si="44"/>
        <v>0</v>
      </c>
      <c r="L194" s="253">
        <v>5366.0434241372932</v>
      </c>
      <c r="N194" s="253">
        <f t="shared" ref="N194:N200" si="46">F194+H194-J194-L194</f>
        <v>0</v>
      </c>
      <c r="O194" s="25"/>
    </row>
    <row r="195" spans="5:22" x14ac:dyDescent="0.2">
      <c r="E195" s="205" t="s">
        <v>546</v>
      </c>
      <c r="F195" s="253">
        <f>AH159</f>
        <v>0</v>
      </c>
      <c r="H195" s="253">
        <v>50611.612737094918</v>
      </c>
      <c r="J195" s="253">
        <f t="shared" si="44"/>
        <v>0</v>
      </c>
      <c r="L195" s="253">
        <v>50611.612737094918</v>
      </c>
      <c r="N195" s="253">
        <f t="shared" si="46"/>
        <v>0</v>
      </c>
    </row>
    <row r="196" spans="5:22" x14ac:dyDescent="0.2">
      <c r="E196" s="207" t="s">
        <v>541</v>
      </c>
      <c r="F196" s="253">
        <f>AI159</f>
        <v>0</v>
      </c>
      <c r="H196" s="253">
        <v>5944558.1059355522</v>
      </c>
      <c r="J196" s="253">
        <f t="shared" si="44"/>
        <v>5052874.3900452191</v>
      </c>
      <c r="L196" s="253">
        <v>891683.71589033271</v>
      </c>
      <c r="N196" s="253">
        <f t="shared" si="46"/>
        <v>0</v>
      </c>
    </row>
    <row r="197" spans="5:22" x14ac:dyDescent="0.2">
      <c r="E197" s="207" t="s">
        <v>571</v>
      </c>
      <c r="F197" s="253">
        <f>AJ159</f>
        <v>0</v>
      </c>
      <c r="H197" s="253">
        <v>7072531.8830895294</v>
      </c>
      <c r="J197" s="253">
        <f t="shared" si="44"/>
        <v>7072531.8830895294</v>
      </c>
      <c r="L197" s="253">
        <v>0</v>
      </c>
      <c r="N197" s="253">
        <f t="shared" si="46"/>
        <v>0</v>
      </c>
      <c r="S197" s="246"/>
      <c r="T197" s="246"/>
      <c r="U197" s="246"/>
      <c r="V197" s="246"/>
    </row>
    <row r="198" spans="5:22" x14ac:dyDescent="0.2">
      <c r="E198" s="207" t="s">
        <v>572</v>
      </c>
      <c r="F198" s="253">
        <f>AK159</f>
        <v>0</v>
      </c>
      <c r="H198" s="253">
        <v>4157895.2984628798</v>
      </c>
      <c r="J198" s="253">
        <f t="shared" si="44"/>
        <v>0</v>
      </c>
      <c r="L198" s="253">
        <v>4157895.2984628798</v>
      </c>
      <c r="N198" s="253">
        <f t="shared" si="46"/>
        <v>0</v>
      </c>
    </row>
    <row r="199" spans="5:22" x14ac:dyDescent="0.2">
      <c r="E199" s="207" t="s">
        <v>573</v>
      </c>
      <c r="F199" s="253">
        <f>AL159</f>
        <v>0</v>
      </c>
      <c r="H199" s="253">
        <v>432711.9695416363</v>
      </c>
      <c r="J199" s="253">
        <f t="shared" si="44"/>
        <v>0</v>
      </c>
      <c r="L199" s="253">
        <v>432711.9695416363</v>
      </c>
      <c r="N199" s="253">
        <f t="shared" si="46"/>
        <v>0</v>
      </c>
    </row>
    <row r="200" spans="5:22" x14ac:dyDescent="0.2">
      <c r="E200" s="207" t="s">
        <v>584</v>
      </c>
      <c r="F200" s="253">
        <f>AM159</f>
        <v>0</v>
      </c>
      <c r="H200" s="253">
        <v>67875.356217847453</v>
      </c>
      <c r="J200" s="253">
        <f t="shared" si="44"/>
        <v>0</v>
      </c>
      <c r="L200" s="253">
        <v>67875.356217847453</v>
      </c>
      <c r="N200" s="253">
        <f t="shared" si="46"/>
        <v>0</v>
      </c>
    </row>
    <row r="201" spans="5:22" ht="17" x14ac:dyDescent="0.2">
      <c r="E201" s="207"/>
      <c r="F201" s="3" t="s">
        <v>478</v>
      </c>
      <c r="H201" s="3" t="s">
        <v>480</v>
      </c>
      <c r="J201" s="25" t="s">
        <v>477</v>
      </c>
      <c r="L201" s="25" t="s">
        <v>39</v>
      </c>
      <c r="N201" s="25">
        <v>0</v>
      </c>
    </row>
    <row r="202" spans="5:22" x14ac:dyDescent="0.2">
      <c r="E202" s="207"/>
      <c r="J202" s="25"/>
      <c r="L202" s="25"/>
    </row>
    <row r="203" spans="5:22" x14ac:dyDescent="0.2">
      <c r="E203" s="207"/>
    </row>
    <row r="204" spans="5:22" x14ac:dyDescent="0.2">
      <c r="F204" s="359" t="s">
        <v>483</v>
      </c>
      <c r="G204" s="359"/>
      <c r="H204" s="359"/>
      <c r="I204" s="359"/>
      <c r="J204" s="359"/>
      <c r="O204" s="246"/>
      <c r="P204" s="246"/>
    </row>
    <row r="207" spans="5:22" x14ac:dyDescent="0.2">
      <c r="E207" s="205" t="s">
        <v>418</v>
      </c>
      <c r="F207" s="253">
        <f>AS118</f>
        <v>196979.54401115695</v>
      </c>
      <c r="H207" s="253">
        <f>AN121</f>
        <v>111629.87125941603</v>
      </c>
      <c r="J207" s="253">
        <f>F207-H207</f>
        <v>85349.672751740916</v>
      </c>
    </row>
    <row r="208" spans="5:22" x14ac:dyDescent="0.2">
      <c r="E208" s="205" t="s">
        <v>419</v>
      </c>
      <c r="F208" s="253">
        <f>AT118</f>
        <v>25659.269681201535</v>
      </c>
      <c r="H208" s="253">
        <f t="shared" ref="H208:H220" si="47">AN122</f>
        <v>25401.419181033365</v>
      </c>
      <c r="J208" s="253">
        <f t="shared" ref="J208:J220" si="48">F208-H208</f>
        <v>257.85050016816967</v>
      </c>
      <c r="Q208" s="246"/>
      <c r="R208" s="246"/>
    </row>
    <row r="209" spans="5:14" x14ac:dyDescent="0.2">
      <c r="E209" s="205" t="s">
        <v>420</v>
      </c>
      <c r="F209" s="253">
        <f>AU118</f>
        <v>8844576.4466051329</v>
      </c>
      <c r="H209" s="253">
        <f t="shared" si="47"/>
        <v>8746881.4859131854</v>
      </c>
      <c r="J209" s="253">
        <f t="shared" si="48"/>
        <v>97694.96069194749</v>
      </c>
    </row>
    <row r="210" spans="5:14" x14ac:dyDescent="0.2">
      <c r="E210" s="205" t="s">
        <v>582</v>
      </c>
      <c r="F210" s="253">
        <f>AV118</f>
        <v>719025.96440252138</v>
      </c>
      <c r="G210" s="255"/>
      <c r="H210" s="253">
        <f t="shared" si="47"/>
        <v>109233.7126431732</v>
      </c>
      <c r="I210" s="255"/>
      <c r="J210" s="253">
        <f t="shared" si="48"/>
        <v>609792.2517593482</v>
      </c>
    </row>
    <row r="211" spans="5:14" x14ac:dyDescent="0.2">
      <c r="E211" s="205" t="s">
        <v>561</v>
      </c>
      <c r="F211" s="253">
        <f>AW118</f>
        <v>28219.126564153565</v>
      </c>
      <c r="H211" s="253">
        <f t="shared" si="47"/>
        <v>25394.240916408646</v>
      </c>
      <c r="J211" s="253">
        <f t="shared" si="48"/>
        <v>2824.885647744919</v>
      </c>
      <c r="K211" s="246"/>
      <c r="L211" s="246"/>
      <c r="M211" s="246"/>
      <c r="N211" s="246"/>
    </row>
    <row r="212" spans="5:14" x14ac:dyDescent="0.2">
      <c r="E212" s="205" t="s">
        <v>560</v>
      </c>
      <c r="F212" s="253">
        <f>AX118</f>
        <v>8906564.9751386438</v>
      </c>
      <c r="H212" s="253">
        <f t="shared" si="47"/>
        <v>8746311.5419027284</v>
      </c>
      <c r="J212" s="253">
        <f t="shared" si="48"/>
        <v>160253.43323591538</v>
      </c>
    </row>
    <row r="213" spans="5:14" x14ac:dyDescent="0.2">
      <c r="E213" s="205" t="s">
        <v>446</v>
      </c>
      <c r="F213" s="253">
        <f>AY118</f>
        <v>121859.81146951189</v>
      </c>
      <c r="H213" s="253">
        <f t="shared" si="47"/>
        <v>110709.21660288009</v>
      </c>
      <c r="J213" s="253">
        <f t="shared" si="48"/>
        <v>11150.5948666318</v>
      </c>
    </row>
    <row r="214" spans="5:14" x14ac:dyDescent="0.2">
      <c r="E214" s="205" t="s">
        <v>443</v>
      </c>
      <c r="F214" s="253">
        <f>AZ118</f>
        <v>25428.919011572762</v>
      </c>
      <c r="G214" s="172" t="s">
        <v>486</v>
      </c>
      <c r="H214" s="253">
        <f t="shared" si="47"/>
        <v>25394.240916408646</v>
      </c>
      <c r="I214" s="172" t="s">
        <v>482</v>
      </c>
      <c r="J214" s="253">
        <f t="shared" si="48"/>
        <v>34.678095164115803</v>
      </c>
    </row>
    <row r="215" spans="5:14" x14ac:dyDescent="0.2">
      <c r="E215" s="205" t="s">
        <v>465</v>
      </c>
      <c r="F215" s="253">
        <f>BA118</f>
        <v>8774915.6996685099</v>
      </c>
      <c r="H215" s="253">
        <f t="shared" si="47"/>
        <v>8746311.5419027284</v>
      </c>
      <c r="J215" s="253">
        <f t="shared" si="48"/>
        <v>28604.157765781507</v>
      </c>
    </row>
    <row r="216" spans="5:14" x14ac:dyDescent="0.2">
      <c r="E216" s="205" t="s">
        <v>444</v>
      </c>
      <c r="F216" s="253">
        <f>BB118</f>
        <v>1078398155.5102727</v>
      </c>
      <c r="H216" s="253">
        <f t="shared" si="47"/>
        <v>1065971377.3171557</v>
      </c>
      <c r="J216" s="253">
        <f t="shared" si="48"/>
        <v>12426778.193117023</v>
      </c>
    </row>
    <row r="217" spans="5:14" x14ac:dyDescent="0.2">
      <c r="E217" s="205" t="s">
        <v>439</v>
      </c>
      <c r="F217" s="253">
        <f>BC118</f>
        <v>10517543.964973493</v>
      </c>
      <c r="H217" s="253">
        <f t="shared" si="47"/>
        <v>12782725.044967873</v>
      </c>
      <c r="J217" s="253">
        <f t="shared" si="48"/>
        <v>-2265181.0799943805</v>
      </c>
    </row>
    <row r="218" spans="5:14" x14ac:dyDescent="0.2">
      <c r="E218" s="205" t="s">
        <v>461</v>
      </c>
      <c r="F218" s="253">
        <f>BD118</f>
        <v>5985507.580323359</v>
      </c>
      <c r="H218" s="253">
        <f t="shared" si="47"/>
        <v>5944558.1059355522</v>
      </c>
      <c r="J218" s="253">
        <f t="shared" si="48"/>
        <v>40949.47438780684</v>
      </c>
    </row>
    <row r="219" spans="5:14" x14ac:dyDescent="0.2">
      <c r="E219" s="205" t="s">
        <v>81</v>
      </c>
      <c r="F219" s="253">
        <f>BE118</f>
        <v>7122321.2109242482</v>
      </c>
      <c r="H219" s="253">
        <f t="shared" si="47"/>
        <v>7072531.8830895294</v>
      </c>
      <c r="J219" s="253">
        <f t="shared" si="48"/>
        <v>49789.327834718861</v>
      </c>
    </row>
    <row r="220" spans="5:14" x14ac:dyDescent="0.2">
      <c r="E220" s="205" t="s">
        <v>430</v>
      </c>
      <c r="F220" s="253">
        <f>BF118</f>
        <v>14100010.581139561</v>
      </c>
      <c r="G220" s="172"/>
      <c r="H220" s="253">
        <f t="shared" si="47"/>
        <v>4658482.6242223633</v>
      </c>
      <c r="J220" s="253">
        <f t="shared" si="48"/>
        <v>9441527.9569171965</v>
      </c>
    </row>
    <row r="221" spans="5:14" x14ac:dyDescent="0.2">
      <c r="E221" s="207"/>
      <c r="F221" s="172" t="s">
        <v>476</v>
      </c>
      <c r="G221" s="172"/>
      <c r="H221" s="172" t="s">
        <v>473</v>
      </c>
      <c r="I221" s="172"/>
      <c r="J221" s="172" t="s">
        <v>487</v>
      </c>
    </row>
    <row r="222" spans="5:14" x14ac:dyDescent="0.2">
      <c r="E222" s="207"/>
    </row>
    <row r="223" spans="5:14" x14ac:dyDescent="0.2">
      <c r="E223" s="207"/>
    </row>
    <row r="228" spans="11:14" x14ac:dyDescent="0.2">
      <c r="K228" s="172"/>
      <c r="L228" s="172"/>
      <c r="M228" s="172"/>
      <c r="N228" s="172"/>
    </row>
  </sheetData>
  <mergeCells count="13">
    <mergeCell ref="AS36:BF36"/>
    <mergeCell ref="BL36:BY36"/>
    <mergeCell ref="AS74:BF74"/>
    <mergeCell ref="BL117:BM117"/>
    <mergeCell ref="F119:G119"/>
    <mergeCell ref="AS119:BF119"/>
    <mergeCell ref="F135:AM135"/>
    <mergeCell ref="F137:AM137"/>
    <mergeCell ref="F158:AM158"/>
    <mergeCell ref="F160:AM160"/>
    <mergeCell ref="F164:S164"/>
    <mergeCell ref="F204:J204"/>
    <mergeCell ref="AS117:BF11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abSelected="1" topLeftCell="O39" workbookViewId="0">
      <selection activeCell="AE71" sqref="AE7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8" t="s">
        <v>609</v>
      </c>
      <c r="AO1" s="261"/>
      <c r="AP1" s="208" t="s">
        <v>418</v>
      </c>
      <c r="AQ1" s="208" t="s">
        <v>419</v>
      </c>
      <c r="AR1" s="208" t="s">
        <v>420</v>
      </c>
      <c r="AS1" s="208" t="s">
        <v>582</v>
      </c>
      <c r="AT1" s="208" t="s">
        <v>561</v>
      </c>
      <c r="AU1" s="208" t="s">
        <v>560</v>
      </c>
      <c r="AV1" s="208" t="s">
        <v>446</v>
      </c>
      <c r="AW1" s="208" t="s">
        <v>443</v>
      </c>
      <c r="AX1" s="208" t="s">
        <v>465</v>
      </c>
      <c r="AY1" s="208" t="s">
        <v>444</v>
      </c>
      <c r="AZ1" s="208" t="s">
        <v>439</v>
      </c>
      <c r="BA1" s="208" t="s">
        <v>461</v>
      </c>
      <c r="BB1" s="208" t="s">
        <v>81</v>
      </c>
      <c r="BC1" s="208" t="s">
        <v>430</v>
      </c>
      <c r="BH1" s="261"/>
      <c r="BI1" s="208" t="s">
        <v>418</v>
      </c>
      <c r="BJ1" s="208" t="s">
        <v>419</v>
      </c>
      <c r="BK1" s="208" t="s">
        <v>420</v>
      </c>
      <c r="BL1" s="208" t="s">
        <v>582</v>
      </c>
      <c r="BM1" s="208" t="s">
        <v>561</v>
      </c>
      <c r="BN1" s="208" t="s">
        <v>560</v>
      </c>
      <c r="BO1" s="208" t="s">
        <v>446</v>
      </c>
      <c r="BP1" s="208" t="s">
        <v>443</v>
      </c>
      <c r="BQ1" s="208" t="s">
        <v>465</v>
      </c>
      <c r="BR1" s="208" t="s">
        <v>444</v>
      </c>
      <c r="BS1" s="208" t="s">
        <v>439</v>
      </c>
      <c r="BT1" s="208" t="s">
        <v>461</v>
      </c>
      <c r="BU1" s="208" t="s">
        <v>81</v>
      </c>
      <c r="BV1" s="208" t="s">
        <v>430</v>
      </c>
    </row>
    <row r="2" spans="2:74" x14ac:dyDescent="0.2">
      <c r="B2" s="205" t="s">
        <v>426</v>
      </c>
      <c r="C2" s="396">
        <v>1</v>
      </c>
      <c r="AO2" s="205" t="s">
        <v>426</v>
      </c>
      <c r="AP2" s="396">
        <v>0</v>
      </c>
      <c r="AQ2" s="396">
        <v>0</v>
      </c>
      <c r="AR2" s="396">
        <v>0</v>
      </c>
      <c r="AS2" s="396">
        <v>0</v>
      </c>
      <c r="AT2" s="396">
        <v>0</v>
      </c>
      <c r="AU2" s="396">
        <v>0</v>
      </c>
      <c r="AV2" s="396">
        <v>0</v>
      </c>
      <c r="AW2" s="396">
        <v>0</v>
      </c>
      <c r="AX2" s="396">
        <v>0</v>
      </c>
      <c r="AY2" s="396">
        <v>0</v>
      </c>
      <c r="AZ2" s="396">
        <v>0</v>
      </c>
      <c r="BA2" s="396">
        <v>0</v>
      </c>
      <c r="BB2" s="396">
        <v>0</v>
      </c>
      <c r="BC2" s="396">
        <v>0</v>
      </c>
      <c r="BH2" s="205" t="s">
        <v>426</v>
      </c>
      <c r="BI2" s="396">
        <v>0</v>
      </c>
      <c r="BJ2" s="396">
        <v>0</v>
      </c>
      <c r="BK2" s="396">
        <v>0</v>
      </c>
      <c r="BL2" s="396">
        <v>0</v>
      </c>
      <c r="BM2" s="396">
        <v>0</v>
      </c>
      <c r="BN2" s="396">
        <v>0</v>
      </c>
      <c r="BO2" s="396">
        <v>0</v>
      </c>
      <c r="BP2" s="396">
        <v>0</v>
      </c>
      <c r="BQ2" s="396">
        <v>0</v>
      </c>
      <c r="BR2" s="396">
        <v>0</v>
      </c>
      <c r="BS2" s="396">
        <v>0</v>
      </c>
      <c r="BT2" s="396">
        <v>0</v>
      </c>
      <c r="BU2" s="396">
        <v>0</v>
      </c>
      <c r="BV2" s="396">
        <v>0</v>
      </c>
    </row>
    <row r="3" spans="2:74" x14ac:dyDescent="0.2">
      <c r="B3" s="205" t="s">
        <v>428</v>
      </c>
      <c r="C3" s="396">
        <v>1</v>
      </c>
      <c r="AO3" s="205" t="s">
        <v>428</v>
      </c>
      <c r="AP3" s="396">
        <v>0</v>
      </c>
      <c r="AQ3" s="396">
        <v>0</v>
      </c>
      <c r="AR3" s="396">
        <v>0</v>
      </c>
      <c r="AS3" s="396">
        <v>0</v>
      </c>
      <c r="AT3" s="396">
        <v>0</v>
      </c>
      <c r="AU3" s="396">
        <v>0</v>
      </c>
      <c r="AV3" s="396">
        <v>0</v>
      </c>
      <c r="AW3" s="396">
        <v>0</v>
      </c>
      <c r="AX3" s="396">
        <v>0</v>
      </c>
      <c r="AY3" s="396">
        <v>0</v>
      </c>
      <c r="AZ3" s="396">
        <v>0</v>
      </c>
      <c r="BA3" s="396">
        <v>0</v>
      </c>
      <c r="BB3" s="396">
        <v>0</v>
      </c>
      <c r="BC3" s="396">
        <v>0</v>
      </c>
      <c r="BH3" s="205" t="s">
        <v>428</v>
      </c>
      <c r="BI3" s="396">
        <v>0</v>
      </c>
      <c r="BJ3" s="396">
        <v>0</v>
      </c>
      <c r="BK3" s="396">
        <v>0</v>
      </c>
      <c r="BL3" s="396">
        <v>0</v>
      </c>
      <c r="BM3" s="396">
        <v>0</v>
      </c>
      <c r="BN3" s="396">
        <v>0</v>
      </c>
      <c r="BO3" s="396">
        <v>0</v>
      </c>
      <c r="BP3" s="396">
        <v>0</v>
      </c>
      <c r="BQ3" s="396">
        <v>0</v>
      </c>
      <c r="BR3" s="396">
        <v>0</v>
      </c>
      <c r="BS3" s="396">
        <v>0</v>
      </c>
      <c r="BT3" s="396">
        <v>0</v>
      </c>
      <c r="BU3" s="396">
        <v>0</v>
      </c>
      <c r="BV3" s="396">
        <v>0</v>
      </c>
    </row>
    <row r="4" spans="2:74" x14ac:dyDescent="0.2">
      <c r="B4" s="205" t="s">
        <v>429</v>
      </c>
      <c r="C4" s="396">
        <v>1</v>
      </c>
      <c r="AO4" s="205" t="s">
        <v>429</v>
      </c>
      <c r="AP4" s="396">
        <v>0</v>
      </c>
      <c r="AQ4" s="396">
        <v>0</v>
      </c>
      <c r="AR4" s="396">
        <v>0</v>
      </c>
      <c r="AS4" s="396">
        <v>0</v>
      </c>
      <c r="AT4" s="396">
        <v>0</v>
      </c>
      <c r="AU4" s="396">
        <v>0</v>
      </c>
      <c r="AV4" s="396">
        <v>0</v>
      </c>
      <c r="AW4" s="396">
        <v>0</v>
      </c>
      <c r="AX4" s="396">
        <v>0</v>
      </c>
      <c r="AY4" s="396">
        <v>0</v>
      </c>
      <c r="AZ4" s="396">
        <v>0</v>
      </c>
      <c r="BA4" s="396">
        <v>0</v>
      </c>
      <c r="BB4" s="396">
        <v>0</v>
      </c>
      <c r="BC4" s="396">
        <v>0</v>
      </c>
      <c r="BH4" s="205" t="s">
        <v>429</v>
      </c>
      <c r="BI4" s="396">
        <v>0</v>
      </c>
      <c r="BJ4" s="396">
        <v>0</v>
      </c>
      <c r="BK4" s="396">
        <v>0</v>
      </c>
      <c r="BL4" s="396">
        <v>0</v>
      </c>
      <c r="BM4" s="396">
        <v>0</v>
      </c>
      <c r="BN4" s="396">
        <v>0</v>
      </c>
      <c r="BO4" s="396">
        <v>0</v>
      </c>
      <c r="BP4" s="396">
        <v>0</v>
      </c>
      <c r="BQ4" s="396">
        <v>0</v>
      </c>
      <c r="BR4" s="396">
        <v>0</v>
      </c>
      <c r="BS4" s="396">
        <v>0</v>
      </c>
      <c r="BT4" s="396">
        <v>0</v>
      </c>
      <c r="BU4" s="396">
        <v>0</v>
      </c>
      <c r="BV4" s="396">
        <v>0</v>
      </c>
    </row>
    <row r="5" spans="2:74" x14ac:dyDescent="0.2">
      <c r="B5" s="205" t="s">
        <v>450</v>
      </c>
      <c r="C5" s="396">
        <v>1</v>
      </c>
      <c r="AO5" s="205" t="s">
        <v>450</v>
      </c>
      <c r="AP5" s="396">
        <v>0</v>
      </c>
      <c r="AQ5" s="396">
        <v>0</v>
      </c>
      <c r="AR5" s="396">
        <v>0</v>
      </c>
      <c r="AS5" s="396">
        <v>0</v>
      </c>
      <c r="AT5" s="396">
        <v>0</v>
      </c>
      <c r="AU5" s="396">
        <v>0</v>
      </c>
      <c r="AV5" s="396">
        <v>0</v>
      </c>
      <c r="AW5" s="396">
        <v>0</v>
      </c>
      <c r="AX5" s="396">
        <v>0</v>
      </c>
      <c r="AY5" s="396">
        <v>0</v>
      </c>
      <c r="AZ5" s="396">
        <v>0</v>
      </c>
      <c r="BA5" s="396">
        <v>0</v>
      </c>
      <c r="BB5" s="396">
        <v>0</v>
      </c>
      <c r="BC5" s="396">
        <v>0</v>
      </c>
      <c r="BH5" s="205" t="s">
        <v>450</v>
      </c>
      <c r="BI5" s="396">
        <v>0</v>
      </c>
      <c r="BJ5" s="396">
        <v>0</v>
      </c>
      <c r="BK5" s="396">
        <v>0</v>
      </c>
      <c r="BL5" s="396">
        <v>0</v>
      </c>
      <c r="BM5" s="396">
        <v>0</v>
      </c>
      <c r="BN5" s="396">
        <v>0</v>
      </c>
      <c r="BO5" s="396">
        <v>0</v>
      </c>
      <c r="BP5" s="396">
        <v>0</v>
      </c>
      <c r="BQ5" s="396">
        <v>0</v>
      </c>
      <c r="BR5" s="396">
        <v>0</v>
      </c>
      <c r="BS5" s="396">
        <v>0</v>
      </c>
      <c r="BT5" s="396">
        <v>0</v>
      </c>
      <c r="BU5" s="396">
        <v>0</v>
      </c>
      <c r="BV5" s="396">
        <v>0</v>
      </c>
    </row>
    <row r="6" spans="2:74" x14ac:dyDescent="0.2">
      <c r="B6" s="205" t="s">
        <v>485</v>
      </c>
      <c r="C6" s="396">
        <v>1</v>
      </c>
      <c r="AO6" s="205" t="s">
        <v>485</v>
      </c>
      <c r="AP6" s="396">
        <v>0</v>
      </c>
      <c r="AQ6" s="396">
        <v>0</v>
      </c>
      <c r="AR6" s="396">
        <v>0</v>
      </c>
      <c r="AS6" s="396">
        <v>0</v>
      </c>
      <c r="AT6" s="396">
        <v>0</v>
      </c>
      <c r="AU6" s="396">
        <v>0</v>
      </c>
      <c r="AV6" s="396">
        <v>0</v>
      </c>
      <c r="AW6" s="396">
        <v>0</v>
      </c>
      <c r="AX6" s="396">
        <v>0</v>
      </c>
      <c r="AY6" s="396">
        <v>0</v>
      </c>
      <c r="AZ6" s="396">
        <v>0</v>
      </c>
      <c r="BA6" s="396">
        <v>0</v>
      </c>
      <c r="BB6" s="396">
        <v>0</v>
      </c>
      <c r="BC6" s="396">
        <v>0</v>
      </c>
      <c r="BH6" s="205" t="s">
        <v>485</v>
      </c>
      <c r="BI6" s="396">
        <v>0</v>
      </c>
      <c r="BJ6" s="396">
        <v>0</v>
      </c>
      <c r="BK6" s="396">
        <v>0</v>
      </c>
      <c r="BL6" s="396">
        <v>0</v>
      </c>
      <c r="BM6" s="396">
        <v>0</v>
      </c>
      <c r="BN6" s="396">
        <v>0</v>
      </c>
      <c r="BO6" s="396">
        <v>0</v>
      </c>
      <c r="BP6" s="396">
        <v>0</v>
      </c>
      <c r="BQ6" s="396">
        <v>0</v>
      </c>
      <c r="BR6" s="396">
        <v>0</v>
      </c>
      <c r="BS6" s="396">
        <v>0</v>
      </c>
      <c r="BT6" s="396">
        <v>0</v>
      </c>
      <c r="BU6" s="396">
        <v>0</v>
      </c>
      <c r="BV6" s="396">
        <v>0</v>
      </c>
    </row>
    <row r="7" spans="2:74" x14ac:dyDescent="0.2">
      <c r="B7" s="205" t="s">
        <v>596</v>
      </c>
      <c r="C7" s="396">
        <v>1</v>
      </c>
      <c r="AO7" s="205" t="s">
        <v>596</v>
      </c>
      <c r="AP7" s="396">
        <v>0</v>
      </c>
      <c r="AQ7" s="396">
        <v>0</v>
      </c>
      <c r="AR7" s="396">
        <v>0</v>
      </c>
      <c r="AS7" s="396">
        <v>0</v>
      </c>
      <c r="AT7" s="396">
        <v>0</v>
      </c>
      <c r="AU7" s="396">
        <v>0</v>
      </c>
      <c r="AV7" s="396">
        <v>0</v>
      </c>
      <c r="AW7" s="396">
        <v>0</v>
      </c>
      <c r="AX7" s="396">
        <v>0</v>
      </c>
      <c r="AY7" s="396">
        <v>0</v>
      </c>
      <c r="AZ7" s="396">
        <v>0</v>
      </c>
      <c r="BA7" s="396">
        <v>0</v>
      </c>
      <c r="BB7" s="396">
        <v>0</v>
      </c>
      <c r="BC7" s="396">
        <v>0</v>
      </c>
      <c r="BH7" s="205" t="s">
        <v>596</v>
      </c>
      <c r="BI7" s="396">
        <v>0</v>
      </c>
      <c r="BJ7" s="396">
        <v>0</v>
      </c>
      <c r="BK7" s="396">
        <v>0</v>
      </c>
      <c r="BL7" s="396">
        <v>0</v>
      </c>
      <c r="BM7" s="396">
        <v>0</v>
      </c>
      <c r="BN7" s="396">
        <v>0</v>
      </c>
      <c r="BO7" s="396">
        <v>0</v>
      </c>
      <c r="BP7" s="396">
        <v>0</v>
      </c>
      <c r="BQ7" s="396">
        <v>0</v>
      </c>
      <c r="BR7" s="396">
        <v>0</v>
      </c>
      <c r="BS7" s="396">
        <v>0</v>
      </c>
      <c r="BT7" s="396">
        <v>0</v>
      </c>
      <c r="BU7" s="396">
        <v>0</v>
      </c>
      <c r="BV7" s="396">
        <v>0</v>
      </c>
    </row>
    <row r="8" spans="2:74" x14ac:dyDescent="0.2">
      <c r="B8" s="205" t="s">
        <v>597</v>
      </c>
      <c r="C8" s="396">
        <v>1</v>
      </c>
      <c r="AO8" s="205" t="s">
        <v>597</v>
      </c>
      <c r="AP8" s="396">
        <v>0</v>
      </c>
      <c r="AQ8" s="396">
        <v>0</v>
      </c>
      <c r="AR8" s="396">
        <v>0</v>
      </c>
      <c r="AS8" s="396">
        <v>0</v>
      </c>
      <c r="AT8" s="396">
        <v>0</v>
      </c>
      <c r="AU8" s="396">
        <v>0</v>
      </c>
      <c r="AV8" s="396">
        <v>0</v>
      </c>
      <c r="AW8" s="396">
        <v>0</v>
      </c>
      <c r="AX8" s="396">
        <v>0</v>
      </c>
      <c r="AY8" s="396">
        <v>0</v>
      </c>
      <c r="AZ8" s="396">
        <v>0</v>
      </c>
      <c r="BA8" s="396">
        <v>0</v>
      </c>
      <c r="BB8" s="396">
        <v>0</v>
      </c>
      <c r="BC8" s="396">
        <v>0</v>
      </c>
      <c r="BH8" s="205" t="s">
        <v>597</v>
      </c>
      <c r="BI8" s="396">
        <v>0</v>
      </c>
      <c r="BJ8" s="396">
        <v>0</v>
      </c>
      <c r="BK8" s="396">
        <v>0</v>
      </c>
      <c r="BL8" s="396">
        <v>0</v>
      </c>
      <c r="BM8" s="396">
        <v>0</v>
      </c>
      <c r="BN8" s="396">
        <v>0</v>
      </c>
      <c r="BO8" s="396">
        <v>0</v>
      </c>
      <c r="BP8" s="396">
        <v>0</v>
      </c>
      <c r="BQ8" s="396">
        <v>0</v>
      </c>
      <c r="BR8" s="396">
        <v>0</v>
      </c>
      <c r="BS8" s="396">
        <v>0</v>
      </c>
      <c r="BT8" s="396">
        <v>0</v>
      </c>
      <c r="BU8" s="396">
        <v>0</v>
      </c>
      <c r="BV8" s="396">
        <v>0</v>
      </c>
    </row>
    <row r="9" spans="2:74" x14ac:dyDescent="0.2">
      <c r="B9" s="205" t="s">
        <v>533</v>
      </c>
      <c r="C9" s="396">
        <v>1</v>
      </c>
      <c r="AO9" s="205" t="s">
        <v>533</v>
      </c>
      <c r="AP9" s="396">
        <v>0</v>
      </c>
      <c r="AQ9" s="396">
        <v>0</v>
      </c>
      <c r="AR9" s="396">
        <v>0</v>
      </c>
      <c r="AS9" s="396">
        <v>0</v>
      </c>
      <c r="AT9" s="396">
        <v>0</v>
      </c>
      <c r="AU9" s="396">
        <v>0</v>
      </c>
      <c r="AV9" s="396">
        <v>0</v>
      </c>
      <c r="AW9" s="396">
        <v>0</v>
      </c>
      <c r="AX9" s="396">
        <v>0</v>
      </c>
      <c r="AY9" s="396">
        <v>0</v>
      </c>
      <c r="AZ9" s="396">
        <v>0</v>
      </c>
      <c r="BA9" s="396">
        <v>0</v>
      </c>
      <c r="BB9" s="396">
        <v>0</v>
      </c>
      <c r="BC9" s="396">
        <v>0</v>
      </c>
      <c r="BH9" s="205" t="s">
        <v>533</v>
      </c>
      <c r="BI9" s="396">
        <v>0</v>
      </c>
      <c r="BJ9" s="396">
        <v>0</v>
      </c>
      <c r="BK9" s="396">
        <v>0</v>
      </c>
      <c r="BL9" s="396">
        <v>0</v>
      </c>
      <c r="BM9" s="396">
        <v>0</v>
      </c>
      <c r="BN9" s="396">
        <v>0</v>
      </c>
      <c r="BO9" s="396">
        <v>0</v>
      </c>
      <c r="BP9" s="396">
        <v>0</v>
      </c>
      <c r="BQ9" s="396">
        <v>0</v>
      </c>
      <c r="BR9" s="396">
        <v>0</v>
      </c>
      <c r="BS9" s="396">
        <v>0</v>
      </c>
      <c r="BT9" s="396">
        <v>0</v>
      </c>
      <c r="BU9" s="396">
        <v>0</v>
      </c>
      <c r="BV9" s="396">
        <v>0</v>
      </c>
    </row>
    <row r="10" spans="2:74" x14ac:dyDescent="0.2">
      <c r="B10" s="205" t="s">
        <v>586</v>
      </c>
      <c r="C10" s="396">
        <v>1</v>
      </c>
      <c r="AO10" s="205" t="s">
        <v>586</v>
      </c>
      <c r="AP10" s="396">
        <v>0</v>
      </c>
      <c r="AQ10" s="396">
        <v>0</v>
      </c>
      <c r="AR10" s="396">
        <v>0</v>
      </c>
      <c r="AS10" s="396">
        <v>0</v>
      </c>
      <c r="AT10" s="396">
        <v>0</v>
      </c>
      <c r="AU10" s="396">
        <v>0</v>
      </c>
      <c r="AV10" s="396">
        <v>0</v>
      </c>
      <c r="AW10" s="396">
        <v>0</v>
      </c>
      <c r="AX10" s="396">
        <v>0</v>
      </c>
      <c r="AY10" s="396">
        <v>0</v>
      </c>
      <c r="AZ10" s="396">
        <v>0</v>
      </c>
      <c r="BA10" s="396">
        <v>0</v>
      </c>
      <c r="BB10" s="396">
        <v>0</v>
      </c>
      <c r="BC10" s="396">
        <v>0</v>
      </c>
      <c r="BH10" s="205" t="s">
        <v>586</v>
      </c>
      <c r="BI10" s="396">
        <v>0</v>
      </c>
      <c r="BJ10" s="396">
        <v>0</v>
      </c>
      <c r="BK10" s="396">
        <v>0</v>
      </c>
      <c r="BL10" s="396">
        <v>0</v>
      </c>
      <c r="BM10" s="396">
        <v>0</v>
      </c>
      <c r="BN10" s="396">
        <v>0</v>
      </c>
      <c r="BO10" s="396">
        <v>0</v>
      </c>
      <c r="BP10" s="396">
        <v>0</v>
      </c>
      <c r="BQ10" s="396">
        <v>0</v>
      </c>
      <c r="BR10" s="396">
        <v>0</v>
      </c>
      <c r="BS10" s="396">
        <v>0</v>
      </c>
      <c r="BT10" s="396">
        <v>0</v>
      </c>
      <c r="BU10" s="396">
        <v>0</v>
      </c>
      <c r="BV10" s="396">
        <v>0</v>
      </c>
    </row>
    <row r="11" spans="2:74" ht="16" x14ac:dyDescent="0.2">
      <c r="B11" s="206" t="s">
        <v>568</v>
      </c>
      <c r="C11" s="396">
        <v>1</v>
      </c>
      <c r="AO11" s="206" t="s">
        <v>568</v>
      </c>
      <c r="AP11" s="396">
        <v>0</v>
      </c>
      <c r="AQ11" s="396">
        <v>0</v>
      </c>
      <c r="AR11" s="396">
        <v>0</v>
      </c>
      <c r="AS11" s="396">
        <v>0</v>
      </c>
      <c r="AT11" s="396">
        <v>0</v>
      </c>
      <c r="AU11" s="396">
        <v>0</v>
      </c>
      <c r="AV11" s="396">
        <v>0</v>
      </c>
      <c r="AW11" s="396">
        <v>0</v>
      </c>
      <c r="AX11" s="396">
        <v>0</v>
      </c>
      <c r="AY11" s="396">
        <v>0</v>
      </c>
      <c r="AZ11" s="396">
        <v>0</v>
      </c>
      <c r="BA11" s="396">
        <v>0</v>
      </c>
      <c r="BB11" s="396">
        <v>0</v>
      </c>
      <c r="BC11" s="396">
        <v>0</v>
      </c>
      <c r="BH11" s="206" t="s">
        <v>568</v>
      </c>
      <c r="BI11" s="396">
        <v>0</v>
      </c>
      <c r="BJ11" s="396">
        <v>0</v>
      </c>
      <c r="BK11" s="396">
        <v>0</v>
      </c>
      <c r="BL11" s="396">
        <v>0</v>
      </c>
      <c r="BM11" s="396">
        <v>0</v>
      </c>
      <c r="BN11" s="396">
        <v>0</v>
      </c>
      <c r="BO11" s="396">
        <v>0</v>
      </c>
      <c r="BP11" s="396">
        <v>0</v>
      </c>
      <c r="BQ11" s="396">
        <v>0</v>
      </c>
      <c r="BR11" s="396">
        <v>0</v>
      </c>
      <c r="BS11" s="396">
        <v>0</v>
      </c>
      <c r="BT11" s="396">
        <v>0</v>
      </c>
      <c r="BU11" s="396">
        <v>0</v>
      </c>
      <c r="BV11" s="396">
        <v>0</v>
      </c>
    </row>
    <row r="12" spans="2:74" x14ac:dyDescent="0.2">
      <c r="B12" s="205" t="s">
        <v>531</v>
      </c>
      <c r="C12" s="396">
        <v>1</v>
      </c>
      <c r="AO12" s="205" t="s">
        <v>531</v>
      </c>
      <c r="AP12" s="396">
        <v>0</v>
      </c>
      <c r="AQ12" s="396">
        <v>0</v>
      </c>
      <c r="AR12" s="396">
        <v>0</v>
      </c>
      <c r="AS12" s="396">
        <v>0</v>
      </c>
      <c r="AT12" s="396">
        <v>0</v>
      </c>
      <c r="AU12" s="396">
        <v>0</v>
      </c>
      <c r="AV12" s="396">
        <v>0</v>
      </c>
      <c r="AW12" s="396">
        <v>0</v>
      </c>
      <c r="AX12" s="396">
        <v>0</v>
      </c>
      <c r="AY12" s="396">
        <v>0</v>
      </c>
      <c r="AZ12" s="396">
        <v>0</v>
      </c>
      <c r="BA12" s="396">
        <v>0</v>
      </c>
      <c r="BB12" s="396">
        <v>0</v>
      </c>
      <c r="BC12" s="396">
        <v>0</v>
      </c>
      <c r="BH12" s="205" t="s">
        <v>531</v>
      </c>
      <c r="BI12" s="396">
        <v>0</v>
      </c>
      <c r="BJ12" s="396">
        <v>0</v>
      </c>
      <c r="BK12" s="396">
        <v>0</v>
      </c>
      <c r="BL12" s="396">
        <v>0</v>
      </c>
      <c r="BM12" s="396">
        <v>0</v>
      </c>
      <c r="BN12" s="396">
        <v>0</v>
      </c>
      <c r="BO12" s="396">
        <v>0</v>
      </c>
      <c r="BP12" s="396">
        <v>0</v>
      </c>
      <c r="BQ12" s="396">
        <v>0</v>
      </c>
      <c r="BR12" s="396">
        <v>0</v>
      </c>
      <c r="BS12" s="396">
        <v>0</v>
      </c>
      <c r="BT12" s="396">
        <v>0</v>
      </c>
      <c r="BU12" s="396">
        <v>0</v>
      </c>
      <c r="BV12" s="396">
        <v>0</v>
      </c>
    </row>
    <row r="13" spans="2:74" ht="16" x14ac:dyDescent="0.2">
      <c r="B13" s="206" t="s">
        <v>534</v>
      </c>
      <c r="C13" s="396">
        <v>1</v>
      </c>
      <c r="AO13" s="206" t="s">
        <v>534</v>
      </c>
      <c r="AP13" s="396">
        <v>0</v>
      </c>
      <c r="AQ13" s="396">
        <v>0</v>
      </c>
      <c r="AR13" s="396">
        <v>0</v>
      </c>
      <c r="AS13" s="396">
        <v>0</v>
      </c>
      <c r="AT13" s="396">
        <v>0</v>
      </c>
      <c r="AU13" s="396">
        <v>0</v>
      </c>
      <c r="AV13" s="396">
        <v>0</v>
      </c>
      <c r="AW13" s="396">
        <v>0</v>
      </c>
      <c r="AX13" s="396">
        <v>0</v>
      </c>
      <c r="AY13" s="396">
        <v>0</v>
      </c>
      <c r="AZ13" s="396">
        <v>0</v>
      </c>
      <c r="BA13" s="396">
        <v>0</v>
      </c>
      <c r="BB13" s="396">
        <v>0</v>
      </c>
      <c r="BC13" s="396">
        <v>0</v>
      </c>
      <c r="BH13" s="206" t="s">
        <v>534</v>
      </c>
      <c r="BI13" s="396">
        <v>0</v>
      </c>
      <c r="BJ13" s="396">
        <v>0</v>
      </c>
      <c r="BK13" s="396">
        <v>0</v>
      </c>
      <c r="BL13" s="396">
        <v>0</v>
      </c>
      <c r="BM13" s="396">
        <v>0</v>
      </c>
      <c r="BN13" s="396">
        <v>0</v>
      </c>
      <c r="BO13" s="396">
        <v>0</v>
      </c>
      <c r="BP13" s="396">
        <v>0</v>
      </c>
      <c r="BQ13" s="396">
        <v>0</v>
      </c>
      <c r="BR13" s="396">
        <v>0</v>
      </c>
      <c r="BS13" s="396">
        <v>0</v>
      </c>
      <c r="BT13" s="396">
        <v>0</v>
      </c>
      <c r="BU13" s="396">
        <v>0</v>
      </c>
      <c r="BV13" s="396">
        <v>0</v>
      </c>
    </row>
    <row r="14" spans="2:74" x14ac:dyDescent="0.2">
      <c r="B14" s="205" t="s">
        <v>563</v>
      </c>
      <c r="C14" s="396">
        <v>1</v>
      </c>
      <c r="AO14" s="205" t="s">
        <v>563</v>
      </c>
      <c r="AP14" s="396">
        <v>0</v>
      </c>
      <c r="AQ14" s="396">
        <v>0</v>
      </c>
      <c r="AR14" s="396">
        <v>0</v>
      </c>
      <c r="AS14" s="396">
        <v>0</v>
      </c>
      <c r="AT14" s="396">
        <v>0</v>
      </c>
      <c r="AU14" s="396">
        <v>0</v>
      </c>
      <c r="AV14" s="396">
        <v>0</v>
      </c>
      <c r="AW14" s="396">
        <v>0</v>
      </c>
      <c r="AX14" s="396">
        <v>0</v>
      </c>
      <c r="AY14" s="396">
        <v>0</v>
      </c>
      <c r="AZ14" s="396">
        <v>0</v>
      </c>
      <c r="BA14" s="396">
        <v>0</v>
      </c>
      <c r="BB14" s="396">
        <v>0</v>
      </c>
      <c r="BC14" s="396">
        <v>0</v>
      </c>
      <c r="BH14" s="205" t="s">
        <v>563</v>
      </c>
      <c r="BI14" s="396">
        <v>0</v>
      </c>
      <c r="BJ14" s="396">
        <v>0</v>
      </c>
      <c r="BK14" s="396">
        <v>0</v>
      </c>
      <c r="BL14" s="396">
        <v>0</v>
      </c>
      <c r="BM14" s="396">
        <v>0</v>
      </c>
      <c r="BN14" s="396">
        <v>0</v>
      </c>
      <c r="BO14" s="396">
        <v>0</v>
      </c>
      <c r="BP14" s="396">
        <v>0</v>
      </c>
      <c r="BQ14" s="396">
        <v>0</v>
      </c>
      <c r="BR14" s="396">
        <v>0</v>
      </c>
      <c r="BS14" s="396">
        <v>0</v>
      </c>
      <c r="BT14" s="396">
        <v>0</v>
      </c>
      <c r="BU14" s="396">
        <v>0</v>
      </c>
      <c r="BV14" s="396">
        <v>0</v>
      </c>
    </row>
    <row r="15" spans="2:74" x14ac:dyDescent="0.2">
      <c r="B15" s="207" t="s">
        <v>555</v>
      </c>
      <c r="C15" s="396">
        <v>1</v>
      </c>
      <c r="AO15" s="207" t="s">
        <v>555</v>
      </c>
      <c r="AP15" s="396">
        <v>0</v>
      </c>
      <c r="AQ15" s="396">
        <v>0</v>
      </c>
      <c r="AR15" s="396">
        <v>0</v>
      </c>
      <c r="AS15" s="396">
        <v>0</v>
      </c>
      <c r="AT15" s="396">
        <v>0</v>
      </c>
      <c r="AU15" s="396">
        <v>0</v>
      </c>
      <c r="AV15" s="396">
        <v>0</v>
      </c>
      <c r="AW15" s="396">
        <v>0</v>
      </c>
      <c r="AX15" s="396">
        <v>0</v>
      </c>
      <c r="AY15" s="396">
        <v>0</v>
      </c>
      <c r="AZ15" s="396">
        <v>0</v>
      </c>
      <c r="BA15" s="396">
        <v>0</v>
      </c>
      <c r="BB15" s="396">
        <v>0</v>
      </c>
      <c r="BC15" s="396">
        <v>0</v>
      </c>
      <c r="BH15" s="207" t="s">
        <v>555</v>
      </c>
      <c r="BI15" s="396">
        <v>0</v>
      </c>
      <c r="BJ15" s="396">
        <v>0</v>
      </c>
      <c r="BK15" s="396">
        <v>0</v>
      </c>
      <c r="BL15" s="396">
        <v>0</v>
      </c>
      <c r="BM15" s="396">
        <v>0</v>
      </c>
      <c r="BN15" s="396">
        <v>0</v>
      </c>
      <c r="BO15" s="396">
        <v>0</v>
      </c>
      <c r="BP15" s="396">
        <v>0</v>
      </c>
      <c r="BQ15" s="396">
        <v>0</v>
      </c>
      <c r="BR15" s="396">
        <v>0</v>
      </c>
      <c r="BS15" s="396">
        <v>0</v>
      </c>
      <c r="BT15" s="396">
        <v>0</v>
      </c>
      <c r="BU15" s="396">
        <v>0</v>
      </c>
      <c r="BV15" s="396">
        <v>0</v>
      </c>
    </row>
    <row r="16" spans="2:74" x14ac:dyDescent="0.2">
      <c r="B16" s="205" t="s">
        <v>538</v>
      </c>
      <c r="C16" s="396">
        <v>1</v>
      </c>
      <c r="AO16" s="205" t="s">
        <v>538</v>
      </c>
      <c r="AP16" s="396">
        <v>0</v>
      </c>
      <c r="AQ16" s="396">
        <v>0</v>
      </c>
      <c r="AR16" s="396">
        <v>0</v>
      </c>
      <c r="AS16" s="396">
        <v>0</v>
      </c>
      <c r="AT16" s="396">
        <v>0</v>
      </c>
      <c r="AU16" s="396">
        <v>0</v>
      </c>
      <c r="AV16" s="396">
        <v>0</v>
      </c>
      <c r="AW16" s="396">
        <v>0</v>
      </c>
      <c r="AX16" s="396">
        <v>0</v>
      </c>
      <c r="AY16" s="396">
        <v>0</v>
      </c>
      <c r="AZ16" s="396">
        <v>0</v>
      </c>
      <c r="BA16" s="396">
        <v>0</v>
      </c>
      <c r="BB16" s="396">
        <v>0</v>
      </c>
      <c r="BC16" s="396">
        <v>0</v>
      </c>
      <c r="BH16" s="205" t="s">
        <v>538</v>
      </c>
      <c r="BI16" s="396">
        <v>0</v>
      </c>
      <c r="BJ16" s="396">
        <v>0</v>
      </c>
      <c r="BK16" s="396">
        <v>0</v>
      </c>
      <c r="BL16" s="396">
        <v>0</v>
      </c>
      <c r="BM16" s="396">
        <v>0</v>
      </c>
      <c r="BN16" s="396">
        <v>0</v>
      </c>
      <c r="BO16" s="396">
        <v>0</v>
      </c>
      <c r="BP16" s="396">
        <v>0</v>
      </c>
      <c r="BQ16" s="396">
        <v>0</v>
      </c>
      <c r="BR16" s="396">
        <v>0</v>
      </c>
      <c r="BS16" s="396">
        <v>0</v>
      </c>
      <c r="BT16" s="396">
        <v>0</v>
      </c>
      <c r="BU16" s="396">
        <v>0</v>
      </c>
      <c r="BV16" s="396">
        <v>0</v>
      </c>
    </row>
    <row r="17" spans="2:74" ht="16" x14ac:dyDescent="0.2">
      <c r="B17" s="206" t="s">
        <v>567</v>
      </c>
      <c r="C17" s="396">
        <v>1</v>
      </c>
      <c r="AO17" s="206" t="s">
        <v>567</v>
      </c>
      <c r="AP17" s="396">
        <v>0</v>
      </c>
      <c r="AQ17" s="396">
        <v>0</v>
      </c>
      <c r="AR17" s="396">
        <v>0</v>
      </c>
      <c r="AS17" s="396">
        <v>0</v>
      </c>
      <c r="AT17" s="396">
        <v>0</v>
      </c>
      <c r="AU17" s="396">
        <v>0</v>
      </c>
      <c r="AV17" s="396">
        <v>0</v>
      </c>
      <c r="AW17" s="396">
        <v>0</v>
      </c>
      <c r="AX17" s="396">
        <v>0</v>
      </c>
      <c r="AY17" s="396">
        <v>0</v>
      </c>
      <c r="AZ17" s="396">
        <v>0</v>
      </c>
      <c r="BA17" s="396">
        <v>0</v>
      </c>
      <c r="BB17" s="396">
        <v>0</v>
      </c>
      <c r="BC17" s="396">
        <v>0</v>
      </c>
      <c r="BH17" s="206" t="s">
        <v>567</v>
      </c>
      <c r="BI17" s="396">
        <v>0</v>
      </c>
      <c r="BJ17" s="396">
        <v>0</v>
      </c>
      <c r="BK17" s="396">
        <v>0</v>
      </c>
      <c r="BL17" s="396">
        <v>0</v>
      </c>
      <c r="BM17" s="396">
        <v>0</v>
      </c>
      <c r="BN17" s="396">
        <v>0</v>
      </c>
      <c r="BO17" s="396">
        <v>0</v>
      </c>
      <c r="BP17" s="396">
        <v>0</v>
      </c>
      <c r="BQ17" s="396">
        <v>0</v>
      </c>
      <c r="BR17" s="396">
        <v>0</v>
      </c>
      <c r="BS17" s="396">
        <v>0</v>
      </c>
      <c r="BT17" s="396">
        <v>0</v>
      </c>
      <c r="BU17" s="396">
        <v>0</v>
      </c>
      <c r="BV17" s="396">
        <v>0</v>
      </c>
    </row>
    <row r="18" spans="2:74" ht="16" x14ac:dyDescent="0.2">
      <c r="B18" s="206" t="s">
        <v>562</v>
      </c>
      <c r="C18" s="396">
        <v>1</v>
      </c>
      <c r="AO18" s="206" t="s">
        <v>562</v>
      </c>
      <c r="AP18" s="396">
        <v>0</v>
      </c>
      <c r="AQ18" s="396">
        <v>0</v>
      </c>
      <c r="AR18" s="396">
        <v>0</v>
      </c>
      <c r="AS18" s="396">
        <v>0</v>
      </c>
      <c r="AT18" s="396">
        <v>0</v>
      </c>
      <c r="AU18" s="396">
        <v>0</v>
      </c>
      <c r="AV18" s="396">
        <v>0</v>
      </c>
      <c r="AW18" s="396">
        <v>0</v>
      </c>
      <c r="AX18" s="396">
        <v>0</v>
      </c>
      <c r="AY18" s="396">
        <v>0</v>
      </c>
      <c r="AZ18" s="396">
        <v>0</v>
      </c>
      <c r="BA18" s="396">
        <v>0</v>
      </c>
      <c r="BB18" s="396">
        <v>0</v>
      </c>
      <c r="BC18" s="396">
        <v>0</v>
      </c>
      <c r="BH18" s="206" t="s">
        <v>562</v>
      </c>
      <c r="BI18" s="396">
        <v>0</v>
      </c>
      <c r="BJ18" s="396">
        <v>0</v>
      </c>
      <c r="BK18" s="396">
        <v>0</v>
      </c>
      <c r="BL18" s="396">
        <v>0</v>
      </c>
      <c r="BM18" s="396">
        <v>0</v>
      </c>
      <c r="BN18" s="396">
        <v>0</v>
      </c>
      <c r="BO18" s="396">
        <v>0</v>
      </c>
      <c r="BP18" s="396">
        <v>0</v>
      </c>
      <c r="BQ18" s="396">
        <v>0</v>
      </c>
      <c r="BR18" s="396">
        <v>0</v>
      </c>
      <c r="BS18" s="396">
        <v>0</v>
      </c>
      <c r="BT18" s="396">
        <v>0</v>
      </c>
      <c r="BU18" s="396">
        <v>0</v>
      </c>
      <c r="BV18" s="396">
        <v>0</v>
      </c>
    </row>
    <row r="19" spans="2:74" ht="16" x14ac:dyDescent="0.2">
      <c r="B19" s="206" t="s">
        <v>559</v>
      </c>
      <c r="C19" s="396">
        <v>1</v>
      </c>
      <c r="AO19" s="206" t="s">
        <v>559</v>
      </c>
      <c r="AP19" s="396">
        <v>0</v>
      </c>
      <c r="AQ19" s="396">
        <v>0</v>
      </c>
      <c r="AR19" s="396">
        <v>0</v>
      </c>
      <c r="AS19" s="396">
        <v>0</v>
      </c>
      <c r="AT19" s="396">
        <v>0</v>
      </c>
      <c r="AU19" s="396">
        <v>0</v>
      </c>
      <c r="AV19" s="396">
        <v>0</v>
      </c>
      <c r="AW19" s="396">
        <v>0</v>
      </c>
      <c r="AX19" s="396">
        <v>0</v>
      </c>
      <c r="AY19" s="396">
        <v>0</v>
      </c>
      <c r="AZ19" s="396">
        <v>0</v>
      </c>
      <c r="BA19" s="396">
        <v>0</v>
      </c>
      <c r="BB19" s="396">
        <v>0</v>
      </c>
      <c r="BC19" s="396">
        <v>0</v>
      </c>
      <c r="BH19" s="206" t="s">
        <v>559</v>
      </c>
      <c r="BI19" s="396">
        <v>0</v>
      </c>
      <c r="BJ19" s="396">
        <v>0</v>
      </c>
      <c r="BK19" s="396">
        <v>0</v>
      </c>
      <c r="BL19" s="396">
        <v>0</v>
      </c>
      <c r="BM19" s="396">
        <v>0</v>
      </c>
      <c r="BN19" s="396">
        <v>0</v>
      </c>
      <c r="BO19" s="396">
        <v>0</v>
      </c>
      <c r="BP19" s="396">
        <v>0</v>
      </c>
      <c r="BQ19" s="396">
        <v>0</v>
      </c>
      <c r="BR19" s="396">
        <v>0</v>
      </c>
      <c r="BS19" s="396">
        <v>0</v>
      </c>
      <c r="BT19" s="396">
        <v>0</v>
      </c>
      <c r="BU19" s="396">
        <v>0</v>
      </c>
      <c r="BV19" s="396">
        <v>0</v>
      </c>
    </row>
    <row r="20" spans="2:74" ht="16" x14ac:dyDescent="0.2">
      <c r="B20" s="206" t="s">
        <v>565</v>
      </c>
      <c r="C20" s="396">
        <v>1</v>
      </c>
      <c r="AO20" s="206" t="s">
        <v>565</v>
      </c>
      <c r="AP20" s="396">
        <v>0</v>
      </c>
      <c r="AQ20" s="396">
        <v>0</v>
      </c>
      <c r="AR20" s="396">
        <v>0</v>
      </c>
      <c r="AS20" s="396">
        <v>0</v>
      </c>
      <c r="AT20" s="396">
        <v>0</v>
      </c>
      <c r="AU20" s="396">
        <v>0</v>
      </c>
      <c r="AV20" s="396">
        <v>0</v>
      </c>
      <c r="AW20" s="396">
        <v>0</v>
      </c>
      <c r="AX20" s="396">
        <v>0</v>
      </c>
      <c r="AY20" s="396">
        <v>0</v>
      </c>
      <c r="AZ20" s="396">
        <v>0</v>
      </c>
      <c r="BA20" s="396">
        <v>0</v>
      </c>
      <c r="BB20" s="396">
        <v>0</v>
      </c>
      <c r="BC20" s="396">
        <v>0</v>
      </c>
      <c r="BH20" s="206" t="s">
        <v>565</v>
      </c>
      <c r="BI20" s="396">
        <v>0</v>
      </c>
      <c r="BJ20" s="396">
        <v>0</v>
      </c>
      <c r="BK20" s="396">
        <v>0</v>
      </c>
      <c r="BL20" s="396">
        <v>0</v>
      </c>
      <c r="BM20" s="396">
        <v>0</v>
      </c>
      <c r="BN20" s="396">
        <v>0</v>
      </c>
      <c r="BO20" s="396">
        <v>0</v>
      </c>
      <c r="BP20" s="396">
        <v>0</v>
      </c>
      <c r="BQ20" s="396">
        <v>0</v>
      </c>
      <c r="BR20" s="396">
        <v>0</v>
      </c>
      <c r="BS20" s="396">
        <v>0</v>
      </c>
      <c r="BT20" s="396">
        <v>0</v>
      </c>
      <c r="BU20" s="396">
        <v>0</v>
      </c>
      <c r="BV20" s="396">
        <v>0</v>
      </c>
    </row>
    <row r="21" spans="2:74" x14ac:dyDescent="0.2">
      <c r="B21" s="207" t="s">
        <v>564</v>
      </c>
      <c r="C21" s="396">
        <v>1</v>
      </c>
      <c r="AO21" s="207" t="s">
        <v>564</v>
      </c>
      <c r="AP21" s="396">
        <v>0</v>
      </c>
      <c r="AQ21" s="396">
        <v>0</v>
      </c>
      <c r="AR21" s="396">
        <v>0</v>
      </c>
      <c r="AS21" s="396">
        <v>0</v>
      </c>
      <c r="AT21" s="396">
        <v>0</v>
      </c>
      <c r="AU21" s="396">
        <v>0</v>
      </c>
      <c r="AV21" s="396">
        <v>0</v>
      </c>
      <c r="AW21" s="396">
        <v>0</v>
      </c>
      <c r="AX21" s="396">
        <v>0</v>
      </c>
      <c r="AY21" s="396">
        <v>0</v>
      </c>
      <c r="AZ21" s="396">
        <v>0</v>
      </c>
      <c r="BA21" s="396">
        <v>0</v>
      </c>
      <c r="BB21" s="396">
        <v>0</v>
      </c>
      <c r="BC21" s="396">
        <v>0</v>
      </c>
      <c r="BH21" s="207" t="s">
        <v>564</v>
      </c>
      <c r="BI21" s="396">
        <v>0</v>
      </c>
      <c r="BJ21" s="396">
        <v>0</v>
      </c>
      <c r="BK21" s="396">
        <v>0</v>
      </c>
      <c r="BL21" s="396">
        <v>0</v>
      </c>
      <c r="BM21" s="396">
        <v>0</v>
      </c>
      <c r="BN21" s="396">
        <v>0</v>
      </c>
      <c r="BO21" s="396">
        <v>0</v>
      </c>
      <c r="BP21" s="396">
        <v>0</v>
      </c>
      <c r="BQ21" s="396">
        <v>0</v>
      </c>
      <c r="BR21" s="396">
        <v>0</v>
      </c>
      <c r="BS21" s="396">
        <v>0</v>
      </c>
      <c r="BT21" s="396">
        <v>0</v>
      </c>
      <c r="BU21" s="396">
        <v>0</v>
      </c>
      <c r="BV21" s="396">
        <v>0</v>
      </c>
    </row>
    <row r="22" spans="2:74" x14ac:dyDescent="0.2">
      <c r="B22" s="207" t="s">
        <v>547</v>
      </c>
      <c r="C22" s="396">
        <v>1</v>
      </c>
      <c r="AO22" s="207" t="s">
        <v>547</v>
      </c>
      <c r="AP22" s="396">
        <v>0</v>
      </c>
      <c r="AQ22" s="396">
        <v>0</v>
      </c>
      <c r="AR22" s="396">
        <v>0</v>
      </c>
      <c r="AS22" s="396">
        <v>0</v>
      </c>
      <c r="AT22" s="396">
        <v>0</v>
      </c>
      <c r="AU22" s="396">
        <v>0</v>
      </c>
      <c r="AV22" s="396">
        <v>0</v>
      </c>
      <c r="AW22" s="396">
        <v>0</v>
      </c>
      <c r="AX22" s="396">
        <v>0</v>
      </c>
      <c r="AY22" s="396">
        <v>0</v>
      </c>
      <c r="AZ22" s="396">
        <v>0</v>
      </c>
      <c r="BA22" s="396">
        <v>0</v>
      </c>
      <c r="BB22" s="396">
        <v>0</v>
      </c>
      <c r="BC22" s="396">
        <v>0</v>
      </c>
      <c r="BH22" s="207" t="s">
        <v>547</v>
      </c>
      <c r="BI22" s="396">
        <v>0</v>
      </c>
      <c r="BJ22" s="396">
        <v>0</v>
      </c>
      <c r="BK22" s="396">
        <v>0</v>
      </c>
      <c r="BL22" s="396">
        <v>0</v>
      </c>
      <c r="BM22" s="396">
        <v>0</v>
      </c>
      <c r="BN22" s="396">
        <v>0</v>
      </c>
      <c r="BO22" s="396">
        <v>0</v>
      </c>
      <c r="BP22" s="396">
        <v>0</v>
      </c>
      <c r="BQ22" s="396">
        <v>0</v>
      </c>
      <c r="BR22" s="396">
        <v>0</v>
      </c>
      <c r="BS22" s="396">
        <v>0</v>
      </c>
      <c r="BT22" s="396">
        <v>0</v>
      </c>
      <c r="BU22" s="396">
        <v>0</v>
      </c>
      <c r="BV22" s="396">
        <v>0</v>
      </c>
    </row>
    <row r="23" spans="2:74" x14ac:dyDescent="0.2">
      <c r="B23" s="207" t="s">
        <v>583</v>
      </c>
      <c r="C23" s="396">
        <v>1</v>
      </c>
      <c r="AO23" s="207" t="s">
        <v>583</v>
      </c>
      <c r="AP23" s="396">
        <v>0</v>
      </c>
      <c r="AQ23" s="396">
        <v>0</v>
      </c>
      <c r="AR23" s="396">
        <v>0</v>
      </c>
      <c r="AS23" s="396">
        <v>0</v>
      </c>
      <c r="AT23" s="396">
        <v>0</v>
      </c>
      <c r="AU23" s="396">
        <v>0</v>
      </c>
      <c r="AV23" s="396">
        <v>0</v>
      </c>
      <c r="AW23" s="396">
        <v>0</v>
      </c>
      <c r="AX23" s="396">
        <v>0</v>
      </c>
      <c r="AY23" s="396">
        <v>0</v>
      </c>
      <c r="AZ23" s="396">
        <v>0</v>
      </c>
      <c r="BA23" s="396">
        <v>0</v>
      </c>
      <c r="BB23" s="396">
        <v>0</v>
      </c>
      <c r="BC23" s="396">
        <v>0</v>
      </c>
      <c r="BH23" s="207" t="s">
        <v>583</v>
      </c>
      <c r="BI23" s="396">
        <v>0</v>
      </c>
      <c r="BJ23" s="396">
        <v>0</v>
      </c>
      <c r="BK23" s="396">
        <v>0</v>
      </c>
      <c r="BL23" s="396">
        <v>0</v>
      </c>
      <c r="BM23" s="396">
        <v>0</v>
      </c>
      <c r="BN23" s="396">
        <v>0</v>
      </c>
      <c r="BO23" s="396">
        <v>0</v>
      </c>
      <c r="BP23" s="396">
        <v>0</v>
      </c>
      <c r="BQ23" s="396">
        <v>0</v>
      </c>
      <c r="BR23" s="396">
        <v>0</v>
      </c>
      <c r="BS23" s="396">
        <v>0</v>
      </c>
      <c r="BT23" s="396">
        <v>0</v>
      </c>
      <c r="BU23" s="396">
        <v>0</v>
      </c>
      <c r="BV23" s="396">
        <v>0</v>
      </c>
    </row>
    <row r="24" spans="2:74" x14ac:dyDescent="0.2">
      <c r="B24" s="207" t="s">
        <v>548</v>
      </c>
      <c r="C24" s="396">
        <v>1</v>
      </c>
      <c r="AO24" s="207" t="s">
        <v>548</v>
      </c>
      <c r="AP24" s="396">
        <v>0</v>
      </c>
      <c r="AQ24" s="396">
        <v>0</v>
      </c>
      <c r="AR24" s="396">
        <v>0</v>
      </c>
      <c r="AS24" s="396">
        <v>0</v>
      </c>
      <c r="AT24" s="396">
        <v>0</v>
      </c>
      <c r="AU24" s="396">
        <v>0</v>
      </c>
      <c r="AV24" s="396">
        <v>0</v>
      </c>
      <c r="AW24" s="396">
        <v>0</v>
      </c>
      <c r="AX24" s="396">
        <v>0</v>
      </c>
      <c r="AY24" s="396">
        <v>0</v>
      </c>
      <c r="AZ24" s="396">
        <v>0</v>
      </c>
      <c r="BA24" s="396">
        <v>0</v>
      </c>
      <c r="BB24" s="396">
        <v>0</v>
      </c>
      <c r="BC24" s="396">
        <v>0</v>
      </c>
      <c r="BH24" s="207" t="s">
        <v>548</v>
      </c>
      <c r="BI24" s="396">
        <v>0</v>
      </c>
      <c r="BJ24" s="396">
        <v>0</v>
      </c>
      <c r="BK24" s="396">
        <v>0</v>
      </c>
      <c r="BL24" s="396">
        <v>0</v>
      </c>
      <c r="BM24" s="396">
        <v>0</v>
      </c>
      <c r="BN24" s="396">
        <v>0</v>
      </c>
      <c r="BO24" s="396">
        <v>0</v>
      </c>
      <c r="BP24" s="396">
        <v>0</v>
      </c>
      <c r="BQ24" s="396">
        <v>0</v>
      </c>
      <c r="BR24" s="396">
        <v>0</v>
      </c>
      <c r="BS24" s="396">
        <v>0</v>
      </c>
      <c r="BT24" s="396">
        <v>0</v>
      </c>
      <c r="BU24" s="396">
        <v>0</v>
      </c>
      <c r="BV24" s="396">
        <v>0</v>
      </c>
    </row>
    <row r="25" spans="2:74" x14ac:dyDescent="0.2">
      <c r="B25" s="207" t="s">
        <v>550</v>
      </c>
      <c r="C25" s="396">
        <v>1</v>
      </c>
      <c r="AO25" s="207" t="s">
        <v>550</v>
      </c>
      <c r="AP25" s="396">
        <v>0</v>
      </c>
      <c r="AQ25" s="396">
        <v>0</v>
      </c>
      <c r="AR25" s="396">
        <v>0</v>
      </c>
      <c r="AS25" s="396">
        <v>0</v>
      </c>
      <c r="AT25" s="396">
        <v>0</v>
      </c>
      <c r="AU25" s="396">
        <v>0</v>
      </c>
      <c r="AV25" s="396">
        <v>0</v>
      </c>
      <c r="AW25" s="396">
        <v>0</v>
      </c>
      <c r="AX25" s="396">
        <v>0</v>
      </c>
      <c r="AY25" s="396">
        <v>0</v>
      </c>
      <c r="AZ25" s="396">
        <v>0</v>
      </c>
      <c r="BA25" s="396">
        <v>0</v>
      </c>
      <c r="BB25" s="396">
        <v>0</v>
      </c>
      <c r="BC25" s="396">
        <v>0</v>
      </c>
      <c r="BH25" s="207" t="s">
        <v>550</v>
      </c>
      <c r="BI25" s="396">
        <v>0</v>
      </c>
      <c r="BJ25" s="396">
        <v>0</v>
      </c>
      <c r="BK25" s="396">
        <v>0</v>
      </c>
      <c r="BL25" s="396">
        <v>0</v>
      </c>
      <c r="BM25" s="396">
        <v>0</v>
      </c>
      <c r="BN25" s="396">
        <v>0</v>
      </c>
      <c r="BO25" s="396">
        <v>0</v>
      </c>
      <c r="BP25" s="396">
        <v>0</v>
      </c>
      <c r="BQ25" s="396">
        <v>0</v>
      </c>
      <c r="BR25" s="396">
        <v>0</v>
      </c>
      <c r="BS25" s="396">
        <v>0</v>
      </c>
      <c r="BT25" s="396">
        <v>0</v>
      </c>
      <c r="BU25" s="396">
        <v>0</v>
      </c>
      <c r="BV25" s="396">
        <v>0</v>
      </c>
    </row>
    <row r="26" spans="2:74" x14ac:dyDescent="0.2">
      <c r="B26" s="207" t="s">
        <v>549</v>
      </c>
      <c r="C26" s="396">
        <v>1</v>
      </c>
      <c r="AO26" s="207" t="s">
        <v>549</v>
      </c>
      <c r="AP26" s="396">
        <v>0</v>
      </c>
      <c r="AQ26" s="396">
        <v>0</v>
      </c>
      <c r="AR26" s="396">
        <v>0</v>
      </c>
      <c r="AS26" s="396">
        <v>0</v>
      </c>
      <c r="AT26" s="396">
        <v>0</v>
      </c>
      <c r="AU26" s="396">
        <v>0</v>
      </c>
      <c r="AV26" s="396">
        <v>0</v>
      </c>
      <c r="AW26" s="396">
        <v>0</v>
      </c>
      <c r="AX26" s="396">
        <v>0</v>
      </c>
      <c r="AY26" s="396">
        <v>0</v>
      </c>
      <c r="AZ26" s="396">
        <v>0</v>
      </c>
      <c r="BA26" s="396">
        <v>0</v>
      </c>
      <c r="BB26" s="396">
        <v>0</v>
      </c>
      <c r="BC26" s="396">
        <v>0</v>
      </c>
      <c r="BH26" s="207" t="s">
        <v>549</v>
      </c>
      <c r="BI26" s="396">
        <v>0</v>
      </c>
      <c r="BJ26" s="396">
        <v>0</v>
      </c>
      <c r="BK26" s="396">
        <v>0</v>
      </c>
      <c r="BL26" s="396">
        <v>0</v>
      </c>
      <c r="BM26" s="396">
        <v>0</v>
      </c>
      <c r="BN26" s="396">
        <v>0</v>
      </c>
      <c r="BO26" s="396">
        <v>0</v>
      </c>
      <c r="BP26" s="396">
        <v>0</v>
      </c>
      <c r="BQ26" s="396">
        <v>0</v>
      </c>
      <c r="BR26" s="396">
        <v>0</v>
      </c>
      <c r="BS26" s="396">
        <v>0</v>
      </c>
      <c r="BT26" s="396">
        <v>0</v>
      </c>
      <c r="BU26" s="396">
        <v>0</v>
      </c>
      <c r="BV26" s="396">
        <v>0</v>
      </c>
    </row>
    <row r="27" spans="2:74" x14ac:dyDescent="0.2">
      <c r="B27" s="207" t="s">
        <v>543</v>
      </c>
      <c r="C27" s="396">
        <v>1</v>
      </c>
      <c r="AO27" s="207" t="s">
        <v>543</v>
      </c>
      <c r="AP27" s="396">
        <v>0</v>
      </c>
      <c r="AQ27" s="396">
        <v>0</v>
      </c>
      <c r="AR27" s="396">
        <v>0</v>
      </c>
      <c r="AS27" s="396">
        <v>0</v>
      </c>
      <c r="AT27" s="396">
        <v>0</v>
      </c>
      <c r="AU27" s="396">
        <v>0</v>
      </c>
      <c r="AV27" s="396">
        <v>0</v>
      </c>
      <c r="AW27" s="396">
        <v>0</v>
      </c>
      <c r="AX27" s="396">
        <v>0</v>
      </c>
      <c r="AY27" s="396">
        <v>0</v>
      </c>
      <c r="AZ27" s="396">
        <v>0</v>
      </c>
      <c r="BA27" s="396">
        <v>0</v>
      </c>
      <c r="BB27" s="396">
        <v>0</v>
      </c>
      <c r="BC27" s="396">
        <v>0</v>
      </c>
      <c r="BH27" s="207" t="s">
        <v>543</v>
      </c>
      <c r="BI27" s="396">
        <v>0</v>
      </c>
      <c r="BJ27" s="396">
        <v>0</v>
      </c>
      <c r="BK27" s="396">
        <v>0</v>
      </c>
      <c r="BL27" s="396">
        <v>0</v>
      </c>
      <c r="BM27" s="396">
        <v>0</v>
      </c>
      <c r="BN27" s="396">
        <v>0</v>
      </c>
      <c r="BO27" s="396">
        <v>0</v>
      </c>
      <c r="BP27" s="396">
        <v>0</v>
      </c>
      <c r="BQ27" s="396">
        <v>0</v>
      </c>
      <c r="BR27" s="396">
        <v>0</v>
      </c>
      <c r="BS27" s="396">
        <v>0</v>
      </c>
      <c r="BT27" s="396">
        <v>0</v>
      </c>
      <c r="BU27" s="396">
        <v>0</v>
      </c>
      <c r="BV27" s="396">
        <v>0</v>
      </c>
    </row>
    <row r="28" spans="2:74" ht="16" x14ac:dyDescent="0.2">
      <c r="B28" s="254" t="s">
        <v>545</v>
      </c>
      <c r="C28" s="396">
        <v>1</v>
      </c>
      <c r="AO28" s="254" t="s">
        <v>545</v>
      </c>
      <c r="AP28" s="396">
        <v>0</v>
      </c>
      <c r="AQ28" s="396">
        <v>0</v>
      </c>
      <c r="AR28" s="396">
        <v>0</v>
      </c>
      <c r="AS28" s="396">
        <v>0</v>
      </c>
      <c r="AT28" s="396">
        <v>0</v>
      </c>
      <c r="AU28" s="396">
        <v>0</v>
      </c>
      <c r="AV28" s="396">
        <v>0</v>
      </c>
      <c r="AW28" s="396">
        <v>0</v>
      </c>
      <c r="AX28" s="396">
        <v>0</v>
      </c>
      <c r="AY28" s="396">
        <v>0</v>
      </c>
      <c r="AZ28" s="396">
        <v>0</v>
      </c>
      <c r="BA28" s="396">
        <v>0</v>
      </c>
      <c r="BB28" s="396">
        <v>0</v>
      </c>
      <c r="BC28" s="396">
        <v>0</v>
      </c>
      <c r="BH28" s="254" t="s">
        <v>545</v>
      </c>
      <c r="BI28" s="396">
        <v>0</v>
      </c>
      <c r="BJ28" s="396">
        <v>0</v>
      </c>
      <c r="BK28" s="396">
        <v>0</v>
      </c>
      <c r="BL28" s="396">
        <v>0</v>
      </c>
      <c r="BM28" s="396">
        <v>0</v>
      </c>
      <c r="BN28" s="396">
        <v>0</v>
      </c>
      <c r="BO28" s="396">
        <v>0</v>
      </c>
      <c r="BP28" s="396">
        <v>0</v>
      </c>
      <c r="BQ28" s="396">
        <v>0</v>
      </c>
      <c r="BR28" s="396">
        <v>0</v>
      </c>
      <c r="BS28" s="396">
        <v>0</v>
      </c>
      <c r="BT28" s="396">
        <v>0</v>
      </c>
      <c r="BU28" s="396">
        <v>0</v>
      </c>
      <c r="BV28" s="396">
        <v>0</v>
      </c>
    </row>
    <row r="29" spans="2:74" x14ac:dyDescent="0.2">
      <c r="B29" s="207" t="s">
        <v>544</v>
      </c>
      <c r="C29" s="396">
        <v>1</v>
      </c>
      <c r="AO29" s="207" t="s">
        <v>544</v>
      </c>
      <c r="AP29" s="396">
        <v>0</v>
      </c>
      <c r="AQ29" s="396">
        <v>0</v>
      </c>
      <c r="AR29" s="396">
        <v>0</v>
      </c>
      <c r="AS29" s="396">
        <v>0</v>
      </c>
      <c r="AT29" s="396">
        <v>0</v>
      </c>
      <c r="AU29" s="396">
        <v>0</v>
      </c>
      <c r="AV29" s="396">
        <v>0</v>
      </c>
      <c r="AW29" s="396">
        <v>0</v>
      </c>
      <c r="AX29" s="396">
        <v>0</v>
      </c>
      <c r="AY29" s="396">
        <v>0</v>
      </c>
      <c r="AZ29" s="396">
        <v>0</v>
      </c>
      <c r="BA29" s="396">
        <v>0</v>
      </c>
      <c r="BB29" s="396">
        <v>0</v>
      </c>
      <c r="BC29" s="396">
        <v>0</v>
      </c>
      <c r="BH29" s="207" t="s">
        <v>544</v>
      </c>
      <c r="BI29" s="396">
        <v>0</v>
      </c>
      <c r="BJ29" s="396">
        <v>0</v>
      </c>
      <c r="BK29" s="396">
        <v>0</v>
      </c>
      <c r="BL29" s="396">
        <v>0</v>
      </c>
      <c r="BM29" s="396">
        <v>0</v>
      </c>
      <c r="BN29" s="396">
        <v>0</v>
      </c>
      <c r="BO29" s="396">
        <v>0</v>
      </c>
      <c r="BP29" s="396">
        <v>0</v>
      </c>
      <c r="BQ29" s="396">
        <v>0</v>
      </c>
      <c r="BR29" s="396">
        <v>0</v>
      </c>
      <c r="BS29" s="396">
        <v>0</v>
      </c>
      <c r="BT29" s="396">
        <v>0</v>
      </c>
      <c r="BU29" s="396">
        <v>0</v>
      </c>
      <c r="BV29" s="396">
        <v>0</v>
      </c>
    </row>
    <row r="30" spans="2:74" x14ac:dyDescent="0.2">
      <c r="B30" s="205" t="s">
        <v>546</v>
      </c>
      <c r="C30" s="396">
        <v>1</v>
      </c>
      <c r="AO30" s="205" t="s">
        <v>546</v>
      </c>
      <c r="AP30" s="396">
        <v>0</v>
      </c>
      <c r="AQ30" s="396">
        <v>0</v>
      </c>
      <c r="AR30" s="396">
        <v>0</v>
      </c>
      <c r="AS30" s="396">
        <v>0</v>
      </c>
      <c r="AT30" s="396">
        <v>0</v>
      </c>
      <c r="AU30" s="396">
        <v>0</v>
      </c>
      <c r="AV30" s="396">
        <v>0</v>
      </c>
      <c r="AW30" s="396">
        <v>0</v>
      </c>
      <c r="AX30" s="396">
        <v>0</v>
      </c>
      <c r="AY30" s="396">
        <v>0</v>
      </c>
      <c r="AZ30" s="396">
        <v>0</v>
      </c>
      <c r="BA30" s="396">
        <v>0</v>
      </c>
      <c r="BB30" s="396">
        <v>0</v>
      </c>
      <c r="BC30" s="396">
        <v>0</v>
      </c>
      <c r="BH30" s="205" t="s">
        <v>546</v>
      </c>
      <c r="BI30" s="396">
        <v>0</v>
      </c>
      <c r="BJ30" s="396">
        <v>0</v>
      </c>
      <c r="BK30" s="396">
        <v>0</v>
      </c>
      <c r="BL30" s="396">
        <v>0</v>
      </c>
      <c r="BM30" s="396">
        <v>0</v>
      </c>
      <c r="BN30" s="396">
        <v>0</v>
      </c>
      <c r="BO30" s="396">
        <v>0</v>
      </c>
      <c r="BP30" s="396">
        <v>0</v>
      </c>
      <c r="BQ30" s="396">
        <v>0</v>
      </c>
      <c r="BR30" s="396">
        <v>0</v>
      </c>
      <c r="BS30" s="396">
        <v>0</v>
      </c>
      <c r="BT30" s="396">
        <v>0</v>
      </c>
      <c r="BU30" s="396">
        <v>0</v>
      </c>
      <c r="BV30" s="396">
        <v>0</v>
      </c>
    </row>
    <row r="31" spans="2:74" x14ac:dyDescent="0.2">
      <c r="B31" s="207" t="s">
        <v>541</v>
      </c>
      <c r="C31" s="396">
        <v>1</v>
      </c>
      <c r="AO31" s="207" t="s">
        <v>541</v>
      </c>
      <c r="AP31" s="396">
        <v>0</v>
      </c>
      <c r="AQ31" s="396">
        <v>0</v>
      </c>
      <c r="AR31" s="396">
        <v>0</v>
      </c>
      <c r="AS31" s="396">
        <v>0</v>
      </c>
      <c r="AT31" s="396">
        <v>0</v>
      </c>
      <c r="AU31" s="396">
        <v>0</v>
      </c>
      <c r="AV31" s="396">
        <v>0</v>
      </c>
      <c r="AW31" s="396">
        <v>0</v>
      </c>
      <c r="AX31" s="396">
        <v>0</v>
      </c>
      <c r="AY31" s="396">
        <v>0</v>
      </c>
      <c r="AZ31" s="396">
        <v>0</v>
      </c>
      <c r="BA31" s="396">
        <v>0</v>
      </c>
      <c r="BB31" s="396">
        <v>0</v>
      </c>
      <c r="BC31" s="396">
        <v>0</v>
      </c>
      <c r="BH31" s="207" t="s">
        <v>541</v>
      </c>
      <c r="BI31" s="396">
        <v>0</v>
      </c>
      <c r="BJ31" s="396">
        <v>0</v>
      </c>
      <c r="BK31" s="396">
        <v>0</v>
      </c>
      <c r="BL31" s="396">
        <v>0</v>
      </c>
      <c r="BM31" s="396">
        <v>0</v>
      </c>
      <c r="BN31" s="396">
        <v>0</v>
      </c>
      <c r="BO31" s="396">
        <v>0</v>
      </c>
      <c r="BP31" s="396">
        <v>0</v>
      </c>
      <c r="BQ31" s="396">
        <v>0</v>
      </c>
      <c r="BR31" s="396">
        <v>0</v>
      </c>
      <c r="BS31" s="396">
        <v>0</v>
      </c>
      <c r="BT31" s="396">
        <v>0</v>
      </c>
      <c r="BU31" s="396">
        <v>0</v>
      </c>
      <c r="BV31" s="396">
        <v>0</v>
      </c>
    </row>
    <row r="32" spans="2:74" x14ac:dyDescent="0.2">
      <c r="B32" s="207" t="s">
        <v>571</v>
      </c>
      <c r="C32" s="396">
        <v>1</v>
      </c>
      <c r="AO32" s="207" t="s">
        <v>571</v>
      </c>
      <c r="AP32" s="396">
        <v>0</v>
      </c>
      <c r="AQ32" s="396">
        <v>0</v>
      </c>
      <c r="AR32" s="396">
        <v>0</v>
      </c>
      <c r="AS32" s="396">
        <v>0</v>
      </c>
      <c r="AT32" s="396">
        <v>0</v>
      </c>
      <c r="AU32" s="396">
        <v>0</v>
      </c>
      <c r="AV32" s="396">
        <v>0</v>
      </c>
      <c r="AW32" s="396">
        <v>0</v>
      </c>
      <c r="AX32" s="396">
        <v>0</v>
      </c>
      <c r="AY32" s="396">
        <v>0</v>
      </c>
      <c r="AZ32" s="396">
        <v>0</v>
      </c>
      <c r="BA32" s="396">
        <v>0</v>
      </c>
      <c r="BB32" s="396">
        <v>0</v>
      </c>
      <c r="BC32" s="396">
        <v>0</v>
      </c>
      <c r="BH32" s="207" t="s">
        <v>571</v>
      </c>
      <c r="BI32" s="396">
        <v>0</v>
      </c>
      <c r="BJ32" s="396">
        <v>0</v>
      </c>
      <c r="BK32" s="396">
        <v>0</v>
      </c>
      <c r="BL32" s="396">
        <v>0</v>
      </c>
      <c r="BM32" s="396">
        <v>0</v>
      </c>
      <c r="BN32" s="396">
        <v>0</v>
      </c>
      <c r="BO32" s="396">
        <v>0</v>
      </c>
      <c r="BP32" s="396">
        <v>0</v>
      </c>
      <c r="BQ32" s="396">
        <v>0</v>
      </c>
      <c r="BR32" s="396">
        <v>0</v>
      </c>
      <c r="BS32" s="396">
        <v>0</v>
      </c>
      <c r="BT32" s="396">
        <v>0</v>
      </c>
      <c r="BU32" s="396">
        <v>0</v>
      </c>
      <c r="BV32" s="396">
        <v>0</v>
      </c>
    </row>
    <row r="33" spans="2:74" x14ac:dyDescent="0.2">
      <c r="B33" s="207" t="s">
        <v>572</v>
      </c>
      <c r="C33" s="396">
        <v>1</v>
      </c>
      <c r="AO33" s="207" t="s">
        <v>572</v>
      </c>
      <c r="AP33" s="396">
        <v>0</v>
      </c>
      <c r="AQ33" s="396">
        <v>0</v>
      </c>
      <c r="AR33" s="396">
        <v>0</v>
      </c>
      <c r="AS33" s="396">
        <v>0</v>
      </c>
      <c r="AT33" s="396">
        <v>0</v>
      </c>
      <c r="AU33" s="396">
        <v>0</v>
      </c>
      <c r="AV33" s="396">
        <v>0</v>
      </c>
      <c r="AW33" s="396">
        <v>0</v>
      </c>
      <c r="AX33" s="396">
        <v>0</v>
      </c>
      <c r="AY33" s="396">
        <v>0</v>
      </c>
      <c r="AZ33" s="396">
        <v>0</v>
      </c>
      <c r="BA33" s="396">
        <v>0</v>
      </c>
      <c r="BB33" s="396">
        <v>0</v>
      </c>
      <c r="BC33" s="396">
        <v>0</v>
      </c>
      <c r="BH33" s="207" t="s">
        <v>572</v>
      </c>
      <c r="BI33" s="396">
        <v>0</v>
      </c>
      <c r="BJ33" s="396">
        <v>0</v>
      </c>
      <c r="BK33" s="396">
        <v>0</v>
      </c>
      <c r="BL33" s="396">
        <v>0</v>
      </c>
      <c r="BM33" s="396">
        <v>0</v>
      </c>
      <c r="BN33" s="396">
        <v>0</v>
      </c>
      <c r="BO33" s="396">
        <v>0</v>
      </c>
      <c r="BP33" s="396">
        <v>0</v>
      </c>
      <c r="BQ33" s="396">
        <v>0</v>
      </c>
      <c r="BR33" s="396">
        <v>0</v>
      </c>
      <c r="BS33" s="396">
        <v>0</v>
      </c>
      <c r="BT33" s="396">
        <v>0</v>
      </c>
      <c r="BU33" s="396">
        <v>0</v>
      </c>
      <c r="BV33" s="396">
        <v>0</v>
      </c>
    </row>
    <row r="34" spans="2:74" x14ac:dyDescent="0.2">
      <c r="B34" s="207" t="s">
        <v>573</v>
      </c>
      <c r="C34" s="396">
        <v>1</v>
      </c>
      <c r="AO34" s="207" t="s">
        <v>573</v>
      </c>
      <c r="AP34" s="396">
        <v>0</v>
      </c>
      <c r="AQ34" s="396">
        <v>0</v>
      </c>
      <c r="AR34" s="396">
        <v>0</v>
      </c>
      <c r="AS34" s="396">
        <v>0</v>
      </c>
      <c r="AT34" s="396">
        <v>0</v>
      </c>
      <c r="AU34" s="396">
        <v>0</v>
      </c>
      <c r="AV34" s="396">
        <v>0</v>
      </c>
      <c r="AW34" s="396">
        <v>0</v>
      </c>
      <c r="AX34" s="396">
        <v>0</v>
      </c>
      <c r="AY34" s="396">
        <v>0</v>
      </c>
      <c r="AZ34" s="396">
        <v>0</v>
      </c>
      <c r="BA34" s="396">
        <v>0</v>
      </c>
      <c r="BB34" s="396">
        <v>0</v>
      </c>
      <c r="BC34" s="396">
        <v>0</v>
      </c>
      <c r="BH34" s="207" t="s">
        <v>573</v>
      </c>
      <c r="BI34" s="396">
        <v>0</v>
      </c>
      <c r="BJ34" s="396">
        <v>0</v>
      </c>
      <c r="BK34" s="396">
        <v>0</v>
      </c>
      <c r="BL34" s="396">
        <v>0</v>
      </c>
      <c r="BM34" s="396">
        <v>0</v>
      </c>
      <c r="BN34" s="396">
        <v>0</v>
      </c>
      <c r="BO34" s="396">
        <v>0</v>
      </c>
      <c r="BP34" s="396">
        <v>0</v>
      </c>
      <c r="BQ34" s="396">
        <v>0</v>
      </c>
      <c r="BR34" s="396">
        <v>0</v>
      </c>
      <c r="BS34" s="396">
        <v>0</v>
      </c>
      <c r="BT34" s="396">
        <v>0</v>
      </c>
      <c r="BU34" s="396">
        <v>0</v>
      </c>
      <c r="BV34" s="396">
        <v>0</v>
      </c>
    </row>
    <row r="35" spans="2:74" x14ac:dyDescent="0.2">
      <c r="B35" s="207" t="s">
        <v>584</v>
      </c>
      <c r="C35" s="396">
        <v>1</v>
      </c>
      <c r="AO35" s="207" t="s">
        <v>584</v>
      </c>
      <c r="AP35" s="396">
        <v>0</v>
      </c>
      <c r="AQ35" s="396">
        <v>0</v>
      </c>
      <c r="AR35" s="396">
        <v>0</v>
      </c>
      <c r="AS35" s="396">
        <v>0</v>
      </c>
      <c r="AT35" s="396">
        <v>0</v>
      </c>
      <c r="AU35" s="396">
        <v>0</v>
      </c>
      <c r="AV35" s="396">
        <v>0</v>
      </c>
      <c r="AW35" s="396">
        <v>0</v>
      </c>
      <c r="AX35" s="396">
        <v>0</v>
      </c>
      <c r="AY35" s="396">
        <v>0</v>
      </c>
      <c r="AZ35" s="396">
        <v>0</v>
      </c>
      <c r="BA35" s="396">
        <v>0</v>
      </c>
      <c r="BB35" s="396">
        <v>0</v>
      </c>
      <c r="BC35" s="396">
        <v>0</v>
      </c>
      <c r="BH35" s="207" t="s">
        <v>584</v>
      </c>
      <c r="BI35" s="396">
        <v>0</v>
      </c>
      <c r="BJ35" s="396">
        <v>0</v>
      </c>
      <c r="BK35" s="396">
        <v>0</v>
      </c>
      <c r="BL35" s="396">
        <v>0</v>
      </c>
      <c r="BM35" s="396">
        <v>0</v>
      </c>
      <c r="BN35" s="396">
        <v>0</v>
      </c>
      <c r="BO35" s="396">
        <v>0</v>
      </c>
      <c r="BP35" s="396">
        <v>0</v>
      </c>
      <c r="BQ35" s="396">
        <v>0</v>
      </c>
      <c r="BR35" s="396">
        <v>0</v>
      </c>
      <c r="BS35" s="396">
        <v>0</v>
      </c>
      <c r="BT35" s="396">
        <v>0</v>
      </c>
      <c r="BU35" s="396">
        <v>0</v>
      </c>
      <c r="BV35" s="396">
        <v>0</v>
      </c>
    </row>
    <row r="36" spans="2:74" x14ac:dyDescent="0.2">
      <c r="C36" s="172" t="s">
        <v>603</v>
      </c>
      <c r="AO36" s="207"/>
      <c r="AP36" s="359" t="s">
        <v>600</v>
      </c>
      <c r="AQ36" s="359"/>
      <c r="AR36" s="359"/>
      <c r="AS36" s="359"/>
      <c r="AT36" s="359"/>
      <c r="AU36" s="359"/>
      <c r="AV36" s="359"/>
      <c r="AW36" s="359"/>
      <c r="AX36" s="359"/>
      <c r="AY36" s="359"/>
      <c r="AZ36" s="359"/>
      <c r="BA36" s="359"/>
      <c r="BB36" s="359"/>
      <c r="BC36" s="359"/>
      <c r="BH36" s="207"/>
      <c r="BI36" s="359" t="s">
        <v>601</v>
      </c>
      <c r="BJ36" s="359"/>
      <c r="BK36" s="359"/>
      <c r="BL36" s="359"/>
      <c r="BM36" s="359"/>
      <c r="BN36" s="359"/>
      <c r="BO36" s="359"/>
      <c r="BP36" s="359"/>
      <c r="BQ36" s="359"/>
      <c r="BR36" s="359"/>
      <c r="BS36" s="359"/>
      <c r="BT36" s="359"/>
      <c r="BU36" s="359"/>
      <c r="BV36" s="359"/>
    </row>
    <row r="37" spans="2:74" x14ac:dyDescent="0.2">
      <c r="AO37" s="207"/>
      <c r="AP37" s="397"/>
      <c r="AQ37" s="397"/>
      <c r="AR37" s="397"/>
      <c r="AS37" s="397"/>
      <c r="AT37" s="397"/>
      <c r="AU37" s="397"/>
      <c r="AV37" s="397"/>
      <c r="AW37" s="397"/>
      <c r="AX37" s="397"/>
      <c r="AY37" s="397"/>
      <c r="AZ37" s="397"/>
      <c r="BA37" s="397"/>
      <c r="BB37" s="397"/>
      <c r="BC37" s="397"/>
      <c r="BD37" s="397"/>
      <c r="BE37" s="397"/>
      <c r="BF37" s="397"/>
      <c r="BG37" s="397"/>
      <c r="BH37" s="398"/>
      <c r="BI37" s="397"/>
      <c r="BJ37" s="397"/>
      <c r="BK37" s="397"/>
      <c r="BL37" s="397"/>
      <c r="BM37" s="397"/>
      <c r="BN37" s="397"/>
      <c r="BO37" s="397"/>
      <c r="BP37" s="397"/>
      <c r="BQ37" s="397"/>
      <c r="BR37" s="397"/>
      <c r="BS37" s="397"/>
      <c r="BT37" s="397"/>
      <c r="BU37" s="397"/>
      <c r="BV37" s="397"/>
    </row>
    <row r="38" spans="2:74" x14ac:dyDescent="0.2">
      <c r="AO38" s="207"/>
    </row>
    <row r="39" spans="2:74" ht="112" x14ac:dyDescent="0.2">
      <c r="AO39" s="261"/>
      <c r="AP39" s="208" t="s">
        <v>418</v>
      </c>
      <c r="AQ39" s="208" t="s">
        <v>419</v>
      </c>
      <c r="AR39" s="208" t="s">
        <v>420</v>
      </c>
      <c r="AS39" s="208" t="s">
        <v>582</v>
      </c>
      <c r="AT39" s="208" t="s">
        <v>561</v>
      </c>
      <c r="AU39" s="208" t="s">
        <v>560</v>
      </c>
      <c r="AV39" s="208" t="s">
        <v>446</v>
      </c>
      <c r="AW39" s="208" t="s">
        <v>443</v>
      </c>
      <c r="AX39" s="208" t="s">
        <v>465</v>
      </c>
      <c r="AY39" s="208" t="s">
        <v>444</v>
      </c>
      <c r="AZ39" s="208" t="s">
        <v>439</v>
      </c>
      <c r="BA39" s="208" t="s">
        <v>461</v>
      </c>
      <c r="BB39" s="208" t="s">
        <v>81</v>
      </c>
      <c r="BC39" s="208" t="s">
        <v>430</v>
      </c>
    </row>
    <row r="40" spans="2:74" x14ac:dyDescent="0.2">
      <c r="AO40" s="205" t="s">
        <v>426</v>
      </c>
      <c r="AP40" s="396">
        <f>AP79</f>
        <v>1011.7674660019052</v>
      </c>
      <c r="AQ40" s="396">
        <f t="shared" ref="AQ40:BC40" si="0">AQ79</f>
        <v>0</v>
      </c>
      <c r="AR40" s="396">
        <f t="shared" si="0"/>
        <v>0</v>
      </c>
      <c r="AS40" s="396">
        <f t="shared" si="0"/>
        <v>0</v>
      </c>
      <c r="AT40" s="396">
        <f t="shared" si="0"/>
        <v>0</v>
      </c>
      <c r="AU40" s="396">
        <f t="shared" si="0"/>
        <v>0</v>
      </c>
      <c r="AV40" s="396">
        <f t="shared" si="0"/>
        <v>0</v>
      </c>
      <c r="AW40" s="396">
        <f t="shared" si="0"/>
        <v>0</v>
      </c>
      <c r="AX40" s="396">
        <f t="shared" si="0"/>
        <v>0</v>
      </c>
      <c r="AY40" s="396">
        <f t="shared" si="0"/>
        <v>0</v>
      </c>
      <c r="AZ40" s="396">
        <f t="shared" si="0"/>
        <v>0</v>
      </c>
      <c r="BA40" s="396">
        <f t="shared" si="0"/>
        <v>0</v>
      </c>
      <c r="BB40" s="396">
        <f t="shared" si="0"/>
        <v>0</v>
      </c>
      <c r="BC40" s="396">
        <f t="shared" si="0"/>
        <v>0</v>
      </c>
    </row>
    <row r="41" spans="2:74" x14ac:dyDescent="0.2">
      <c r="AO41" s="205" t="s">
        <v>428</v>
      </c>
      <c r="AP41" s="396">
        <f t="shared" ref="AP41:BC41" si="1">AP80</f>
        <v>0</v>
      </c>
      <c r="AQ41" s="396">
        <f t="shared" si="1"/>
        <v>208.55560337725498</v>
      </c>
      <c r="AR41" s="396">
        <f t="shared" si="1"/>
        <v>0</v>
      </c>
      <c r="AS41" s="396">
        <f t="shared" si="1"/>
        <v>0</v>
      </c>
      <c r="AT41" s="396">
        <f t="shared" si="1"/>
        <v>0</v>
      </c>
      <c r="AU41" s="396">
        <f t="shared" si="1"/>
        <v>0</v>
      </c>
      <c r="AV41" s="396">
        <f t="shared" si="1"/>
        <v>0</v>
      </c>
      <c r="AW41" s="396">
        <f t="shared" si="1"/>
        <v>0</v>
      </c>
      <c r="AX41" s="396">
        <f t="shared" si="1"/>
        <v>0</v>
      </c>
      <c r="AY41" s="396">
        <f t="shared" si="1"/>
        <v>0</v>
      </c>
      <c r="AZ41" s="396">
        <f t="shared" si="1"/>
        <v>0</v>
      </c>
      <c r="BA41" s="396">
        <f t="shared" si="1"/>
        <v>0</v>
      </c>
      <c r="BB41" s="396">
        <f t="shared" si="1"/>
        <v>0</v>
      </c>
      <c r="BC41" s="396">
        <f t="shared" si="1"/>
        <v>0</v>
      </c>
    </row>
    <row r="42" spans="2:74" x14ac:dyDescent="0.2">
      <c r="AO42" s="205" t="s">
        <v>429</v>
      </c>
      <c r="AP42" s="396">
        <f t="shared" ref="AP42:BC42" si="2">AP81</f>
        <v>0</v>
      </c>
      <c r="AQ42" s="396">
        <f t="shared" si="2"/>
        <v>0</v>
      </c>
      <c r="AR42" s="396">
        <f t="shared" si="2"/>
        <v>286.88405520213911</v>
      </c>
      <c r="AS42" s="396">
        <f t="shared" si="2"/>
        <v>0</v>
      </c>
      <c r="AT42" s="396">
        <f t="shared" si="2"/>
        <v>0</v>
      </c>
      <c r="AU42" s="396">
        <f t="shared" si="2"/>
        <v>0</v>
      </c>
      <c r="AV42" s="396">
        <f t="shared" si="2"/>
        <v>0</v>
      </c>
      <c r="AW42" s="396">
        <f t="shared" si="2"/>
        <v>0</v>
      </c>
      <c r="AX42" s="396">
        <f t="shared" si="2"/>
        <v>0</v>
      </c>
      <c r="AY42" s="396">
        <f t="shared" si="2"/>
        <v>0</v>
      </c>
      <c r="AZ42" s="396">
        <f t="shared" si="2"/>
        <v>0</v>
      </c>
      <c r="BA42" s="396">
        <f t="shared" si="2"/>
        <v>0</v>
      </c>
      <c r="BB42" s="396">
        <f t="shared" si="2"/>
        <v>0</v>
      </c>
      <c r="BC42" s="396">
        <f t="shared" si="2"/>
        <v>0</v>
      </c>
    </row>
    <row r="43" spans="2:74" x14ac:dyDescent="0.2">
      <c r="AO43" s="205" t="s">
        <v>450</v>
      </c>
      <c r="AP43" s="396">
        <f t="shared" ref="AP43:BC43" si="3">AP82</f>
        <v>29.869958467081446</v>
      </c>
      <c r="AQ43" s="396">
        <f t="shared" si="3"/>
        <v>8.9625684461364291E-2</v>
      </c>
      <c r="AR43" s="396">
        <f t="shared" si="3"/>
        <v>7.104790060854917</v>
      </c>
      <c r="AS43" s="396">
        <f t="shared" si="3"/>
        <v>0</v>
      </c>
      <c r="AT43" s="396">
        <f t="shared" si="3"/>
        <v>0</v>
      </c>
      <c r="AU43" s="396">
        <f t="shared" si="3"/>
        <v>0</v>
      </c>
      <c r="AV43" s="396">
        <f t="shared" si="3"/>
        <v>0</v>
      </c>
      <c r="AW43" s="396">
        <f t="shared" si="3"/>
        <v>0</v>
      </c>
      <c r="AX43" s="396">
        <f t="shared" si="3"/>
        <v>0</v>
      </c>
      <c r="AY43" s="396">
        <f t="shared" si="3"/>
        <v>287.74918282404701</v>
      </c>
      <c r="AZ43" s="396">
        <f t="shared" si="3"/>
        <v>556.96479760636817</v>
      </c>
      <c r="BA43" s="396">
        <f t="shared" si="3"/>
        <v>0</v>
      </c>
      <c r="BB43" s="396">
        <f t="shared" si="3"/>
        <v>0</v>
      </c>
      <c r="BC43" s="396">
        <f t="shared" si="3"/>
        <v>2870.841834451006</v>
      </c>
    </row>
    <row r="44" spans="2:74" x14ac:dyDescent="0.2">
      <c r="AO44" s="205" t="s">
        <v>485</v>
      </c>
      <c r="AP44" s="396">
        <f t="shared" ref="AP44:BC44" si="4">AP83</f>
        <v>0</v>
      </c>
      <c r="AQ44" s="396">
        <f t="shared" si="4"/>
        <v>0</v>
      </c>
      <c r="AR44" s="396">
        <f t="shared" si="4"/>
        <v>0</v>
      </c>
      <c r="AS44" s="396">
        <f t="shared" si="4"/>
        <v>0</v>
      </c>
      <c r="AT44" s="396">
        <f t="shared" si="4"/>
        <v>0</v>
      </c>
      <c r="AU44" s="396">
        <f t="shared" si="4"/>
        <v>0</v>
      </c>
      <c r="AV44" s="396">
        <f t="shared" si="4"/>
        <v>0</v>
      </c>
      <c r="AW44" s="396">
        <f t="shared" si="4"/>
        <v>0</v>
      </c>
      <c r="AX44" s="396">
        <f t="shared" si="4"/>
        <v>0</v>
      </c>
      <c r="AY44" s="396">
        <f t="shared" si="4"/>
        <v>20798.316475388398</v>
      </c>
      <c r="AZ44" s="396">
        <f t="shared" si="4"/>
        <v>16.963528773956838</v>
      </c>
      <c r="BA44" s="396">
        <f t="shared" si="4"/>
        <v>0</v>
      </c>
      <c r="BB44" s="396">
        <f t="shared" si="4"/>
        <v>0</v>
      </c>
      <c r="BC44" s="396">
        <f t="shared" si="4"/>
        <v>44.774669200794314</v>
      </c>
    </row>
    <row r="45" spans="2:74" x14ac:dyDescent="0.2">
      <c r="AO45" s="205" t="s">
        <v>596</v>
      </c>
      <c r="AP45" s="396">
        <f t="shared" ref="AP45:BC45" si="5">AP84</f>
        <v>2.05024783499473</v>
      </c>
      <c r="AQ45" s="396">
        <f t="shared" si="5"/>
        <v>5.6184061187345121E-3</v>
      </c>
      <c r="AR45" s="396">
        <f t="shared" si="5"/>
        <v>0.48766657832528126</v>
      </c>
      <c r="AS45" s="396">
        <f t="shared" si="5"/>
        <v>0</v>
      </c>
      <c r="AT45" s="396">
        <f t="shared" si="5"/>
        <v>0</v>
      </c>
      <c r="AU45" s="396">
        <f t="shared" si="5"/>
        <v>0</v>
      </c>
      <c r="AV45" s="396">
        <f t="shared" si="5"/>
        <v>0</v>
      </c>
      <c r="AW45" s="396">
        <f t="shared" si="5"/>
        <v>0</v>
      </c>
      <c r="AX45" s="396">
        <f t="shared" si="5"/>
        <v>0</v>
      </c>
      <c r="AY45" s="396">
        <f t="shared" si="5"/>
        <v>0</v>
      </c>
      <c r="AZ45" s="396">
        <f t="shared" si="5"/>
        <v>0</v>
      </c>
      <c r="BA45" s="396">
        <f t="shared" si="5"/>
        <v>0</v>
      </c>
      <c r="BB45" s="396">
        <f t="shared" si="5"/>
        <v>0</v>
      </c>
      <c r="BC45" s="396">
        <f t="shared" si="5"/>
        <v>0</v>
      </c>
    </row>
    <row r="46" spans="2:74" x14ac:dyDescent="0.2">
      <c r="AO46" s="205" t="s">
        <v>597</v>
      </c>
      <c r="AP46" s="396">
        <f t="shared" ref="AP46:BC46" si="6">AP85</f>
        <v>0</v>
      </c>
      <c r="AQ46" s="396">
        <f t="shared" si="6"/>
        <v>5.1714158616864253E-4</v>
      </c>
      <c r="AR46" s="396">
        <f t="shared" si="6"/>
        <v>0</v>
      </c>
      <c r="AS46" s="396">
        <f t="shared" si="6"/>
        <v>0</v>
      </c>
      <c r="AT46" s="396">
        <f t="shared" si="6"/>
        <v>0</v>
      </c>
      <c r="AU46" s="396">
        <f t="shared" si="6"/>
        <v>0</v>
      </c>
      <c r="AV46" s="396">
        <f t="shared" si="6"/>
        <v>0</v>
      </c>
      <c r="AW46" s="396">
        <f t="shared" si="6"/>
        <v>0</v>
      </c>
      <c r="AX46" s="396">
        <f t="shared" si="6"/>
        <v>0</v>
      </c>
      <c r="AY46" s="396">
        <f t="shared" si="6"/>
        <v>0</v>
      </c>
      <c r="AZ46" s="396">
        <f t="shared" si="6"/>
        <v>0</v>
      </c>
      <c r="BA46" s="396">
        <f t="shared" si="6"/>
        <v>0</v>
      </c>
      <c r="BB46" s="396">
        <f t="shared" si="6"/>
        <v>0</v>
      </c>
      <c r="BC46" s="396">
        <f t="shared" si="6"/>
        <v>0</v>
      </c>
    </row>
    <row r="47" spans="2:74" x14ac:dyDescent="0.2">
      <c r="AO47" s="205" t="s">
        <v>533</v>
      </c>
      <c r="AP47" s="396">
        <f t="shared" ref="AP47:BC47" si="7">AP86</f>
        <v>0</v>
      </c>
      <c r="AQ47" s="396">
        <f t="shared" si="7"/>
        <v>0</v>
      </c>
      <c r="AR47" s="396">
        <f t="shared" si="7"/>
        <v>0</v>
      </c>
      <c r="AS47" s="396">
        <f t="shared" si="7"/>
        <v>0</v>
      </c>
      <c r="AT47" s="396">
        <f t="shared" si="7"/>
        <v>0</v>
      </c>
      <c r="AU47" s="396">
        <f t="shared" si="7"/>
        <v>0</v>
      </c>
      <c r="AV47" s="396">
        <f t="shared" si="7"/>
        <v>0</v>
      </c>
      <c r="AW47" s="396">
        <f t="shared" si="7"/>
        <v>0</v>
      </c>
      <c r="AX47" s="396">
        <f t="shared" si="7"/>
        <v>0</v>
      </c>
      <c r="AY47" s="396">
        <f t="shared" si="7"/>
        <v>0</v>
      </c>
      <c r="AZ47" s="396">
        <f t="shared" si="7"/>
        <v>0</v>
      </c>
      <c r="BA47" s="396">
        <f t="shared" si="7"/>
        <v>0</v>
      </c>
      <c r="BB47" s="396">
        <f t="shared" si="7"/>
        <v>0</v>
      </c>
      <c r="BC47" s="396">
        <f t="shared" si="7"/>
        <v>4.8979947555174279</v>
      </c>
    </row>
    <row r="48" spans="2:74" x14ac:dyDescent="0.2">
      <c r="AO48" s="205" t="s">
        <v>586</v>
      </c>
      <c r="AP48" s="396">
        <f t="shared" ref="AP48:BC48" si="8">AP87</f>
        <v>0</v>
      </c>
      <c r="AQ48" s="396">
        <f t="shared" si="8"/>
        <v>0</v>
      </c>
      <c r="AR48" s="396">
        <f t="shared" si="8"/>
        <v>0</v>
      </c>
      <c r="AS48" s="396">
        <f t="shared" si="8"/>
        <v>0</v>
      </c>
      <c r="AT48" s="396">
        <f t="shared" si="8"/>
        <v>0</v>
      </c>
      <c r="AU48" s="396">
        <f t="shared" si="8"/>
        <v>0</v>
      </c>
      <c r="AV48" s="396">
        <f t="shared" si="8"/>
        <v>0</v>
      </c>
      <c r="AW48" s="396">
        <f t="shared" si="8"/>
        <v>0</v>
      </c>
      <c r="AX48" s="396">
        <f t="shared" si="8"/>
        <v>0</v>
      </c>
      <c r="AY48" s="396">
        <f t="shared" si="8"/>
        <v>0</v>
      </c>
      <c r="AZ48" s="396">
        <f t="shared" si="8"/>
        <v>0</v>
      </c>
      <c r="BA48" s="396">
        <f t="shared" si="8"/>
        <v>0</v>
      </c>
      <c r="BB48" s="396">
        <f t="shared" si="8"/>
        <v>0</v>
      </c>
      <c r="BC48" s="396">
        <f t="shared" si="8"/>
        <v>0</v>
      </c>
    </row>
    <row r="49" spans="41:55" ht="16" x14ac:dyDescent="0.2">
      <c r="AO49" s="206" t="s">
        <v>568</v>
      </c>
      <c r="AP49" s="396">
        <f t="shared" ref="AP49:BC49" si="9">AP88</f>
        <v>0</v>
      </c>
      <c r="AQ49" s="396">
        <f t="shared" si="9"/>
        <v>0</v>
      </c>
      <c r="AR49" s="396">
        <f t="shared" si="9"/>
        <v>0</v>
      </c>
      <c r="AS49" s="396">
        <f t="shared" si="9"/>
        <v>1011.7674660019052</v>
      </c>
      <c r="AT49" s="396">
        <f t="shared" si="9"/>
        <v>0</v>
      </c>
      <c r="AU49" s="396">
        <f t="shared" si="9"/>
        <v>0</v>
      </c>
      <c r="AV49" s="396">
        <f t="shared" si="9"/>
        <v>0</v>
      </c>
      <c r="AW49" s="396">
        <f t="shared" si="9"/>
        <v>0</v>
      </c>
      <c r="AX49" s="396">
        <f t="shared" si="9"/>
        <v>0</v>
      </c>
      <c r="AY49" s="396">
        <f t="shared" si="9"/>
        <v>0</v>
      </c>
      <c r="AZ49" s="396">
        <f t="shared" si="9"/>
        <v>0</v>
      </c>
      <c r="BA49" s="396">
        <f t="shared" si="9"/>
        <v>0</v>
      </c>
      <c r="BB49" s="396">
        <f t="shared" si="9"/>
        <v>0</v>
      </c>
      <c r="BC49" s="396">
        <f t="shared" si="9"/>
        <v>0</v>
      </c>
    </row>
    <row r="50" spans="41:55" x14ac:dyDescent="0.2">
      <c r="AO50" s="205" t="s">
        <v>531</v>
      </c>
      <c r="AP50" s="396">
        <f t="shared" ref="AP50:BC50" si="10">AP89</f>
        <v>0</v>
      </c>
      <c r="AQ50" s="396">
        <f t="shared" si="10"/>
        <v>0</v>
      </c>
      <c r="AR50" s="396">
        <f t="shared" si="10"/>
        <v>0</v>
      </c>
      <c r="AS50" s="396">
        <f t="shared" si="10"/>
        <v>0</v>
      </c>
      <c r="AT50" s="396">
        <f t="shared" si="10"/>
        <v>0</v>
      </c>
      <c r="AU50" s="396">
        <f t="shared" si="10"/>
        <v>0</v>
      </c>
      <c r="AV50" s="396">
        <f t="shared" si="10"/>
        <v>0</v>
      </c>
      <c r="AW50" s="396">
        <f t="shared" si="10"/>
        <v>0</v>
      </c>
      <c r="AX50" s="396">
        <f t="shared" si="10"/>
        <v>0</v>
      </c>
      <c r="AY50" s="396">
        <f t="shared" si="10"/>
        <v>0</v>
      </c>
      <c r="AZ50" s="396">
        <f t="shared" si="10"/>
        <v>0</v>
      </c>
      <c r="BA50" s="396">
        <f t="shared" si="10"/>
        <v>0</v>
      </c>
      <c r="BB50" s="396">
        <f t="shared" si="10"/>
        <v>0</v>
      </c>
      <c r="BC50" s="396">
        <f t="shared" si="10"/>
        <v>0</v>
      </c>
    </row>
    <row r="51" spans="41:55" ht="16" x14ac:dyDescent="0.2">
      <c r="AO51" s="206" t="s">
        <v>534</v>
      </c>
      <c r="AP51" s="396">
        <f t="shared" ref="AP51:BC51" si="11">AP90</f>
        <v>0</v>
      </c>
      <c r="AQ51" s="396">
        <f t="shared" si="11"/>
        <v>0</v>
      </c>
      <c r="AR51" s="396">
        <f t="shared" si="11"/>
        <v>0</v>
      </c>
      <c r="AS51" s="396">
        <f t="shared" si="11"/>
        <v>0</v>
      </c>
      <c r="AT51" s="396">
        <f t="shared" si="11"/>
        <v>208.55560337725498</v>
      </c>
      <c r="AU51" s="396">
        <f t="shared" si="11"/>
        <v>0</v>
      </c>
      <c r="AV51" s="396">
        <f t="shared" si="11"/>
        <v>0</v>
      </c>
      <c r="AW51" s="396">
        <f t="shared" si="11"/>
        <v>0</v>
      </c>
      <c r="AX51" s="396">
        <f t="shared" si="11"/>
        <v>0</v>
      </c>
      <c r="AY51" s="396">
        <f t="shared" si="11"/>
        <v>0</v>
      </c>
      <c r="AZ51" s="396">
        <f t="shared" si="11"/>
        <v>0</v>
      </c>
      <c r="BA51" s="396">
        <f t="shared" si="11"/>
        <v>0</v>
      </c>
      <c r="BB51" s="396">
        <f t="shared" si="11"/>
        <v>0</v>
      </c>
      <c r="BC51" s="396">
        <f t="shared" si="11"/>
        <v>0</v>
      </c>
    </row>
    <row r="52" spans="41:55" x14ac:dyDescent="0.2">
      <c r="AO52" s="205" t="s">
        <v>563</v>
      </c>
      <c r="AP52" s="396">
        <f t="shared" ref="AP52:BC52" si="12">AP91</f>
        <v>0</v>
      </c>
      <c r="AQ52" s="396">
        <f t="shared" si="12"/>
        <v>0</v>
      </c>
      <c r="AR52" s="396">
        <f t="shared" si="12"/>
        <v>0</v>
      </c>
      <c r="AS52" s="396">
        <f t="shared" si="12"/>
        <v>0</v>
      </c>
      <c r="AT52" s="396">
        <f t="shared" si="12"/>
        <v>0</v>
      </c>
      <c r="AU52" s="396">
        <f t="shared" si="12"/>
        <v>0</v>
      </c>
      <c r="AV52" s="396">
        <f t="shared" si="12"/>
        <v>0</v>
      </c>
      <c r="AW52" s="396">
        <f t="shared" si="12"/>
        <v>0</v>
      </c>
      <c r="AX52" s="396">
        <f t="shared" si="12"/>
        <v>0</v>
      </c>
      <c r="AY52" s="396">
        <f t="shared" si="12"/>
        <v>0</v>
      </c>
      <c r="AZ52" s="396">
        <f t="shared" si="12"/>
        <v>0</v>
      </c>
      <c r="BA52" s="396">
        <f t="shared" si="12"/>
        <v>0</v>
      </c>
      <c r="BB52" s="396">
        <f t="shared" si="12"/>
        <v>0</v>
      </c>
      <c r="BC52" s="396">
        <f t="shared" si="12"/>
        <v>0</v>
      </c>
    </row>
    <row r="53" spans="41:55" x14ac:dyDescent="0.2">
      <c r="AO53" s="207" t="s">
        <v>555</v>
      </c>
      <c r="AP53" s="396">
        <f t="shared" ref="AP53:BC53" si="13">AP92</f>
        <v>0</v>
      </c>
      <c r="AQ53" s="396">
        <f t="shared" si="13"/>
        <v>0</v>
      </c>
      <c r="AR53" s="396">
        <f t="shared" si="13"/>
        <v>0</v>
      </c>
      <c r="AS53" s="396">
        <f t="shared" si="13"/>
        <v>0</v>
      </c>
      <c r="AT53" s="396">
        <f t="shared" si="13"/>
        <v>0</v>
      </c>
      <c r="AU53" s="396">
        <f t="shared" si="13"/>
        <v>286.88405520213911</v>
      </c>
      <c r="AV53" s="396">
        <f t="shared" si="13"/>
        <v>0</v>
      </c>
      <c r="AW53" s="396">
        <f t="shared" si="13"/>
        <v>0</v>
      </c>
      <c r="AX53" s="396">
        <f t="shared" si="13"/>
        <v>0</v>
      </c>
      <c r="AY53" s="396">
        <f t="shared" si="13"/>
        <v>0</v>
      </c>
      <c r="AZ53" s="396">
        <f t="shared" si="13"/>
        <v>0</v>
      </c>
      <c r="BA53" s="396">
        <f t="shared" si="13"/>
        <v>0</v>
      </c>
      <c r="BB53" s="396">
        <f t="shared" si="13"/>
        <v>0</v>
      </c>
      <c r="BC53" s="396">
        <f t="shared" si="13"/>
        <v>0</v>
      </c>
    </row>
    <row r="54" spans="41:55" x14ac:dyDescent="0.2">
      <c r="AO54" s="205" t="s">
        <v>538</v>
      </c>
      <c r="AP54" s="396">
        <f t="shared" ref="AP54:BC54" si="14">AP93</f>
        <v>0</v>
      </c>
      <c r="AQ54" s="396">
        <f t="shared" si="14"/>
        <v>0</v>
      </c>
      <c r="AR54" s="396">
        <f t="shared" si="14"/>
        <v>0</v>
      </c>
      <c r="AS54" s="396">
        <f t="shared" si="14"/>
        <v>0</v>
      </c>
      <c r="AT54" s="396">
        <f t="shared" si="14"/>
        <v>0</v>
      </c>
      <c r="AU54" s="396">
        <f t="shared" si="14"/>
        <v>0</v>
      </c>
      <c r="AV54" s="396">
        <f t="shared" si="14"/>
        <v>0</v>
      </c>
      <c r="AW54" s="396">
        <f t="shared" si="14"/>
        <v>0</v>
      </c>
      <c r="AX54" s="396">
        <f t="shared" si="14"/>
        <v>0</v>
      </c>
      <c r="AY54" s="396">
        <f t="shared" si="14"/>
        <v>0</v>
      </c>
      <c r="AZ54" s="396">
        <f t="shared" si="14"/>
        <v>0</v>
      </c>
      <c r="BA54" s="396">
        <f t="shared" si="14"/>
        <v>0</v>
      </c>
      <c r="BB54" s="396">
        <f t="shared" si="14"/>
        <v>0</v>
      </c>
      <c r="BC54" s="396">
        <f t="shared" si="14"/>
        <v>0</v>
      </c>
    </row>
    <row r="55" spans="41:55" ht="16" x14ac:dyDescent="0.2">
      <c r="AO55" s="206" t="s">
        <v>567</v>
      </c>
      <c r="AP55" s="396">
        <f t="shared" ref="AP55:BC55" si="15">AP94</f>
        <v>0</v>
      </c>
      <c r="AQ55" s="396">
        <f t="shared" si="15"/>
        <v>0</v>
      </c>
      <c r="AR55" s="396">
        <f t="shared" si="15"/>
        <v>0</v>
      </c>
      <c r="AS55" s="396">
        <f t="shared" si="15"/>
        <v>0</v>
      </c>
      <c r="AT55" s="396">
        <f t="shared" si="15"/>
        <v>0</v>
      </c>
      <c r="AU55" s="396">
        <f t="shared" si="15"/>
        <v>0</v>
      </c>
      <c r="AV55" s="396">
        <f t="shared" si="15"/>
        <v>1011.7674660019052</v>
      </c>
      <c r="AW55" s="396">
        <f t="shared" si="15"/>
        <v>0</v>
      </c>
      <c r="AX55" s="396">
        <f t="shared" si="15"/>
        <v>0</v>
      </c>
      <c r="AY55" s="396">
        <f t="shared" si="15"/>
        <v>0</v>
      </c>
      <c r="AZ55" s="396">
        <f t="shared" si="15"/>
        <v>0</v>
      </c>
      <c r="BA55" s="396">
        <f t="shared" si="15"/>
        <v>0</v>
      </c>
      <c r="BB55" s="396">
        <f t="shared" si="15"/>
        <v>0</v>
      </c>
      <c r="BC55" s="396">
        <f t="shared" si="15"/>
        <v>0</v>
      </c>
    </row>
    <row r="56" spans="41:55" ht="16" x14ac:dyDescent="0.2">
      <c r="AO56" s="206" t="s">
        <v>562</v>
      </c>
      <c r="AP56" s="396">
        <f t="shared" ref="AP56:BC56" si="16">AP95</f>
        <v>0</v>
      </c>
      <c r="AQ56" s="396">
        <f t="shared" si="16"/>
        <v>0</v>
      </c>
      <c r="AR56" s="396">
        <f t="shared" si="16"/>
        <v>0</v>
      </c>
      <c r="AS56" s="396">
        <f t="shared" si="16"/>
        <v>0</v>
      </c>
      <c r="AT56" s="396">
        <f t="shared" si="16"/>
        <v>0</v>
      </c>
      <c r="AU56" s="396">
        <f t="shared" si="16"/>
        <v>0</v>
      </c>
      <c r="AV56" s="396">
        <f t="shared" si="16"/>
        <v>0</v>
      </c>
      <c r="AW56" s="396">
        <f t="shared" si="16"/>
        <v>208.55560337725498</v>
      </c>
      <c r="AX56" s="396">
        <f t="shared" si="16"/>
        <v>0</v>
      </c>
      <c r="AY56" s="396">
        <f t="shared" si="16"/>
        <v>0</v>
      </c>
      <c r="AZ56" s="396">
        <f t="shared" si="16"/>
        <v>0</v>
      </c>
      <c r="BA56" s="396">
        <f t="shared" si="16"/>
        <v>0</v>
      </c>
      <c r="BB56" s="396">
        <f t="shared" si="16"/>
        <v>0</v>
      </c>
      <c r="BC56" s="396">
        <f t="shared" si="16"/>
        <v>0</v>
      </c>
    </row>
    <row r="57" spans="41:55" ht="16" x14ac:dyDescent="0.2">
      <c r="AO57" s="206" t="s">
        <v>559</v>
      </c>
      <c r="AP57" s="396">
        <f t="shared" ref="AP57:BC57" si="17">AP96</f>
        <v>0</v>
      </c>
      <c r="AQ57" s="396">
        <f t="shared" si="17"/>
        <v>0</v>
      </c>
      <c r="AR57" s="396">
        <f t="shared" si="17"/>
        <v>0</v>
      </c>
      <c r="AS57" s="396">
        <f t="shared" si="17"/>
        <v>0</v>
      </c>
      <c r="AT57" s="396">
        <f t="shared" si="17"/>
        <v>0</v>
      </c>
      <c r="AU57" s="396">
        <f t="shared" si="17"/>
        <v>0</v>
      </c>
      <c r="AV57" s="396">
        <f t="shared" si="17"/>
        <v>0</v>
      </c>
      <c r="AW57" s="396">
        <f t="shared" si="17"/>
        <v>0</v>
      </c>
      <c r="AX57" s="396">
        <f t="shared" si="17"/>
        <v>286.88405520213911</v>
      </c>
      <c r="AY57" s="396">
        <f t="shared" si="17"/>
        <v>0</v>
      </c>
      <c r="AZ57" s="396">
        <f t="shared" si="17"/>
        <v>0</v>
      </c>
      <c r="BA57" s="396">
        <f t="shared" si="17"/>
        <v>0</v>
      </c>
      <c r="BB57" s="396">
        <f t="shared" si="17"/>
        <v>0</v>
      </c>
      <c r="BC57" s="396">
        <f t="shared" si="17"/>
        <v>0</v>
      </c>
    </row>
    <row r="58" spans="41:55" ht="16" x14ac:dyDescent="0.2">
      <c r="AO58" s="206" t="s">
        <v>565</v>
      </c>
      <c r="AP58" s="396">
        <f t="shared" ref="AP58:BC58" si="18">AP97</f>
        <v>0</v>
      </c>
      <c r="AQ58" s="396">
        <f t="shared" si="18"/>
        <v>0</v>
      </c>
      <c r="AR58" s="396">
        <f t="shared" si="18"/>
        <v>0</v>
      </c>
      <c r="AS58" s="396">
        <f t="shared" si="18"/>
        <v>0</v>
      </c>
      <c r="AT58" s="396">
        <f t="shared" si="18"/>
        <v>0</v>
      </c>
      <c r="AU58" s="396">
        <f t="shared" si="18"/>
        <v>0</v>
      </c>
      <c r="AV58" s="396">
        <f t="shared" si="18"/>
        <v>0</v>
      </c>
      <c r="AW58" s="396">
        <f t="shared" si="18"/>
        <v>0</v>
      </c>
      <c r="AX58" s="396">
        <f t="shared" si="18"/>
        <v>0</v>
      </c>
      <c r="AY58" s="396">
        <f t="shared" si="18"/>
        <v>0</v>
      </c>
      <c r="AZ58" s="396">
        <f t="shared" si="18"/>
        <v>0</v>
      </c>
      <c r="BA58" s="396">
        <f t="shared" si="18"/>
        <v>0</v>
      </c>
      <c r="BB58" s="396">
        <f t="shared" si="18"/>
        <v>1000.0000000000001</v>
      </c>
      <c r="BC58" s="396">
        <f t="shared" si="18"/>
        <v>0</v>
      </c>
    </row>
    <row r="59" spans="41:55" x14ac:dyDescent="0.2">
      <c r="AO59" s="207" t="s">
        <v>564</v>
      </c>
      <c r="AP59" s="396">
        <f t="shared" ref="AP59:BC59" si="19">AP98</f>
        <v>0</v>
      </c>
      <c r="AQ59" s="396">
        <f t="shared" si="19"/>
        <v>0</v>
      </c>
      <c r="AR59" s="396">
        <f t="shared" si="19"/>
        <v>0</v>
      </c>
      <c r="AS59" s="396">
        <f t="shared" si="19"/>
        <v>0</v>
      </c>
      <c r="AT59" s="396">
        <f t="shared" si="19"/>
        <v>0</v>
      </c>
      <c r="AU59" s="396">
        <f t="shared" si="19"/>
        <v>0</v>
      </c>
      <c r="AV59" s="396">
        <f t="shared" si="19"/>
        <v>0</v>
      </c>
      <c r="AW59" s="396">
        <f t="shared" si="19"/>
        <v>0</v>
      </c>
      <c r="AX59" s="396">
        <f t="shared" si="19"/>
        <v>0</v>
      </c>
      <c r="AY59" s="396">
        <f t="shared" si="19"/>
        <v>0</v>
      </c>
      <c r="AZ59" s="396">
        <f t="shared" si="19"/>
        <v>0</v>
      </c>
      <c r="BA59" s="396">
        <f t="shared" si="19"/>
        <v>0</v>
      </c>
      <c r="BB59" s="396">
        <f t="shared" si="19"/>
        <v>0</v>
      </c>
      <c r="BC59" s="396">
        <f t="shared" si="19"/>
        <v>0</v>
      </c>
    </row>
    <row r="60" spans="41:55" x14ac:dyDescent="0.2">
      <c r="AO60" s="207" t="s">
        <v>547</v>
      </c>
      <c r="AP60" s="396">
        <f t="shared" ref="AP60:BC60" si="20">AP99</f>
        <v>0</v>
      </c>
      <c r="AQ60" s="396">
        <f t="shared" si="20"/>
        <v>0</v>
      </c>
      <c r="AR60" s="396">
        <f t="shared" si="20"/>
        <v>0</v>
      </c>
      <c r="AS60" s="396">
        <f t="shared" si="20"/>
        <v>0</v>
      </c>
      <c r="AT60" s="396">
        <f t="shared" si="20"/>
        <v>0</v>
      </c>
      <c r="AU60" s="396">
        <f t="shared" si="20"/>
        <v>0</v>
      </c>
      <c r="AV60" s="396">
        <f t="shared" si="20"/>
        <v>0</v>
      </c>
      <c r="AW60" s="396">
        <f t="shared" si="20"/>
        <v>0</v>
      </c>
      <c r="AX60" s="396">
        <f t="shared" si="20"/>
        <v>0</v>
      </c>
      <c r="AY60" s="396">
        <f t="shared" si="20"/>
        <v>208.55560337725498</v>
      </c>
      <c r="AZ60" s="396">
        <f t="shared" si="20"/>
        <v>0</v>
      </c>
      <c r="BA60" s="396">
        <f t="shared" si="20"/>
        <v>0</v>
      </c>
      <c r="BB60" s="396">
        <f t="shared" si="20"/>
        <v>0</v>
      </c>
      <c r="BC60" s="396">
        <f t="shared" si="20"/>
        <v>0</v>
      </c>
    </row>
    <row r="61" spans="41:55" x14ac:dyDescent="0.2">
      <c r="AO61" s="207" t="s">
        <v>583</v>
      </c>
      <c r="AP61" s="396">
        <f t="shared" ref="AP61:BC61" si="21">AP100</f>
        <v>0</v>
      </c>
      <c r="AQ61" s="396">
        <f t="shared" si="21"/>
        <v>0</v>
      </c>
      <c r="AR61" s="396">
        <f t="shared" si="21"/>
        <v>0</v>
      </c>
      <c r="AS61" s="396">
        <f t="shared" si="21"/>
        <v>0</v>
      </c>
      <c r="AT61" s="396">
        <f t="shared" si="21"/>
        <v>0</v>
      </c>
      <c r="AU61" s="396">
        <f t="shared" si="21"/>
        <v>0</v>
      </c>
      <c r="AV61" s="396">
        <f t="shared" si="21"/>
        <v>0</v>
      </c>
      <c r="AW61" s="396">
        <f t="shared" si="21"/>
        <v>0</v>
      </c>
      <c r="AX61" s="396">
        <f t="shared" si="21"/>
        <v>0</v>
      </c>
      <c r="AY61" s="396">
        <f t="shared" si="21"/>
        <v>0</v>
      </c>
      <c r="AZ61" s="396">
        <f t="shared" si="21"/>
        <v>286.88405520213911</v>
      </c>
      <c r="BA61" s="396">
        <f t="shared" si="21"/>
        <v>0</v>
      </c>
      <c r="BB61" s="396">
        <f t="shared" si="21"/>
        <v>0</v>
      </c>
      <c r="BC61" s="396">
        <f t="shared" si="21"/>
        <v>0</v>
      </c>
    </row>
    <row r="62" spans="41:55" x14ac:dyDescent="0.2">
      <c r="AO62" s="207" t="s">
        <v>548</v>
      </c>
      <c r="AP62" s="396">
        <f t="shared" ref="AP62:BC62" si="22">AP101</f>
        <v>0</v>
      </c>
      <c r="AQ62" s="396">
        <f t="shared" si="22"/>
        <v>0</v>
      </c>
      <c r="AR62" s="396">
        <f t="shared" si="22"/>
        <v>0</v>
      </c>
      <c r="AS62" s="396">
        <f t="shared" si="22"/>
        <v>0</v>
      </c>
      <c r="AT62" s="396">
        <f t="shared" si="22"/>
        <v>0</v>
      </c>
      <c r="AU62" s="396">
        <f t="shared" si="22"/>
        <v>0</v>
      </c>
      <c r="AV62" s="396">
        <f t="shared" si="22"/>
        <v>0</v>
      </c>
      <c r="AW62" s="396">
        <f t="shared" si="22"/>
        <v>0</v>
      </c>
      <c r="AX62" s="396">
        <f t="shared" si="22"/>
        <v>0</v>
      </c>
      <c r="AY62" s="396">
        <f t="shared" si="22"/>
        <v>0</v>
      </c>
      <c r="AZ62" s="396">
        <f t="shared" si="22"/>
        <v>0</v>
      </c>
      <c r="BA62" s="396">
        <f t="shared" si="22"/>
        <v>0</v>
      </c>
      <c r="BB62" s="396">
        <f t="shared" si="22"/>
        <v>111.00813284002646</v>
      </c>
      <c r="BC62" s="396">
        <f t="shared" si="22"/>
        <v>0</v>
      </c>
    </row>
    <row r="63" spans="41:55" x14ac:dyDescent="0.2">
      <c r="AO63" s="207" t="s">
        <v>550</v>
      </c>
      <c r="AP63" s="396">
        <f t="shared" ref="AP63:BC63" si="23">AP102</f>
        <v>0</v>
      </c>
      <c r="AQ63" s="396">
        <f t="shared" si="23"/>
        <v>0</v>
      </c>
      <c r="AR63" s="396">
        <f t="shared" si="23"/>
        <v>0</v>
      </c>
      <c r="AS63" s="396">
        <f t="shared" si="23"/>
        <v>0</v>
      </c>
      <c r="AT63" s="396">
        <f t="shared" si="23"/>
        <v>0</v>
      </c>
      <c r="AU63" s="396">
        <f t="shared" si="23"/>
        <v>0</v>
      </c>
      <c r="AV63" s="396">
        <f t="shared" si="23"/>
        <v>0</v>
      </c>
      <c r="AW63" s="396">
        <f t="shared" si="23"/>
        <v>0</v>
      </c>
      <c r="AX63" s="396">
        <f t="shared" si="23"/>
        <v>0</v>
      </c>
      <c r="AY63" s="396">
        <f t="shared" si="23"/>
        <v>0</v>
      </c>
      <c r="AZ63" s="396">
        <f t="shared" si="23"/>
        <v>0</v>
      </c>
      <c r="BA63" s="396">
        <f t="shared" si="23"/>
        <v>0</v>
      </c>
      <c r="BB63" s="396">
        <f t="shared" si="23"/>
        <v>0</v>
      </c>
      <c r="BC63" s="396">
        <f t="shared" si="23"/>
        <v>0</v>
      </c>
    </row>
    <row r="64" spans="41:55" x14ac:dyDescent="0.2">
      <c r="AO64" s="207" t="s">
        <v>549</v>
      </c>
      <c r="AP64" s="396">
        <f t="shared" ref="AP64:BC64" si="24">AP103</f>
        <v>0</v>
      </c>
      <c r="AQ64" s="396">
        <f t="shared" si="24"/>
        <v>0</v>
      </c>
      <c r="AR64" s="396">
        <f t="shared" si="24"/>
        <v>0</v>
      </c>
      <c r="AS64" s="396">
        <f t="shared" si="24"/>
        <v>0</v>
      </c>
      <c r="AT64" s="396">
        <f t="shared" si="24"/>
        <v>0</v>
      </c>
      <c r="AU64" s="396">
        <f t="shared" si="24"/>
        <v>0</v>
      </c>
      <c r="AV64" s="396">
        <f t="shared" si="24"/>
        <v>0</v>
      </c>
      <c r="AW64" s="396">
        <f t="shared" si="24"/>
        <v>0</v>
      </c>
      <c r="AX64" s="396">
        <f t="shared" si="24"/>
        <v>0</v>
      </c>
      <c r="AY64" s="396">
        <f t="shared" si="24"/>
        <v>0</v>
      </c>
      <c r="AZ64" s="396">
        <f t="shared" si="24"/>
        <v>0</v>
      </c>
      <c r="BA64" s="396">
        <f t="shared" si="24"/>
        <v>0</v>
      </c>
      <c r="BB64" s="396">
        <f t="shared" si="24"/>
        <v>0</v>
      </c>
      <c r="BC64" s="396">
        <f t="shared" si="24"/>
        <v>0</v>
      </c>
    </row>
    <row r="65" spans="32:63" x14ac:dyDescent="0.2">
      <c r="AO65" s="207" t="s">
        <v>543</v>
      </c>
      <c r="AP65" s="396">
        <f t="shared" ref="AP65:BC65" si="25">AP104</f>
        <v>0</v>
      </c>
      <c r="AQ65" s="396">
        <f t="shared" si="25"/>
        <v>0</v>
      </c>
      <c r="AR65" s="396">
        <f t="shared" si="25"/>
        <v>0</v>
      </c>
      <c r="AS65" s="396">
        <f t="shared" si="25"/>
        <v>0</v>
      </c>
      <c r="AT65" s="396">
        <f t="shared" si="25"/>
        <v>0</v>
      </c>
      <c r="AU65" s="396">
        <f t="shared" si="25"/>
        <v>0</v>
      </c>
      <c r="AV65" s="396">
        <f t="shared" si="25"/>
        <v>0</v>
      </c>
      <c r="AW65" s="396">
        <f t="shared" si="25"/>
        <v>0</v>
      </c>
      <c r="AX65" s="396">
        <f t="shared" si="25"/>
        <v>0</v>
      </c>
      <c r="AY65" s="396">
        <f t="shared" si="25"/>
        <v>0</v>
      </c>
      <c r="AZ65" s="396">
        <f t="shared" si="25"/>
        <v>0</v>
      </c>
      <c r="BA65" s="396">
        <f t="shared" si="25"/>
        <v>0</v>
      </c>
      <c r="BB65" s="396">
        <f t="shared" si="25"/>
        <v>198.80764502323905</v>
      </c>
      <c r="BC65" s="396">
        <f t="shared" si="25"/>
        <v>0</v>
      </c>
    </row>
    <row r="66" spans="32:63" ht="16" x14ac:dyDescent="0.2">
      <c r="AO66" s="254" t="s">
        <v>545</v>
      </c>
      <c r="AP66" s="396">
        <f t="shared" ref="AP66:BC66" si="26">AP105</f>
        <v>0</v>
      </c>
      <c r="AQ66" s="396">
        <f t="shared" si="26"/>
        <v>0</v>
      </c>
      <c r="AR66" s="396">
        <f t="shared" si="26"/>
        <v>0</v>
      </c>
      <c r="AS66" s="396">
        <f t="shared" si="26"/>
        <v>0</v>
      </c>
      <c r="AT66" s="396">
        <f t="shared" si="26"/>
        <v>0</v>
      </c>
      <c r="AU66" s="396">
        <f t="shared" si="26"/>
        <v>0</v>
      </c>
      <c r="AV66" s="396">
        <f t="shared" si="26"/>
        <v>0</v>
      </c>
      <c r="AW66" s="396">
        <f t="shared" si="26"/>
        <v>0</v>
      </c>
      <c r="AX66" s="396">
        <f t="shared" si="26"/>
        <v>0</v>
      </c>
      <c r="AY66" s="396">
        <f t="shared" si="26"/>
        <v>0</v>
      </c>
      <c r="AZ66" s="396">
        <f t="shared" si="26"/>
        <v>0</v>
      </c>
      <c r="BA66" s="396">
        <f t="shared" si="26"/>
        <v>69.582675758133661</v>
      </c>
      <c r="BB66" s="396">
        <f t="shared" si="26"/>
        <v>0</v>
      </c>
      <c r="BC66" s="396">
        <f t="shared" si="26"/>
        <v>0</v>
      </c>
    </row>
    <row r="67" spans="32:63" x14ac:dyDescent="0.2">
      <c r="AO67" s="207" t="s">
        <v>544</v>
      </c>
      <c r="AP67" s="396">
        <f t="shared" ref="AP67:BC67" si="27">AP106</f>
        <v>0</v>
      </c>
      <c r="AQ67" s="396">
        <f t="shared" si="27"/>
        <v>0</v>
      </c>
      <c r="AR67" s="396">
        <f t="shared" si="27"/>
        <v>0</v>
      </c>
      <c r="AS67" s="396">
        <f t="shared" si="27"/>
        <v>0</v>
      </c>
      <c r="AT67" s="396">
        <f t="shared" si="27"/>
        <v>0</v>
      </c>
      <c r="AU67" s="396">
        <f t="shared" si="27"/>
        <v>0</v>
      </c>
      <c r="AV67" s="396">
        <f t="shared" si="27"/>
        <v>0</v>
      </c>
      <c r="AW67" s="396">
        <f t="shared" si="27"/>
        <v>0</v>
      </c>
      <c r="AX67" s="396">
        <f t="shared" si="27"/>
        <v>0</v>
      </c>
      <c r="AY67" s="396">
        <f t="shared" si="27"/>
        <v>0</v>
      </c>
      <c r="AZ67" s="396">
        <f t="shared" si="27"/>
        <v>0</v>
      </c>
      <c r="BA67" s="396">
        <f t="shared" si="27"/>
        <v>0</v>
      </c>
      <c r="BB67" s="396">
        <f t="shared" si="27"/>
        <v>0</v>
      </c>
      <c r="BC67" s="396">
        <f t="shared" si="27"/>
        <v>0</v>
      </c>
    </row>
    <row r="68" spans="32:63" x14ac:dyDescent="0.2">
      <c r="AO68" s="205" t="s">
        <v>546</v>
      </c>
      <c r="AP68" s="396">
        <f t="shared" ref="AP68:BC68" si="28">AP107</f>
        <v>0</v>
      </c>
      <c r="AQ68" s="396">
        <f t="shared" si="28"/>
        <v>0</v>
      </c>
      <c r="AR68" s="396">
        <f t="shared" si="28"/>
        <v>0</v>
      </c>
      <c r="AS68" s="396">
        <f t="shared" si="28"/>
        <v>0</v>
      </c>
      <c r="AT68" s="396">
        <f t="shared" si="28"/>
        <v>0</v>
      </c>
      <c r="AU68" s="396">
        <f t="shared" si="28"/>
        <v>0</v>
      </c>
      <c r="AV68" s="396">
        <f t="shared" si="28"/>
        <v>0</v>
      </c>
      <c r="AW68" s="396">
        <f t="shared" si="28"/>
        <v>0</v>
      </c>
      <c r="AX68" s="396">
        <f t="shared" si="28"/>
        <v>0</v>
      </c>
      <c r="AY68" s="396">
        <f t="shared" si="28"/>
        <v>0</v>
      </c>
      <c r="AZ68" s="396">
        <f t="shared" si="28"/>
        <v>0</v>
      </c>
      <c r="BA68" s="396">
        <f t="shared" si="28"/>
        <v>0</v>
      </c>
      <c r="BB68" s="396">
        <f t="shared" si="28"/>
        <v>0</v>
      </c>
      <c r="BC68" s="396">
        <f t="shared" si="28"/>
        <v>0</v>
      </c>
    </row>
    <row r="69" spans="32:63" x14ac:dyDescent="0.2">
      <c r="AO69" s="207" t="s">
        <v>541</v>
      </c>
      <c r="AP69" s="396">
        <f t="shared" ref="AP69:BC69" si="29">AP108</f>
        <v>0</v>
      </c>
      <c r="AQ69" s="396">
        <f t="shared" si="29"/>
        <v>0</v>
      </c>
      <c r="AR69" s="396">
        <f t="shared" si="29"/>
        <v>0</v>
      </c>
      <c r="AS69" s="396">
        <f t="shared" si="29"/>
        <v>0</v>
      </c>
      <c r="AT69" s="396">
        <f t="shared" si="29"/>
        <v>0</v>
      </c>
      <c r="AU69" s="396">
        <f t="shared" si="29"/>
        <v>0</v>
      </c>
      <c r="AV69" s="396">
        <f t="shared" si="29"/>
        <v>0</v>
      </c>
      <c r="AW69" s="396">
        <f t="shared" si="29"/>
        <v>0</v>
      </c>
      <c r="AX69" s="396">
        <f t="shared" si="29"/>
        <v>0</v>
      </c>
      <c r="AY69" s="396">
        <f t="shared" si="29"/>
        <v>0</v>
      </c>
      <c r="AZ69" s="396">
        <f t="shared" si="29"/>
        <v>10.437401363720047</v>
      </c>
      <c r="BA69" s="396">
        <f t="shared" si="29"/>
        <v>0</v>
      </c>
      <c r="BB69" s="396">
        <f t="shared" si="29"/>
        <v>0</v>
      </c>
      <c r="BC69" s="396">
        <f t="shared" si="29"/>
        <v>48.707873030693563</v>
      </c>
    </row>
    <row r="70" spans="32:63" x14ac:dyDescent="0.2">
      <c r="AO70" s="207" t="s">
        <v>571</v>
      </c>
      <c r="AP70" s="396">
        <f t="shared" ref="AP70:BC70" si="30">AP109</f>
        <v>0</v>
      </c>
      <c r="AQ70" s="396">
        <f t="shared" si="30"/>
        <v>0</v>
      </c>
      <c r="AR70" s="396">
        <f t="shared" si="30"/>
        <v>0</v>
      </c>
      <c r="AS70" s="396">
        <f t="shared" si="30"/>
        <v>0</v>
      </c>
      <c r="AT70" s="396">
        <f t="shared" si="30"/>
        <v>0</v>
      </c>
      <c r="AU70" s="396">
        <f t="shared" si="30"/>
        <v>0</v>
      </c>
      <c r="AV70" s="396">
        <f t="shared" si="30"/>
        <v>0</v>
      </c>
      <c r="AW70" s="396">
        <f t="shared" si="30"/>
        <v>0</v>
      </c>
      <c r="AX70" s="396">
        <f t="shared" si="30"/>
        <v>0</v>
      </c>
      <c r="AY70" s="396">
        <f t="shared" si="30"/>
        <v>0</v>
      </c>
      <c r="AZ70" s="396">
        <f t="shared" si="30"/>
        <v>0</v>
      </c>
      <c r="BA70" s="396">
        <f t="shared" si="30"/>
        <v>0</v>
      </c>
      <c r="BB70" s="396">
        <f t="shared" si="30"/>
        <v>0</v>
      </c>
      <c r="BC70" s="396">
        <f t="shared" si="30"/>
        <v>1309.8157778632656</v>
      </c>
    </row>
    <row r="71" spans="32:63" x14ac:dyDescent="0.2">
      <c r="AO71" s="207" t="s">
        <v>572</v>
      </c>
      <c r="AP71" s="396">
        <f t="shared" ref="AP71:BC71" si="31">AP110</f>
        <v>0</v>
      </c>
      <c r="AQ71" s="396">
        <f t="shared" si="31"/>
        <v>0</v>
      </c>
      <c r="AR71" s="396">
        <f t="shared" si="31"/>
        <v>0</v>
      </c>
      <c r="AS71" s="396">
        <f t="shared" si="31"/>
        <v>0</v>
      </c>
      <c r="AT71" s="396">
        <f t="shared" si="31"/>
        <v>0</v>
      </c>
      <c r="AU71" s="396">
        <f t="shared" si="31"/>
        <v>0</v>
      </c>
      <c r="AV71" s="396">
        <f t="shared" si="31"/>
        <v>0</v>
      </c>
      <c r="AW71" s="396">
        <f t="shared" si="31"/>
        <v>0</v>
      </c>
      <c r="AX71" s="396">
        <f t="shared" si="31"/>
        <v>0</v>
      </c>
      <c r="AY71" s="396">
        <f t="shared" si="31"/>
        <v>0</v>
      </c>
      <c r="AZ71" s="396">
        <f t="shared" si="31"/>
        <v>0</v>
      </c>
      <c r="BA71" s="396">
        <f t="shared" si="31"/>
        <v>0</v>
      </c>
      <c r="BB71" s="396">
        <f t="shared" si="31"/>
        <v>0</v>
      </c>
      <c r="BC71" s="396">
        <f t="shared" si="31"/>
        <v>0</v>
      </c>
    </row>
    <row r="72" spans="32:63" x14ac:dyDescent="0.2">
      <c r="AO72" s="207" t="s">
        <v>573</v>
      </c>
      <c r="AP72" s="396">
        <f t="shared" ref="AP72:BC72" si="32">AP111</f>
        <v>0</v>
      </c>
      <c r="AQ72" s="396">
        <f t="shared" si="32"/>
        <v>0</v>
      </c>
      <c r="AR72" s="396">
        <f t="shared" si="32"/>
        <v>0</v>
      </c>
      <c r="AS72" s="396">
        <f t="shared" si="32"/>
        <v>0</v>
      </c>
      <c r="AT72" s="396">
        <f t="shared" si="32"/>
        <v>0</v>
      </c>
      <c r="AU72" s="396">
        <f t="shared" si="32"/>
        <v>0</v>
      </c>
      <c r="AV72" s="396">
        <f t="shared" si="32"/>
        <v>0</v>
      </c>
      <c r="AW72" s="396">
        <f t="shared" si="32"/>
        <v>0</v>
      </c>
      <c r="AX72" s="396">
        <f t="shared" si="32"/>
        <v>0</v>
      </c>
      <c r="AY72" s="396">
        <f t="shared" si="32"/>
        <v>0</v>
      </c>
      <c r="AZ72" s="396">
        <f t="shared" si="32"/>
        <v>0</v>
      </c>
      <c r="BA72" s="396">
        <f t="shared" si="32"/>
        <v>0</v>
      </c>
      <c r="BB72" s="396">
        <f t="shared" si="32"/>
        <v>0</v>
      </c>
      <c r="BC72" s="396">
        <f t="shared" si="32"/>
        <v>0</v>
      </c>
    </row>
    <row r="73" spans="32:63" x14ac:dyDescent="0.2">
      <c r="AO73" s="207" t="s">
        <v>584</v>
      </c>
      <c r="AP73" s="396">
        <f t="shared" ref="AP73:BC73" si="33">AP112</f>
        <v>0</v>
      </c>
      <c r="AQ73" s="396">
        <f t="shared" si="33"/>
        <v>0</v>
      </c>
      <c r="AR73" s="396">
        <f t="shared" si="33"/>
        <v>0</v>
      </c>
      <c r="AS73" s="396">
        <f t="shared" si="33"/>
        <v>0</v>
      </c>
      <c r="AT73" s="396">
        <f t="shared" si="33"/>
        <v>0</v>
      </c>
      <c r="AU73" s="396">
        <f t="shared" si="33"/>
        <v>0</v>
      </c>
      <c r="AV73" s="396">
        <f t="shared" si="33"/>
        <v>0</v>
      </c>
      <c r="AW73" s="396">
        <f t="shared" si="33"/>
        <v>0</v>
      </c>
      <c r="AX73" s="396">
        <f t="shared" si="33"/>
        <v>0</v>
      </c>
      <c r="AY73" s="396">
        <f t="shared" si="33"/>
        <v>0</v>
      </c>
      <c r="AZ73" s="396">
        <f t="shared" si="33"/>
        <v>0</v>
      </c>
      <c r="BA73" s="396">
        <f t="shared" si="33"/>
        <v>0</v>
      </c>
      <c r="BB73" s="396">
        <f t="shared" si="33"/>
        <v>0</v>
      </c>
      <c r="BC73" s="396">
        <f t="shared" si="33"/>
        <v>0</v>
      </c>
    </row>
    <row r="74" spans="32:63" x14ac:dyDescent="0.2">
      <c r="AO74" s="207"/>
      <c r="AP74" s="359" t="s">
        <v>602</v>
      </c>
      <c r="AQ74" s="359"/>
      <c r="AR74" s="359"/>
      <c r="AS74" s="359"/>
      <c r="AT74" s="359"/>
      <c r="AU74" s="359"/>
      <c r="AV74" s="359"/>
      <c r="AW74" s="359"/>
      <c r="AX74" s="359"/>
      <c r="AY74" s="359"/>
      <c r="AZ74" s="359"/>
      <c r="BA74" s="359"/>
      <c r="BB74" s="359"/>
      <c r="BC74" s="359"/>
    </row>
    <row r="78" spans="32:63" ht="112" x14ac:dyDescent="0.2">
      <c r="AO78" s="261" t="s">
        <v>457</v>
      </c>
      <c r="AP78" s="208" t="s">
        <v>418</v>
      </c>
      <c r="AQ78" s="208" t="s">
        <v>419</v>
      </c>
      <c r="AR78" s="208" t="s">
        <v>420</v>
      </c>
      <c r="AS78" s="208" t="s">
        <v>582</v>
      </c>
      <c r="AT78" s="208" t="s">
        <v>561</v>
      </c>
      <c r="AU78" s="208" t="s">
        <v>560</v>
      </c>
      <c r="AV78" s="208" t="s">
        <v>446</v>
      </c>
      <c r="AW78" s="208" t="s">
        <v>443</v>
      </c>
      <c r="AX78" s="208" t="s">
        <v>465</v>
      </c>
      <c r="AY78" s="208" t="s">
        <v>444</v>
      </c>
      <c r="AZ78" s="208" t="s">
        <v>439</v>
      </c>
      <c r="BA78" s="208" t="s">
        <v>461</v>
      </c>
      <c r="BB78" s="208" t="s">
        <v>81</v>
      </c>
      <c r="BC78" s="208" t="s">
        <v>430</v>
      </c>
      <c r="BH78" s="208"/>
      <c r="BI78" s="208" t="s">
        <v>424</v>
      </c>
      <c r="BJ78" s="208" t="s">
        <v>357</v>
      </c>
    </row>
    <row r="79" spans="32:63" x14ac:dyDescent="0.2">
      <c r="AF79" s="205"/>
      <c r="AO79" s="205" t="s">
        <v>426</v>
      </c>
      <c r="AP79" s="231">
        <f>'Ore-&gt;PI'!AL42</f>
        <v>1011.7674660019052</v>
      </c>
      <c r="AQ79" s="231"/>
      <c r="AR79" s="231"/>
      <c r="AS79" s="231"/>
      <c r="AT79" s="231"/>
      <c r="AU79" s="231"/>
      <c r="AV79" s="231"/>
      <c r="AW79" s="231"/>
      <c r="AX79" s="231"/>
      <c r="AY79" s="231"/>
      <c r="AZ79" s="231"/>
      <c r="BA79" s="231"/>
      <c r="BB79" s="231"/>
      <c r="BC79" s="231"/>
      <c r="BD79" s="253">
        <f>SUM(AP79:BC79)</f>
        <v>1011.7674660019052</v>
      </c>
      <c r="BH79" s="205" t="s">
        <v>426</v>
      </c>
      <c r="BI79" s="245"/>
      <c r="BJ79" s="245"/>
      <c r="BK79" s="253">
        <f>SUM(BI79:BJ79)</f>
        <v>0</v>
      </c>
    </row>
    <row r="80" spans="32:63" x14ac:dyDescent="0.2">
      <c r="AF80" s="205"/>
      <c r="AO80" s="205" t="s">
        <v>428</v>
      </c>
      <c r="AP80" s="231"/>
      <c r="AQ80" s="231">
        <f>'Ore-&gt;PI'!T126</f>
        <v>208.55560337725498</v>
      </c>
      <c r="AR80" s="231"/>
      <c r="AS80" s="231"/>
      <c r="AT80" s="231"/>
      <c r="AU80" s="231"/>
      <c r="AV80" s="231"/>
      <c r="AW80" s="231"/>
      <c r="AX80" s="231"/>
      <c r="AY80" s="231"/>
      <c r="AZ80" s="231"/>
      <c r="BA80" s="231"/>
      <c r="BB80" s="231"/>
      <c r="BC80" s="231"/>
      <c r="BD80" s="253">
        <f>SUM(AP80:BC80)</f>
        <v>208.55560337725498</v>
      </c>
      <c r="BH80" s="205" t="s">
        <v>428</v>
      </c>
      <c r="BI80" s="245"/>
      <c r="BJ80" s="245"/>
      <c r="BK80" s="253">
        <f>SUM(BI80:BJ80)</f>
        <v>0</v>
      </c>
    </row>
    <row r="81" spans="32:68" x14ac:dyDescent="0.2">
      <c r="AF81" s="205"/>
      <c r="AO81" s="205" t="s">
        <v>429</v>
      </c>
      <c r="AP81" s="231"/>
      <c r="AQ81" s="231"/>
      <c r="AR81" s="231">
        <f>'Ore-&gt;PI'!T206</f>
        <v>286.88405520213911</v>
      </c>
      <c r="AS81" s="231"/>
      <c r="AT81" s="231"/>
      <c r="AU81" s="231"/>
      <c r="AV81" s="231"/>
      <c r="AW81" s="231"/>
      <c r="AX81" s="231"/>
      <c r="AY81" s="231"/>
      <c r="AZ81" s="231"/>
      <c r="BA81" s="231"/>
      <c r="BB81" s="231"/>
      <c r="BC81" s="231"/>
      <c r="BD81" s="253">
        <f t="shared" ref="BD81:BD112" si="34">SUM(AP81:BC81)</f>
        <v>286.88405520213911</v>
      </c>
      <c r="BH81" s="205" t="s">
        <v>429</v>
      </c>
      <c r="BI81" s="245"/>
      <c r="BJ81" s="245"/>
      <c r="BK81" s="253">
        <f>SUM(BI81:BJ81)</f>
        <v>0</v>
      </c>
    </row>
    <row r="82" spans="32:68" x14ac:dyDescent="0.2">
      <c r="AF82" s="205"/>
      <c r="AO82" s="205" t="s">
        <v>450</v>
      </c>
      <c r="AP82" s="231">
        <f>'Ore-&gt;PI'!T72</f>
        <v>29.869958467081446</v>
      </c>
      <c r="AQ82" s="231">
        <f>'Ore-&gt;PI'!T163</f>
        <v>8.9625684461364291E-2</v>
      </c>
      <c r="AR82" s="231">
        <f>'Ore-&gt;PI'!T236</f>
        <v>7.104790060854917</v>
      </c>
      <c r="AS82" s="231"/>
      <c r="AT82" s="231"/>
      <c r="AU82" s="231"/>
      <c r="AV82" s="231"/>
      <c r="AW82" s="231"/>
      <c r="AX82" s="231"/>
      <c r="AY82" s="231">
        <f>'Ore-&gt;PI'!BW140</f>
        <v>287.74918282404701</v>
      </c>
      <c r="AZ82" s="231">
        <f>'Ore-&gt;PI'!BW242</f>
        <v>556.96479760636817</v>
      </c>
      <c r="BA82" s="231"/>
      <c r="BB82" s="231"/>
      <c r="BC82" s="244">
        <f>'Ore-&gt;PI'!EF140</f>
        <v>2870.841834451006</v>
      </c>
      <c r="BD82" s="253">
        <f t="shared" si="34"/>
        <v>3752.6201890938191</v>
      </c>
      <c r="BH82" s="205" t="s">
        <v>450</v>
      </c>
      <c r="BI82" s="245"/>
      <c r="BJ82" s="245"/>
      <c r="BK82" s="253">
        <f t="shared" ref="BK82:BK86" si="35">SUM(BI82:BJ82)</f>
        <v>0</v>
      </c>
    </row>
    <row r="83" spans="32:68" x14ac:dyDescent="0.2">
      <c r="AF83" s="205"/>
      <c r="AO83" s="205" t="s">
        <v>485</v>
      </c>
      <c r="AP83" s="231"/>
      <c r="AQ83" s="231"/>
      <c r="AR83" s="231"/>
      <c r="AS83" s="231"/>
      <c r="AT83" s="231"/>
      <c r="AU83" s="231"/>
      <c r="AV83" s="231"/>
      <c r="AW83" s="231"/>
      <c r="AX83" s="231"/>
      <c r="AY83" s="231">
        <f>'Ore-&gt;PI'!BW152</f>
        <v>20798.316475388398</v>
      </c>
      <c r="AZ83" s="231">
        <f>'Ore-&gt;PI'!BW254</f>
        <v>16.963528773956838</v>
      </c>
      <c r="BA83" s="231"/>
      <c r="BB83" s="231"/>
      <c r="BC83" s="231">
        <f>'Ore-&gt;PI'!EF114</f>
        <v>44.774669200794314</v>
      </c>
      <c r="BD83" s="253">
        <f t="shared" si="34"/>
        <v>20860.054673363149</v>
      </c>
      <c r="BH83" s="205" t="s">
        <v>485</v>
      </c>
      <c r="BI83" s="245"/>
      <c r="BJ83" s="245"/>
      <c r="BK83" s="253">
        <f t="shared" si="35"/>
        <v>0</v>
      </c>
    </row>
    <row r="84" spans="32:68" x14ac:dyDescent="0.2">
      <c r="AF84" s="205"/>
      <c r="AO84" s="205" t="s">
        <v>596</v>
      </c>
      <c r="AP84" s="231">
        <f>'Ore-&gt;PI'!T59</f>
        <v>2.05024783499473</v>
      </c>
      <c r="AQ84" s="231">
        <f>'Ore-&gt;PI'!T140</f>
        <v>5.6184061187345121E-3</v>
      </c>
      <c r="AR84" s="231">
        <f>'Ore-&gt;PI'!T222</f>
        <v>0.48766657832528126</v>
      </c>
      <c r="AS84" s="231"/>
      <c r="AT84" s="231"/>
      <c r="AU84" s="231"/>
      <c r="AV84" s="231"/>
      <c r="AW84" s="231"/>
      <c r="AX84" s="231"/>
      <c r="AY84" s="231"/>
      <c r="AZ84" s="231"/>
      <c r="BA84" s="231"/>
      <c r="BB84" s="231"/>
      <c r="BC84" s="231"/>
      <c r="BD84" s="253">
        <f t="shared" si="34"/>
        <v>2.5435328194387457</v>
      </c>
      <c r="BH84" s="205" t="s">
        <v>596</v>
      </c>
      <c r="BI84" s="245"/>
      <c r="BJ84" s="245"/>
      <c r="BK84" s="253">
        <f t="shared" si="35"/>
        <v>0</v>
      </c>
    </row>
    <row r="85" spans="32:68" x14ac:dyDescent="0.2">
      <c r="AF85" s="205"/>
      <c r="AO85" s="205" t="s">
        <v>597</v>
      </c>
      <c r="AP85" s="231"/>
      <c r="AQ85" s="231">
        <f>'Ore-&gt;PI'!T151</f>
        <v>5.1714158616864253E-4</v>
      </c>
      <c r="AR85" s="231"/>
      <c r="AS85" s="231"/>
      <c r="AT85" s="231"/>
      <c r="AU85" s="231"/>
      <c r="AV85" s="231"/>
      <c r="AW85" s="231"/>
      <c r="AX85" s="231"/>
      <c r="AY85" s="231"/>
      <c r="AZ85" s="231"/>
      <c r="BA85" s="231"/>
      <c r="BB85" s="231"/>
      <c r="BC85" s="231"/>
      <c r="BD85" s="253">
        <f t="shared" si="34"/>
        <v>5.1714158616864253E-4</v>
      </c>
      <c r="BH85" s="205" t="s">
        <v>597</v>
      </c>
      <c r="BI85" s="245"/>
      <c r="BJ85" s="245"/>
      <c r="BK85" s="253">
        <f t="shared" si="35"/>
        <v>0</v>
      </c>
    </row>
    <row r="86" spans="32:68" x14ac:dyDescent="0.2">
      <c r="AF86" s="205"/>
      <c r="AO86" s="205" t="s">
        <v>533</v>
      </c>
      <c r="AP86" s="231"/>
      <c r="AQ86" s="231"/>
      <c r="AR86" s="231"/>
      <c r="AS86" s="231"/>
      <c r="AT86" s="231"/>
      <c r="AU86" s="231"/>
      <c r="AV86" s="231"/>
      <c r="AW86" s="231"/>
      <c r="AX86" s="231"/>
      <c r="AY86" s="231"/>
      <c r="AZ86" s="231"/>
      <c r="BA86" s="231"/>
      <c r="BB86" s="231"/>
      <c r="BC86" s="231">
        <f>'Ore-&gt;PI'!EF101</f>
        <v>4.8979947555174279</v>
      </c>
      <c r="BD86" s="253">
        <f t="shared" si="34"/>
        <v>4.8979947555174279</v>
      </c>
      <c r="BH86" s="205" t="s">
        <v>533</v>
      </c>
      <c r="BI86" s="245"/>
      <c r="BJ86" s="245"/>
      <c r="BK86" s="253">
        <f t="shared" si="35"/>
        <v>0</v>
      </c>
    </row>
    <row r="87" spans="32:68" x14ac:dyDescent="0.2">
      <c r="AF87" s="205"/>
      <c r="AO87" s="205" t="s">
        <v>586</v>
      </c>
      <c r="AP87" s="231"/>
      <c r="AQ87" s="231"/>
      <c r="AR87" s="231">
        <v>0</v>
      </c>
      <c r="AS87" s="231">
        <v>0</v>
      </c>
      <c r="AT87" s="231">
        <v>0</v>
      </c>
      <c r="AU87" s="231">
        <v>0</v>
      </c>
      <c r="AV87" s="231">
        <v>0</v>
      </c>
      <c r="AW87" s="231">
        <v>0</v>
      </c>
      <c r="AX87" s="231">
        <v>0</v>
      </c>
      <c r="AY87" s="231"/>
      <c r="AZ87" s="231"/>
      <c r="BA87" s="231">
        <v>0</v>
      </c>
      <c r="BB87" s="231"/>
      <c r="BC87" s="231">
        <v>0</v>
      </c>
      <c r="BD87" s="253">
        <f t="shared" si="34"/>
        <v>0</v>
      </c>
      <c r="BH87" s="205" t="s">
        <v>586</v>
      </c>
      <c r="BI87" s="245"/>
      <c r="BJ87" s="245"/>
      <c r="BK87" s="253">
        <f t="shared" ref="BK87:BK93" si="36">SUM(BI87:BJ87)</f>
        <v>0</v>
      </c>
    </row>
    <row r="88" spans="32:68" ht="16" x14ac:dyDescent="0.2">
      <c r="AF88" s="247"/>
      <c r="AO88" s="206" t="s">
        <v>568</v>
      </c>
      <c r="AP88" s="231"/>
      <c r="AQ88" s="231"/>
      <c r="AR88" s="231"/>
      <c r="AS88" s="231">
        <f>'Ore-&gt;PI'!AL42</f>
        <v>1011.7674660019052</v>
      </c>
      <c r="AT88" s="231"/>
      <c r="AU88" s="231"/>
      <c r="AV88" s="231"/>
      <c r="AW88" s="231"/>
      <c r="AX88" s="231"/>
      <c r="AY88" s="231"/>
      <c r="AZ88" s="231"/>
      <c r="BA88" s="231"/>
      <c r="BB88" s="231"/>
      <c r="BC88" s="231"/>
      <c r="BD88" s="253">
        <f t="shared" si="34"/>
        <v>1011.7674660019052</v>
      </c>
      <c r="BH88" s="206" t="s">
        <v>568</v>
      </c>
      <c r="BI88" s="245"/>
      <c r="BJ88" s="245"/>
      <c r="BK88" s="253">
        <f t="shared" si="36"/>
        <v>0</v>
      </c>
    </row>
    <row r="89" spans="32:68" ht="16" x14ac:dyDescent="0.2">
      <c r="AF89" s="206"/>
      <c r="AO89" s="205" t="s">
        <v>531</v>
      </c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1"/>
      <c r="BB89" s="231"/>
      <c r="BC89" s="231"/>
      <c r="BD89" s="253">
        <f t="shared" si="34"/>
        <v>0</v>
      </c>
      <c r="BH89" s="205" t="s">
        <v>531</v>
      </c>
      <c r="BI89" s="245"/>
      <c r="BJ89" s="245">
        <f>'Ore-&gt;PI'!AL63</f>
        <v>31.920206302076174</v>
      </c>
      <c r="BK89" s="253">
        <f t="shared" si="36"/>
        <v>31.920206302076174</v>
      </c>
    </row>
    <row r="90" spans="32:68" ht="16" x14ac:dyDescent="0.2">
      <c r="AF90" s="207"/>
      <c r="AO90" s="206" t="s">
        <v>534</v>
      </c>
      <c r="AP90" s="231"/>
      <c r="AQ90" s="231"/>
      <c r="AR90" s="231"/>
      <c r="AS90" s="231"/>
      <c r="AT90" s="231">
        <f>'Ore-&gt;PI'!AM126</f>
        <v>208.55560337725498</v>
      </c>
      <c r="AU90" s="231"/>
      <c r="AV90" s="231"/>
      <c r="AW90" s="231"/>
      <c r="AX90" s="231"/>
      <c r="AY90" s="231"/>
      <c r="AZ90" s="231"/>
      <c r="BA90" s="231"/>
      <c r="BB90" s="231"/>
      <c r="BC90" s="231"/>
      <c r="BD90" s="253">
        <f t="shared" si="34"/>
        <v>208.55560337725498</v>
      </c>
      <c r="BH90" s="206" t="s">
        <v>534</v>
      </c>
      <c r="BI90" s="245"/>
      <c r="BJ90" s="249"/>
      <c r="BK90" s="253">
        <f t="shared" si="36"/>
        <v>0</v>
      </c>
    </row>
    <row r="91" spans="32:68" x14ac:dyDescent="0.2">
      <c r="AF91" s="207"/>
      <c r="AO91" s="205" t="s">
        <v>563</v>
      </c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1"/>
      <c r="BB91" s="244"/>
      <c r="BC91" s="231"/>
      <c r="BD91" s="253">
        <f t="shared" si="34"/>
        <v>0</v>
      </c>
      <c r="BH91" s="205" t="s">
        <v>563</v>
      </c>
      <c r="BI91" s="245"/>
      <c r="BJ91" s="245">
        <f>'Ore-&gt;PI'!AM142</f>
        <v>9.5761232166267446E-2</v>
      </c>
      <c r="BK91" s="253">
        <f t="shared" si="36"/>
        <v>9.5761232166267446E-2</v>
      </c>
    </row>
    <row r="92" spans="32:68" x14ac:dyDescent="0.2">
      <c r="AF92" s="207"/>
      <c r="AO92" s="207" t="s">
        <v>555</v>
      </c>
      <c r="AP92" s="231"/>
      <c r="AQ92" s="231"/>
      <c r="AR92" s="231"/>
      <c r="AS92" s="231"/>
      <c r="AT92" s="231"/>
      <c r="AU92" s="231">
        <f>'Ore-&gt;PI'!AM206</f>
        <v>286.88405520213911</v>
      </c>
      <c r="AV92" s="231"/>
      <c r="AW92" s="231"/>
      <c r="AX92" s="231"/>
      <c r="AY92" s="231"/>
      <c r="AZ92" s="231"/>
      <c r="BA92" s="231"/>
      <c r="BB92" s="231"/>
      <c r="BC92" s="244"/>
      <c r="BD92" s="253">
        <f t="shared" si="34"/>
        <v>286.88405520213911</v>
      </c>
      <c r="BH92" s="207" t="s">
        <v>555</v>
      </c>
      <c r="BI92" s="245"/>
      <c r="BJ92" s="245"/>
      <c r="BK92" s="253">
        <f t="shared" si="36"/>
        <v>0</v>
      </c>
    </row>
    <row r="93" spans="32:68" x14ac:dyDescent="0.2">
      <c r="AF93" s="207"/>
      <c r="AO93" s="205" t="s">
        <v>538</v>
      </c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1"/>
      <c r="BB93" s="231"/>
      <c r="BC93" s="231"/>
      <c r="BD93" s="253">
        <f t="shared" si="34"/>
        <v>0</v>
      </c>
      <c r="BH93" s="205" t="s">
        <v>538</v>
      </c>
      <c r="BI93" s="245"/>
      <c r="BJ93" s="245">
        <f>'Ore-&gt;PI'!AM227</f>
        <v>7.5924566391801989</v>
      </c>
      <c r="BK93" s="253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7"/>
      <c r="AO94" s="206" t="s">
        <v>567</v>
      </c>
      <c r="AP94" s="231"/>
      <c r="AQ94" s="231"/>
      <c r="AR94" s="231"/>
      <c r="AS94" s="231"/>
      <c r="AT94" s="231"/>
      <c r="AU94" s="231"/>
      <c r="AV94" s="231">
        <f>'Ore-&gt;PI'!BD42</f>
        <v>1011.7674660019052</v>
      </c>
      <c r="AW94" s="231"/>
      <c r="AX94" s="231"/>
      <c r="AY94" s="231"/>
      <c r="AZ94" s="231"/>
      <c r="BA94" s="231"/>
      <c r="BB94" s="231"/>
      <c r="BC94" s="231"/>
      <c r="BD94" s="253">
        <f t="shared" si="34"/>
        <v>1011.7674660019052</v>
      </c>
      <c r="BH94" s="206" t="s">
        <v>567</v>
      </c>
      <c r="BI94" s="245"/>
      <c r="BJ94" s="245"/>
      <c r="BK94" s="253">
        <f t="shared" ref="BK94:BK112" si="37">SUM(BI94:BJ94)</f>
        <v>0</v>
      </c>
    </row>
    <row r="95" spans="32:68" ht="16" x14ac:dyDescent="0.2">
      <c r="AF95" s="207"/>
      <c r="AO95" s="206" t="s">
        <v>562</v>
      </c>
      <c r="AP95" s="231"/>
      <c r="AQ95" s="231"/>
      <c r="AR95" s="231"/>
      <c r="AS95" s="231"/>
      <c r="AT95" s="231"/>
      <c r="AU95" s="231"/>
      <c r="AV95" s="231"/>
      <c r="AW95" s="231">
        <f>'Ore-&gt;PI'!BE126</f>
        <v>208.55560337725498</v>
      </c>
      <c r="AX95" s="231"/>
      <c r="AY95" s="231"/>
      <c r="AZ95" s="231"/>
      <c r="BA95" s="231"/>
      <c r="BB95" s="231"/>
      <c r="BC95" s="231"/>
      <c r="BD95" s="253">
        <f t="shared" si="34"/>
        <v>208.55560337725498</v>
      </c>
      <c r="BH95" s="206" t="s">
        <v>562</v>
      </c>
      <c r="BI95" s="245"/>
      <c r="BJ95" s="245"/>
      <c r="BK95" s="253">
        <f t="shared" si="37"/>
        <v>0</v>
      </c>
    </row>
    <row r="96" spans="32:68" ht="16" x14ac:dyDescent="0.2">
      <c r="AF96" s="207"/>
      <c r="AO96" s="206" t="s">
        <v>559</v>
      </c>
      <c r="AP96" s="231"/>
      <c r="AQ96" s="231"/>
      <c r="AR96" s="231"/>
      <c r="AS96" s="231"/>
      <c r="AT96" s="231"/>
      <c r="AU96" s="231"/>
      <c r="AV96" s="231"/>
      <c r="AW96" s="231"/>
      <c r="AX96" s="231">
        <f>'Ore-&gt;PI'!BE206</f>
        <v>286.88405520213911</v>
      </c>
      <c r="AY96" s="231"/>
      <c r="AZ96" s="231"/>
      <c r="BA96" s="231"/>
      <c r="BB96" s="231"/>
      <c r="BC96" s="231"/>
      <c r="BD96" s="253">
        <f t="shared" si="34"/>
        <v>286.88405520213911</v>
      </c>
      <c r="BH96" s="206" t="s">
        <v>559</v>
      </c>
      <c r="BI96" s="245"/>
      <c r="BJ96" s="245"/>
      <c r="BK96" s="253">
        <f t="shared" si="37"/>
        <v>0</v>
      </c>
    </row>
    <row r="97" spans="32:63" ht="16" x14ac:dyDescent="0.2">
      <c r="AF97" s="254"/>
      <c r="AO97" s="206" t="s">
        <v>565</v>
      </c>
      <c r="AP97" s="231"/>
      <c r="AQ97" s="231"/>
      <c r="AR97" s="231"/>
      <c r="AS97" s="231"/>
      <c r="AT97" s="231"/>
      <c r="AU97" s="231"/>
      <c r="AV97" s="231"/>
      <c r="AW97" s="231"/>
      <c r="AX97" s="231"/>
      <c r="AY97" s="231"/>
      <c r="AZ97" s="231"/>
      <c r="BA97" s="231"/>
      <c r="BB97" s="231">
        <f>'Ore-&gt;PI'!BV42</f>
        <v>1000.0000000000001</v>
      </c>
      <c r="BC97" s="231"/>
      <c r="BD97" s="253">
        <f t="shared" si="34"/>
        <v>1000.0000000000001</v>
      </c>
      <c r="BH97" s="206" t="s">
        <v>565</v>
      </c>
      <c r="BI97" s="245"/>
      <c r="BJ97" s="245"/>
      <c r="BK97" s="253">
        <f t="shared" si="37"/>
        <v>0</v>
      </c>
    </row>
    <row r="98" spans="32:63" x14ac:dyDescent="0.2">
      <c r="AF98" s="207"/>
      <c r="AO98" s="207" t="s">
        <v>564</v>
      </c>
      <c r="AP98" s="231"/>
      <c r="AQ98" s="231"/>
      <c r="AR98" s="231"/>
      <c r="AS98" s="231"/>
      <c r="AT98" s="231"/>
      <c r="AU98" s="231"/>
      <c r="AV98" s="231"/>
      <c r="AW98" s="231"/>
      <c r="AX98" s="231"/>
      <c r="AY98" s="231"/>
      <c r="AZ98" s="231"/>
      <c r="BA98" s="231"/>
      <c r="BB98" s="231"/>
      <c r="BC98" s="244"/>
      <c r="BD98" s="253">
        <f t="shared" si="34"/>
        <v>0</v>
      </c>
      <c r="BE98" s="25"/>
      <c r="BF98" s="25"/>
      <c r="BH98" s="207" t="s">
        <v>564</v>
      </c>
      <c r="BI98" s="245"/>
      <c r="BJ98" s="245">
        <f>Beneficiation_Iron_waste</f>
        <v>11.767466001905108</v>
      </c>
      <c r="BK98" s="253">
        <f t="shared" si="37"/>
        <v>11.767466001905108</v>
      </c>
    </row>
    <row r="99" spans="32:63" x14ac:dyDescent="0.2">
      <c r="AF99" s="207"/>
      <c r="AO99" s="207" t="s">
        <v>547</v>
      </c>
      <c r="AP99" s="231"/>
      <c r="AQ99" s="231"/>
      <c r="AR99" s="231"/>
      <c r="AS99" s="231"/>
      <c r="AT99" s="231"/>
      <c r="AU99" s="231"/>
      <c r="AV99" s="231"/>
      <c r="AW99" s="231"/>
      <c r="AX99" s="231"/>
      <c r="AY99" s="231">
        <f>'Ore-&gt;PI'!BW126</f>
        <v>208.55560337725498</v>
      </c>
      <c r="AZ99" s="231"/>
      <c r="BA99" s="231"/>
      <c r="BB99" s="231"/>
      <c r="BC99" s="231"/>
      <c r="BD99" s="253">
        <f t="shared" si="34"/>
        <v>208.55560337725498</v>
      </c>
      <c r="BH99" s="207" t="s">
        <v>547</v>
      </c>
      <c r="BI99" s="245"/>
      <c r="BJ99" s="245"/>
      <c r="BK99" s="253">
        <f t="shared" si="37"/>
        <v>0</v>
      </c>
    </row>
    <row r="100" spans="32:63" x14ac:dyDescent="0.2">
      <c r="AF100" s="207"/>
      <c r="AO100" s="207" t="s">
        <v>583</v>
      </c>
      <c r="AP100" s="231"/>
      <c r="AQ100" s="231"/>
      <c r="AR100" s="231"/>
      <c r="AS100" s="231"/>
      <c r="AT100" s="231"/>
      <c r="AU100" s="231"/>
      <c r="AV100" s="231"/>
      <c r="AW100" s="231"/>
      <c r="AX100" s="231"/>
      <c r="AY100" s="231"/>
      <c r="AZ100" s="231">
        <f>'Ore-&gt;PI'!BW206</f>
        <v>286.88405520213911</v>
      </c>
      <c r="BA100" s="231"/>
      <c r="BB100" s="231"/>
      <c r="BC100" s="231"/>
      <c r="BD100" s="253">
        <f t="shared" si="34"/>
        <v>286.88405520213911</v>
      </c>
      <c r="BH100" s="207" t="s">
        <v>583</v>
      </c>
      <c r="BI100" s="245"/>
      <c r="BJ100" s="245"/>
      <c r="BK100" s="253">
        <f t="shared" si="37"/>
        <v>0</v>
      </c>
    </row>
    <row r="101" spans="32:63" x14ac:dyDescent="0.2">
      <c r="AF101" s="207"/>
      <c r="AO101" s="207" t="s">
        <v>548</v>
      </c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1"/>
      <c r="BB101" s="231">
        <f>'Ore-&gt;PI'!CQ126</f>
        <v>111.00813284002646</v>
      </c>
      <c r="BC101" s="231"/>
      <c r="BD101" s="253">
        <f t="shared" si="34"/>
        <v>111.00813284002646</v>
      </c>
      <c r="BH101" s="207" t="s">
        <v>548</v>
      </c>
      <c r="BI101" s="245"/>
      <c r="BJ101" s="245"/>
      <c r="BK101" s="253">
        <f t="shared" si="37"/>
        <v>0</v>
      </c>
    </row>
    <row r="102" spans="32:63" x14ac:dyDescent="0.2">
      <c r="AF102" s="207"/>
      <c r="AO102" s="207" t="s">
        <v>550</v>
      </c>
      <c r="AP102" s="231"/>
      <c r="AQ102" s="231"/>
      <c r="AR102" s="231"/>
      <c r="AS102" s="231"/>
      <c r="AT102" s="231"/>
      <c r="AU102" s="231"/>
      <c r="AV102" s="231"/>
      <c r="AW102" s="231"/>
      <c r="AX102" s="231"/>
      <c r="AY102" s="231"/>
      <c r="AZ102" s="231"/>
      <c r="BA102" s="231"/>
      <c r="BB102" s="231"/>
      <c r="BC102" s="244"/>
      <c r="BD102" s="253">
        <f t="shared" si="34"/>
        <v>0</v>
      </c>
      <c r="BH102" s="207" t="s">
        <v>550</v>
      </c>
      <c r="BI102" s="245"/>
      <c r="BJ102" s="245">
        <f>Kiln_SolidWaste</f>
        <v>4.9847525450981189</v>
      </c>
      <c r="BK102" s="253">
        <f t="shared" si="37"/>
        <v>4.9847525450981189</v>
      </c>
    </row>
    <row r="103" spans="32:63" x14ac:dyDescent="0.2">
      <c r="AF103" s="207"/>
      <c r="AO103" s="207" t="s">
        <v>549</v>
      </c>
      <c r="AP103" s="231"/>
      <c r="AQ103" s="231"/>
      <c r="AR103" s="231"/>
      <c r="AS103" s="231"/>
      <c r="AT103" s="231"/>
      <c r="AU103" s="231"/>
      <c r="AV103" s="231"/>
      <c r="AW103" s="231"/>
      <c r="AX103" s="231"/>
      <c r="AY103" s="231"/>
      <c r="AZ103" s="231"/>
      <c r="BA103" s="231"/>
      <c r="BB103" s="231"/>
      <c r="BC103" s="231"/>
      <c r="BD103" s="253">
        <f t="shared" si="34"/>
        <v>0</v>
      </c>
      <c r="BH103" s="207" t="s">
        <v>549</v>
      </c>
      <c r="BI103" s="245"/>
      <c r="BJ103" s="245">
        <f>'Ore-&gt;PI'!CQ138</f>
        <v>21178.628376204575</v>
      </c>
      <c r="BK103" s="253">
        <f t="shared" si="37"/>
        <v>21178.628376204575</v>
      </c>
    </row>
    <row r="104" spans="32:63" x14ac:dyDescent="0.2">
      <c r="AF104" s="207"/>
      <c r="AO104" s="207" t="s">
        <v>543</v>
      </c>
      <c r="AP104" s="231"/>
      <c r="AQ104" s="231"/>
      <c r="AR104" s="231"/>
      <c r="AS104" s="231"/>
      <c r="AT104" s="231"/>
      <c r="AU104" s="231"/>
      <c r="AV104" s="231"/>
      <c r="AW104" s="231"/>
      <c r="AX104" s="231"/>
      <c r="AY104" s="231"/>
      <c r="AZ104" s="231"/>
      <c r="BA104" s="231"/>
      <c r="BB104" s="231">
        <f>'Ore-&gt;PI'!CO206</f>
        <v>198.80764502323905</v>
      </c>
      <c r="BC104" s="231"/>
      <c r="BD104" s="253">
        <f t="shared" si="34"/>
        <v>198.80764502323905</v>
      </c>
      <c r="BH104" s="207" t="s">
        <v>543</v>
      </c>
      <c r="BI104" s="245"/>
      <c r="BJ104" s="245"/>
      <c r="BK104" s="253">
        <f t="shared" si="37"/>
        <v>0</v>
      </c>
    </row>
    <row r="105" spans="32:63" ht="16" x14ac:dyDescent="0.2">
      <c r="AF105" s="207"/>
      <c r="AO105" s="254" t="s">
        <v>545</v>
      </c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1">
        <f>'Ore-&gt;PI'!CO233</f>
        <v>69.582675758133661</v>
      </c>
      <c r="BB105" s="231"/>
      <c r="BC105" s="231"/>
      <c r="BD105" s="253">
        <f t="shared" si="34"/>
        <v>69.582675758133661</v>
      </c>
      <c r="BH105" s="254" t="s">
        <v>545</v>
      </c>
      <c r="BI105" s="245"/>
      <c r="BJ105" s="245"/>
      <c r="BK105" s="253">
        <f t="shared" si="37"/>
        <v>0</v>
      </c>
    </row>
    <row r="106" spans="32:63" x14ac:dyDescent="0.2">
      <c r="AF106" s="207"/>
      <c r="AO106" s="207" t="s">
        <v>544</v>
      </c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1"/>
      <c r="BB106" s="231"/>
      <c r="BC106" s="231"/>
      <c r="BD106" s="253">
        <f t="shared" si="34"/>
        <v>0</v>
      </c>
      <c r="BH106" s="207" t="s">
        <v>544</v>
      </c>
      <c r="BI106" s="245"/>
      <c r="BJ106" s="245">
        <f>Beneficiation_CoalWaste</f>
        <v>18.493734420766422</v>
      </c>
      <c r="BK106" s="253">
        <f t="shared" si="37"/>
        <v>18.493734420766422</v>
      </c>
    </row>
    <row r="107" spans="32:63" x14ac:dyDescent="0.2">
      <c r="AF107" s="207"/>
      <c r="AO107" s="205" t="s">
        <v>546</v>
      </c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1"/>
      <c r="BB107" s="231"/>
      <c r="BC107" s="231"/>
      <c r="BD107" s="253">
        <f t="shared" si="34"/>
        <v>0</v>
      </c>
      <c r="BH107" s="205" t="s">
        <v>546</v>
      </c>
      <c r="BI107" s="245"/>
      <c r="BJ107" s="245">
        <f>'Ore-&gt;PI'!CO250</f>
        <v>584.3657277440451</v>
      </c>
      <c r="BK107" s="253">
        <f t="shared" si="37"/>
        <v>584.3657277440451</v>
      </c>
    </row>
    <row r="108" spans="32:63" x14ac:dyDescent="0.2">
      <c r="AF108" s="207"/>
      <c r="AO108" s="207" t="s">
        <v>541</v>
      </c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>
        <f>'Ore-&gt;PI'!BW225</f>
        <v>10.437401363720047</v>
      </c>
      <c r="BA108" s="231"/>
      <c r="BB108" s="231"/>
      <c r="BC108" s="244">
        <f>'Ore-&gt;PI'!EF152</f>
        <v>48.707873030693563</v>
      </c>
      <c r="BD108" s="253">
        <f t="shared" si="34"/>
        <v>59.145274394413612</v>
      </c>
      <c r="BH108" s="207" t="s">
        <v>541</v>
      </c>
      <c r="BI108" s="245">
        <f>'Ore-&gt;PI'!EM233</f>
        <v>10.437401363720047</v>
      </c>
      <c r="BJ108" s="245"/>
      <c r="BK108" s="253">
        <f t="shared" si="37"/>
        <v>10.437401363720047</v>
      </c>
    </row>
    <row r="109" spans="32:63" x14ac:dyDescent="0.2">
      <c r="AF109" s="207"/>
      <c r="AO109" s="207" t="s">
        <v>571</v>
      </c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1"/>
      <c r="BB109" s="231"/>
      <c r="BC109" s="244">
        <f>'Ore-&gt;PI'!EF126</f>
        <v>1309.8157778632656</v>
      </c>
      <c r="BD109" s="253">
        <f t="shared" si="34"/>
        <v>1309.8157778632656</v>
      </c>
      <c r="BH109" s="207" t="s">
        <v>571</v>
      </c>
      <c r="BI109" s="245"/>
      <c r="BJ109" s="245"/>
      <c r="BK109" s="253">
        <f t="shared" si="37"/>
        <v>0</v>
      </c>
    </row>
    <row r="110" spans="32:63" x14ac:dyDescent="0.2">
      <c r="AF110" s="207"/>
      <c r="AO110" s="207" t="s">
        <v>572</v>
      </c>
      <c r="AP110" s="231"/>
      <c r="AQ110" s="231"/>
      <c r="AR110" s="231"/>
      <c r="AS110" s="231"/>
      <c r="AT110" s="231"/>
      <c r="AU110" s="231"/>
      <c r="AV110" s="231"/>
      <c r="AW110" s="231"/>
      <c r="AX110" s="231"/>
      <c r="AY110" s="231"/>
      <c r="AZ110" s="231"/>
      <c r="BA110" s="231"/>
      <c r="BB110" s="231"/>
      <c r="BC110" s="231"/>
      <c r="BD110" s="253">
        <f t="shared" si="34"/>
        <v>0</v>
      </c>
      <c r="BH110" s="207" t="s">
        <v>572</v>
      </c>
      <c r="BI110" s="245">
        <f>'Ore-&gt;PI'!FE126</f>
        <v>616.23583583508366</v>
      </c>
      <c r="BJ110" s="245"/>
      <c r="BK110" s="253">
        <f t="shared" si="37"/>
        <v>616.23583583508366</v>
      </c>
    </row>
    <row r="111" spans="32:63" x14ac:dyDescent="0.2">
      <c r="AF111" s="207"/>
      <c r="AO111" s="207" t="s">
        <v>573</v>
      </c>
      <c r="AP111" s="231"/>
      <c r="AQ111" s="231"/>
      <c r="AR111" s="231"/>
      <c r="AS111" s="231"/>
      <c r="AT111" s="231"/>
      <c r="AU111" s="231"/>
      <c r="AV111" s="231"/>
      <c r="AW111" s="231"/>
      <c r="AX111" s="231"/>
      <c r="AY111" s="231"/>
      <c r="AZ111" s="231"/>
      <c r="BA111" s="231"/>
      <c r="BB111" s="231"/>
      <c r="BC111" s="231"/>
      <c r="BD111" s="253">
        <f t="shared" si="34"/>
        <v>0</v>
      </c>
      <c r="BH111" s="207" t="s">
        <v>573</v>
      </c>
      <c r="BI111" s="245"/>
      <c r="BJ111" s="245">
        <f>'Ore-&gt;PI'!FE141</f>
        <v>3432.8541806261665</v>
      </c>
      <c r="BK111" s="253">
        <f t="shared" si="37"/>
        <v>3432.8541806261665</v>
      </c>
    </row>
    <row r="112" spans="32:63" x14ac:dyDescent="0.2">
      <c r="AF112" s="207"/>
      <c r="AO112" s="207" t="s">
        <v>584</v>
      </c>
      <c r="AP112" s="231"/>
      <c r="AQ112" s="231"/>
      <c r="AR112" s="231"/>
      <c r="AS112" s="231"/>
      <c r="AT112" s="231"/>
      <c r="AU112" s="231"/>
      <c r="AV112" s="231"/>
      <c r="AW112" s="231"/>
      <c r="AX112" s="231"/>
      <c r="AY112" s="231"/>
      <c r="AZ112" s="231"/>
      <c r="BA112" s="231"/>
      <c r="BB112" s="231"/>
      <c r="BC112" s="231"/>
      <c r="BD112" s="253">
        <f t="shared" si="34"/>
        <v>0</v>
      </c>
      <c r="BH112" s="207" t="s">
        <v>584</v>
      </c>
      <c r="BI112" s="245"/>
      <c r="BJ112" s="245">
        <f>BF_SolidWaste</f>
        <v>229.94813284002646</v>
      </c>
      <c r="BK112" s="253">
        <f t="shared" si="37"/>
        <v>229.94813284002646</v>
      </c>
    </row>
    <row r="113" spans="2:63" x14ac:dyDescent="0.2">
      <c r="AF113" s="207"/>
      <c r="AO113" s="207"/>
      <c r="AP113" s="359" t="s">
        <v>421</v>
      </c>
      <c r="AQ113" s="359"/>
      <c r="AR113" s="359"/>
      <c r="AS113" s="359"/>
      <c r="AT113" s="359"/>
      <c r="AU113" s="359"/>
      <c r="AV113" s="359"/>
      <c r="AW113" s="359"/>
      <c r="AX113" s="359"/>
      <c r="AY113" s="359"/>
      <c r="AZ113" s="359"/>
      <c r="BA113" s="359"/>
      <c r="BB113" s="359"/>
      <c r="BC113" s="359"/>
      <c r="BD113" s="25" t="s">
        <v>477</v>
      </c>
      <c r="BI113" s="359" t="s">
        <v>423</v>
      </c>
      <c r="BJ113" s="359"/>
      <c r="BK113" s="25" t="s">
        <v>492</v>
      </c>
    </row>
    <row r="114" spans="2:63" x14ac:dyDescent="0.2">
      <c r="AF114" s="207"/>
      <c r="AO114" s="207"/>
      <c r="AP114" s="253">
        <f>SUM(AP79:AP112)</f>
        <v>1043.6876723039813</v>
      </c>
      <c r="AQ114" s="253">
        <f>SUM(AQ79:AQ112)</f>
        <v>208.65136460942125</v>
      </c>
      <c r="AR114" s="253">
        <f>SUM(AR79:AR112)</f>
        <v>294.47651184131928</v>
      </c>
      <c r="AS114" s="253">
        <f t="shared" ref="AS114:BC114" si="38">SUM(AS79:AS112)</f>
        <v>1011.7674660019052</v>
      </c>
      <c r="AT114" s="253">
        <f t="shared" si="38"/>
        <v>208.55560337725498</v>
      </c>
      <c r="AU114" s="253">
        <f t="shared" si="38"/>
        <v>286.88405520213911</v>
      </c>
      <c r="AV114" s="253">
        <f t="shared" si="38"/>
        <v>1011.7674660019052</v>
      </c>
      <c r="AW114" s="253">
        <f t="shared" si="38"/>
        <v>208.55560337725498</v>
      </c>
      <c r="AX114" s="253">
        <f t="shared" si="38"/>
        <v>286.88405520213911</v>
      </c>
      <c r="AY114" s="253">
        <f t="shared" si="38"/>
        <v>21294.621261589698</v>
      </c>
      <c r="AZ114" s="253">
        <f t="shared" si="38"/>
        <v>871.24978294618404</v>
      </c>
      <c r="BA114" s="253">
        <f t="shared" si="38"/>
        <v>69.582675758133661</v>
      </c>
      <c r="BB114" s="253">
        <f t="shared" si="38"/>
        <v>1309.8157778632656</v>
      </c>
      <c r="BC114" s="253">
        <f t="shared" si="38"/>
        <v>4279.0381493012774</v>
      </c>
      <c r="BI114" s="25"/>
      <c r="BJ114" s="25"/>
    </row>
    <row r="115" spans="2:63" ht="13" customHeight="1" x14ac:dyDescent="0.2">
      <c r="C115" s="360"/>
      <c r="D115" s="360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07"/>
      <c r="AG115" s="234"/>
      <c r="AH115" s="234"/>
      <c r="AI115" s="234"/>
      <c r="AJ115" s="234"/>
      <c r="AK115" s="234"/>
      <c r="AL115" s="234"/>
      <c r="AM115" s="234"/>
      <c r="AP115" s="359" t="s">
        <v>476</v>
      </c>
      <c r="AQ115" s="359"/>
      <c r="AR115" s="359"/>
      <c r="AS115" s="359"/>
      <c r="AT115" s="359"/>
      <c r="AU115" s="359"/>
      <c r="AV115" s="359"/>
      <c r="AW115" s="359"/>
      <c r="AX115" s="359"/>
      <c r="AY115" s="359"/>
      <c r="AZ115" s="359"/>
      <c r="BA115" s="359"/>
      <c r="BB115" s="359"/>
      <c r="BC115" s="359"/>
      <c r="BI115" s="25"/>
      <c r="BJ115" s="25"/>
    </row>
    <row r="116" spans="2:63" ht="236" x14ac:dyDescent="0.2">
      <c r="B116" s="241" t="s">
        <v>456</v>
      </c>
      <c r="C116" s="208" t="s">
        <v>426</v>
      </c>
      <c r="D116" s="208" t="s">
        <v>428</v>
      </c>
      <c r="E116" s="208" t="s">
        <v>429</v>
      </c>
      <c r="F116" s="208" t="s">
        <v>450</v>
      </c>
      <c r="G116" s="208" t="s">
        <v>485</v>
      </c>
      <c r="H116" s="208" t="s">
        <v>529</v>
      </c>
      <c r="I116" s="208" t="s">
        <v>596</v>
      </c>
      <c r="J116" s="208" t="s">
        <v>597</v>
      </c>
      <c r="K116" s="208" t="s">
        <v>586</v>
      </c>
      <c r="L116" s="210" t="s">
        <v>568</v>
      </c>
      <c r="M116" s="208" t="s">
        <v>531</v>
      </c>
      <c r="N116" s="210" t="s">
        <v>534</v>
      </c>
      <c r="O116" s="208" t="s">
        <v>563</v>
      </c>
      <c r="P116" s="211" t="s">
        <v>555</v>
      </c>
      <c r="Q116" s="208" t="s">
        <v>538</v>
      </c>
      <c r="R116" s="210" t="s">
        <v>567</v>
      </c>
      <c r="S116" s="210" t="s">
        <v>562</v>
      </c>
      <c r="T116" s="210" t="s">
        <v>559</v>
      </c>
      <c r="U116" s="210" t="s">
        <v>565</v>
      </c>
      <c r="V116" s="211" t="s">
        <v>564</v>
      </c>
      <c r="W116" s="211" t="s">
        <v>547</v>
      </c>
      <c r="X116" s="211" t="s">
        <v>583</v>
      </c>
      <c r="Y116" s="211" t="s">
        <v>548</v>
      </c>
      <c r="Z116" s="211" t="s">
        <v>550</v>
      </c>
      <c r="AA116" s="211" t="s">
        <v>549</v>
      </c>
      <c r="AB116" s="211" t="s">
        <v>543</v>
      </c>
      <c r="AC116" s="233" t="s">
        <v>545</v>
      </c>
      <c r="AD116" s="211" t="s">
        <v>544</v>
      </c>
      <c r="AE116" s="208" t="s">
        <v>546</v>
      </c>
      <c r="AF116" s="211" t="s">
        <v>541</v>
      </c>
      <c r="AG116" s="211" t="s">
        <v>571</v>
      </c>
      <c r="AH116" s="211" t="s">
        <v>572</v>
      </c>
      <c r="AI116" s="211" t="s">
        <v>573</v>
      </c>
      <c r="AJ116" s="211" t="s">
        <v>584</v>
      </c>
    </row>
    <row r="117" spans="2:63" x14ac:dyDescent="0.2">
      <c r="B117" s="205" t="s">
        <v>418</v>
      </c>
      <c r="C117" s="231"/>
      <c r="D117" s="231"/>
      <c r="E117" s="231"/>
      <c r="F117" s="231"/>
      <c r="G117" s="231"/>
      <c r="H117" s="231"/>
      <c r="I117" s="231"/>
      <c r="J117" s="231"/>
      <c r="K117" s="231"/>
      <c r="L117" s="231">
        <f>'Ore-&gt;PI'!T42</f>
        <v>1011.7674660019052</v>
      </c>
      <c r="M117" s="231">
        <f>'Ore-&gt;PI'!$AL$63</f>
        <v>31.920206302076174</v>
      </c>
      <c r="N117" s="231"/>
      <c r="O117" s="231"/>
      <c r="P117" s="231"/>
      <c r="Q117" s="231"/>
      <c r="R117" s="231"/>
      <c r="S117" s="231"/>
      <c r="T117" s="231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1"/>
      <c r="AI117" s="231"/>
      <c r="AJ117" s="231"/>
      <c r="AK117" s="253">
        <f>SUM(C117:AJ117)</f>
        <v>1043.6876723039813</v>
      </c>
    </row>
    <row r="118" spans="2:63" x14ac:dyDescent="0.2">
      <c r="B118" s="205" t="s">
        <v>419</v>
      </c>
      <c r="C118" s="231"/>
      <c r="D118" s="231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>
        <f>'Ore-&gt;PI'!AM126</f>
        <v>208.55560337725498</v>
      </c>
      <c r="O118" s="231">
        <f>'Ore-&gt;PI'!$AM$142</f>
        <v>9.5761232166267446E-2</v>
      </c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31"/>
      <c r="AG118" s="231"/>
      <c r="AH118" s="231"/>
      <c r="AI118" s="231"/>
      <c r="AJ118" s="231"/>
      <c r="AK118" s="253">
        <f>SUM(C118:AJ118)</f>
        <v>208.65136460942125</v>
      </c>
    </row>
    <row r="119" spans="2:63" x14ac:dyDescent="0.2">
      <c r="B119" s="205" t="s">
        <v>420</v>
      </c>
      <c r="C119" s="231"/>
      <c r="D119" s="231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>
        <f>'Ore-&gt;PI'!$AM$206</f>
        <v>286.88405520213911</v>
      </c>
      <c r="Q119" s="231">
        <f>'Ore-&gt;PI'!$AM$227</f>
        <v>7.5924566391801989</v>
      </c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1"/>
      <c r="AI119" s="231"/>
      <c r="AJ119" s="231"/>
      <c r="AK119" s="253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5" t="s">
        <v>582</v>
      </c>
      <c r="C120" s="231"/>
      <c r="D120" s="231"/>
      <c r="E120" s="231"/>
      <c r="F120" s="231"/>
      <c r="G120" s="231"/>
      <c r="H120" s="231"/>
      <c r="I120" s="231"/>
      <c r="J120" s="231"/>
      <c r="K120" s="231"/>
      <c r="L120" s="231"/>
      <c r="M120" s="231"/>
      <c r="N120" s="231"/>
      <c r="O120" s="231"/>
      <c r="P120" s="231"/>
      <c r="Q120" s="231"/>
      <c r="R120" s="231">
        <f>'Ore-&gt;PI'!$BD$42</f>
        <v>1011.7674660019052</v>
      </c>
      <c r="S120" s="231"/>
      <c r="T120" s="231"/>
      <c r="U120" s="231"/>
      <c r="V120" s="231"/>
      <c r="W120" s="231"/>
      <c r="X120" s="231"/>
      <c r="Y120" s="231"/>
      <c r="Z120" s="231"/>
      <c r="AA120" s="231"/>
      <c r="AB120" s="231"/>
      <c r="AC120" s="231"/>
      <c r="AD120" s="231"/>
      <c r="AE120" s="231"/>
      <c r="AF120" s="231"/>
      <c r="AG120" s="231"/>
      <c r="AH120" s="231"/>
      <c r="AI120" s="231"/>
      <c r="AJ120" s="231"/>
      <c r="AK120" s="253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5" t="s">
        <v>561</v>
      </c>
      <c r="C121" s="231"/>
      <c r="D121" s="231"/>
      <c r="E121" s="231"/>
      <c r="F121" s="231"/>
      <c r="G121" s="231"/>
      <c r="H121" s="231"/>
      <c r="I121" s="231"/>
      <c r="J121" s="231"/>
      <c r="K121" s="231"/>
      <c r="L121" s="231"/>
      <c r="M121" s="231"/>
      <c r="N121" s="231"/>
      <c r="O121" s="231"/>
      <c r="P121" s="231"/>
      <c r="Q121" s="231"/>
      <c r="R121" s="231"/>
      <c r="S121" s="231">
        <f>'Ore-&gt;PI'!$BE$126</f>
        <v>208.55560337725498</v>
      </c>
      <c r="T121" s="231"/>
      <c r="U121" s="231"/>
      <c r="V121" s="231"/>
      <c r="W121" s="231"/>
      <c r="X121" s="231"/>
      <c r="Y121" s="231"/>
      <c r="Z121" s="231"/>
      <c r="AA121" s="231"/>
      <c r="AB121" s="231"/>
      <c r="AC121" s="231"/>
      <c r="AD121" s="231"/>
      <c r="AE121" s="231"/>
      <c r="AF121" s="231"/>
      <c r="AG121" s="231"/>
      <c r="AH121" s="231"/>
      <c r="AI121" s="231"/>
      <c r="AJ121" s="231"/>
      <c r="AK121" s="253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5" t="s">
        <v>560</v>
      </c>
      <c r="C122" s="231"/>
      <c r="D122" s="231"/>
      <c r="E122" s="231"/>
      <c r="F122" s="231"/>
      <c r="G122" s="231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>
        <f>'Ore-&gt;PI'!$BE$206</f>
        <v>286.88405520213911</v>
      </c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31"/>
      <c r="AJ122" s="231"/>
      <c r="AK122" s="253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5" t="s">
        <v>446</v>
      </c>
      <c r="C123" s="231"/>
      <c r="D123" s="231"/>
      <c r="E123" s="231"/>
      <c r="F123" s="231"/>
      <c r="G123" s="231"/>
      <c r="H123" s="231"/>
      <c r="I123" s="231"/>
      <c r="J123" s="231"/>
      <c r="K123" s="231"/>
      <c r="L123" s="231"/>
      <c r="M123" s="231"/>
      <c r="N123" s="231"/>
      <c r="O123" s="231"/>
      <c r="P123" s="231"/>
      <c r="Q123" s="231"/>
      <c r="R123" s="231"/>
      <c r="S123" s="231"/>
      <c r="T123" s="231"/>
      <c r="U123" s="231">
        <f>'Ore-&gt;PI'!$BV$42</f>
        <v>1000.0000000000001</v>
      </c>
      <c r="V123" s="231">
        <f>Beneficiation_Iron_waste</f>
        <v>11.767466001905108</v>
      </c>
      <c r="W123" s="231"/>
      <c r="X123" s="231"/>
      <c r="Y123" s="231"/>
      <c r="Z123" s="231"/>
      <c r="AA123" s="231"/>
      <c r="AB123" s="231"/>
      <c r="AC123" s="231"/>
      <c r="AD123" s="231"/>
      <c r="AE123" s="231"/>
      <c r="AF123" s="231"/>
      <c r="AG123" s="231"/>
      <c r="AH123" s="231"/>
      <c r="AI123" s="231"/>
      <c r="AJ123" s="231"/>
      <c r="AK123" s="253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5" t="s">
        <v>443</v>
      </c>
      <c r="C124" s="231"/>
      <c r="D124" s="231"/>
      <c r="E124" s="231"/>
      <c r="F124" s="231"/>
      <c r="G124" s="231"/>
      <c r="H124" s="231"/>
      <c r="I124" s="231"/>
      <c r="J124" s="231"/>
      <c r="K124" s="231"/>
      <c r="L124" s="231"/>
      <c r="M124" s="231"/>
      <c r="N124" s="231"/>
      <c r="O124" s="231"/>
      <c r="P124" s="231"/>
      <c r="Q124" s="231"/>
      <c r="R124" s="231"/>
      <c r="S124" s="231"/>
      <c r="T124" s="231"/>
      <c r="U124" s="231"/>
      <c r="V124" s="231"/>
      <c r="W124" s="231">
        <f>'Ore-&gt;PI'!$BW$126</f>
        <v>208.55560337725498</v>
      </c>
      <c r="X124" s="231"/>
      <c r="Y124" s="231"/>
      <c r="Z124" s="231"/>
      <c r="AA124" s="231"/>
      <c r="AB124" s="231"/>
      <c r="AC124" s="231"/>
      <c r="AD124" s="231"/>
      <c r="AE124" s="231"/>
      <c r="AF124" s="231"/>
      <c r="AG124" s="231"/>
      <c r="AH124" s="231"/>
      <c r="AI124" s="231"/>
      <c r="AJ124" s="231"/>
      <c r="AK124" s="253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5" t="s">
        <v>465</v>
      </c>
      <c r="C125" s="231"/>
      <c r="D125" s="231"/>
      <c r="E125" s="231"/>
      <c r="F125" s="231"/>
      <c r="G125" s="231"/>
      <c r="H125" s="231"/>
      <c r="I125" s="231"/>
      <c r="J125" s="231"/>
      <c r="K125" s="231"/>
      <c r="L125" s="231"/>
      <c r="M125" s="231"/>
      <c r="N125" s="231"/>
      <c r="O125" s="231"/>
      <c r="P125" s="231"/>
      <c r="Q125" s="231"/>
      <c r="R125" s="231"/>
      <c r="S125" s="231"/>
      <c r="T125" s="231"/>
      <c r="U125" s="231"/>
      <c r="V125" s="231"/>
      <c r="W125" s="231"/>
      <c r="X125" s="231">
        <f>'Ore-&gt;PI'!$BW$206</f>
        <v>286.88405520213911</v>
      </c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1"/>
      <c r="AI125" s="231"/>
      <c r="AJ125" s="231"/>
      <c r="AK125" s="253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5" t="s">
        <v>444</v>
      </c>
      <c r="C126" s="231"/>
      <c r="D126" s="231"/>
      <c r="E126" s="231"/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/>
      <c r="X126" s="231"/>
      <c r="Y126" s="231">
        <f>'Ore-&gt;PI'!$CQ$126</f>
        <v>111.00813284002646</v>
      </c>
      <c r="Z126" s="231">
        <f>Kiln_SolidWaste</f>
        <v>4.9847525450981189</v>
      </c>
      <c r="AA126" s="231">
        <f>'Ore-&gt;PI'!$CQ$138</f>
        <v>21178.628376204575</v>
      </c>
      <c r="AB126" s="231"/>
      <c r="AC126" s="231"/>
      <c r="AD126" s="231"/>
      <c r="AE126" s="231"/>
      <c r="AF126" s="231"/>
      <c r="AG126" s="231"/>
      <c r="AH126" s="231"/>
      <c r="AI126" s="231"/>
      <c r="AJ126" s="231"/>
      <c r="AK126" s="253">
        <f t="shared" si="39"/>
        <v>21294.621261589698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5" t="s">
        <v>439</v>
      </c>
      <c r="C127" s="231"/>
      <c r="D127" s="231"/>
      <c r="E127" s="231"/>
      <c r="F127" s="231"/>
      <c r="G127" s="231"/>
      <c r="H127" s="231"/>
      <c r="I127" s="231"/>
      <c r="J127" s="231"/>
      <c r="K127" s="231"/>
      <c r="L127" s="231"/>
      <c r="M127" s="231"/>
      <c r="N127" s="231"/>
      <c r="O127" s="231"/>
      <c r="P127" s="231"/>
      <c r="Q127" s="231"/>
      <c r="R127" s="231"/>
      <c r="S127" s="231"/>
      <c r="T127" s="231"/>
      <c r="U127" s="231"/>
      <c r="V127" s="231"/>
      <c r="W127" s="231"/>
      <c r="X127" s="231"/>
      <c r="Y127" s="231"/>
      <c r="Z127" s="231"/>
      <c r="AA127" s="231"/>
      <c r="AB127" s="231">
        <f>'Ore-&gt;PI'!$CO$206</f>
        <v>198.80764502323905</v>
      </c>
      <c r="AC127" s="231">
        <f>'Ore-&gt;PI'!$CO$233</f>
        <v>69.582675758133661</v>
      </c>
      <c r="AD127" s="231">
        <f>Beneficiation_CoalWaste</f>
        <v>18.493734420766422</v>
      </c>
      <c r="AE127" s="231">
        <f>'Ore-&gt;PI'!$CO$250</f>
        <v>584.3657277440451</v>
      </c>
      <c r="AF127" s="231"/>
      <c r="AG127" s="231"/>
      <c r="AH127" s="231"/>
      <c r="AI127" s="231"/>
      <c r="AJ127" s="231"/>
      <c r="AK127" s="253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5" t="s">
        <v>461</v>
      </c>
      <c r="C128" s="231"/>
      <c r="D128" s="231"/>
      <c r="E128" s="231"/>
      <c r="F128" s="231"/>
      <c r="G128" s="231"/>
      <c r="H128" s="231"/>
      <c r="I128" s="231"/>
      <c r="J128" s="231"/>
      <c r="K128" s="231"/>
      <c r="L128" s="231"/>
      <c r="M128" s="231"/>
      <c r="N128" s="231"/>
      <c r="O128" s="231"/>
      <c r="P128" s="231"/>
      <c r="Q128" s="231"/>
      <c r="R128" s="231"/>
      <c r="S128" s="231"/>
      <c r="T128" s="231"/>
      <c r="U128" s="231"/>
      <c r="V128" s="231"/>
      <c r="W128" s="231"/>
      <c r="X128" s="231"/>
      <c r="Y128" s="231"/>
      <c r="Z128" s="231"/>
      <c r="AA128" s="231"/>
      <c r="AB128" s="231"/>
      <c r="AC128" s="231"/>
      <c r="AD128" s="231"/>
      <c r="AE128" s="231"/>
      <c r="AF128" s="231">
        <f>'Ore-&gt;PI'!$DH$233</f>
        <v>69.582675758133661</v>
      </c>
      <c r="AG128" s="231"/>
      <c r="AH128" s="231"/>
      <c r="AI128" s="231"/>
      <c r="AJ128" s="231"/>
      <c r="AK128" s="253">
        <f t="shared" si="39"/>
        <v>69.582675758133661</v>
      </c>
    </row>
    <row r="129" spans="2:38" x14ac:dyDescent="0.2">
      <c r="B129" s="205" t="s">
        <v>81</v>
      </c>
      <c r="C129" s="231"/>
      <c r="D129" s="231"/>
      <c r="E129" s="231"/>
      <c r="F129" s="231"/>
      <c r="G129" s="231"/>
      <c r="H129" s="231"/>
      <c r="I129" s="231"/>
      <c r="J129" s="231"/>
      <c r="K129" s="231"/>
      <c r="L129" s="231"/>
      <c r="M129" s="231"/>
      <c r="N129" s="231"/>
      <c r="O129" s="231"/>
      <c r="P129" s="231"/>
      <c r="Q129" s="231"/>
      <c r="R129" s="231"/>
      <c r="S129" s="231"/>
      <c r="T129" s="231"/>
      <c r="U129" s="231"/>
      <c r="V129" s="231"/>
      <c r="W129" s="231"/>
      <c r="X129" s="231"/>
      <c r="Y129" s="231"/>
      <c r="Z129" s="231"/>
      <c r="AA129" s="231"/>
      <c r="AB129" s="231"/>
      <c r="AC129" s="231"/>
      <c r="AD129" s="231"/>
      <c r="AE129" s="244"/>
      <c r="AF129" s="231"/>
      <c r="AG129" s="244">
        <f>'Ore-&gt;PI'!$EF$126</f>
        <v>1309.8157778632656</v>
      </c>
      <c r="AH129" s="231"/>
      <c r="AI129" s="231"/>
      <c r="AJ129" s="231"/>
      <c r="AK129" s="253">
        <f t="shared" si="39"/>
        <v>1309.8157778632656</v>
      </c>
    </row>
    <row r="130" spans="2:38" x14ac:dyDescent="0.2">
      <c r="B130" s="205" t="s">
        <v>430</v>
      </c>
      <c r="C130" s="231"/>
      <c r="D130" s="231"/>
      <c r="E130" s="231"/>
      <c r="F130" s="244"/>
      <c r="G130" s="231"/>
      <c r="H130" s="231"/>
      <c r="I130" s="231"/>
      <c r="J130" s="231"/>
      <c r="K130" s="231"/>
      <c r="L130" s="231"/>
      <c r="M130" s="231"/>
      <c r="N130" s="231"/>
      <c r="O130" s="231"/>
      <c r="P130" s="231"/>
      <c r="Q130" s="231"/>
      <c r="R130" s="231"/>
      <c r="S130" s="231"/>
      <c r="T130" s="231"/>
      <c r="U130" s="231"/>
      <c r="V130" s="231"/>
      <c r="W130" s="231"/>
      <c r="X130" s="231"/>
      <c r="Y130" s="231"/>
      <c r="Z130" s="231"/>
      <c r="AA130" s="248"/>
      <c r="AB130" s="231"/>
      <c r="AC130" s="231"/>
      <c r="AD130" s="231"/>
      <c r="AE130" s="231"/>
      <c r="AF130" s="231"/>
      <c r="AG130" s="231"/>
      <c r="AH130" s="231">
        <f>'Ore-&gt;PI'!$FE$126</f>
        <v>616.23583583508366</v>
      </c>
      <c r="AI130" s="231">
        <f>'Ore-&gt;PI'!$FE$141</f>
        <v>3432.8541806261665</v>
      </c>
      <c r="AJ130" s="231">
        <f>BF_SolidWaste</f>
        <v>229.94813284002646</v>
      </c>
      <c r="AK130" s="253">
        <f t="shared" si="39"/>
        <v>4279.0381493012765</v>
      </c>
    </row>
    <row r="131" spans="2:38" x14ac:dyDescent="0.2">
      <c r="B131" s="205"/>
      <c r="C131" s="359" t="s">
        <v>422</v>
      </c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  <c r="AA131" s="359"/>
      <c r="AB131" s="359"/>
      <c r="AC131" s="359"/>
      <c r="AD131" s="359"/>
      <c r="AE131" s="359"/>
      <c r="AF131" s="359"/>
      <c r="AG131" s="359"/>
      <c r="AH131" s="359"/>
      <c r="AI131" s="359"/>
      <c r="AJ131" s="359"/>
      <c r="AK131" s="25" t="s">
        <v>473</v>
      </c>
      <c r="AL131" s="25"/>
    </row>
    <row r="132" spans="2:38" x14ac:dyDescent="0.2">
      <c r="B132" s="205"/>
      <c r="C132" s="253">
        <f t="shared" ref="C132:AJ132" si="40">SUM(C117:C130)</f>
        <v>0</v>
      </c>
      <c r="D132" s="253">
        <f t="shared" si="40"/>
        <v>0</v>
      </c>
      <c r="E132" s="253">
        <f t="shared" si="40"/>
        <v>0</v>
      </c>
      <c r="F132" s="253">
        <f t="shared" si="40"/>
        <v>0</v>
      </c>
      <c r="G132" s="253">
        <f t="shared" si="40"/>
        <v>0</v>
      </c>
      <c r="H132" s="253">
        <f t="shared" si="40"/>
        <v>0</v>
      </c>
      <c r="I132" s="253">
        <f t="shared" si="40"/>
        <v>0</v>
      </c>
      <c r="J132" s="253">
        <f t="shared" si="40"/>
        <v>0</v>
      </c>
      <c r="K132" s="253">
        <f t="shared" si="40"/>
        <v>0</v>
      </c>
      <c r="L132" s="253">
        <f t="shared" si="40"/>
        <v>1011.7674660019052</v>
      </c>
      <c r="M132" s="253">
        <f t="shared" si="40"/>
        <v>31.920206302076174</v>
      </c>
      <c r="N132" s="253">
        <f t="shared" si="40"/>
        <v>208.55560337725498</v>
      </c>
      <c r="O132" s="253">
        <f t="shared" si="40"/>
        <v>9.5761232166267446E-2</v>
      </c>
      <c r="P132" s="253">
        <f t="shared" si="40"/>
        <v>286.88405520213911</v>
      </c>
      <c r="Q132" s="253">
        <f t="shared" si="40"/>
        <v>7.5924566391801989</v>
      </c>
      <c r="R132" s="253">
        <f t="shared" si="40"/>
        <v>1011.7674660019052</v>
      </c>
      <c r="S132" s="253">
        <f t="shared" si="40"/>
        <v>208.55560337725498</v>
      </c>
      <c r="T132" s="253">
        <f t="shared" si="40"/>
        <v>286.88405520213911</v>
      </c>
      <c r="U132" s="253">
        <f t="shared" si="40"/>
        <v>1000.0000000000001</v>
      </c>
      <c r="V132" s="253">
        <f t="shared" si="40"/>
        <v>11.767466001905108</v>
      </c>
      <c r="W132" s="253">
        <f t="shared" si="40"/>
        <v>208.55560337725498</v>
      </c>
      <c r="X132" s="253">
        <f t="shared" si="40"/>
        <v>286.88405520213911</v>
      </c>
      <c r="Y132" s="253">
        <f t="shared" si="40"/>
        <v>111.00813284002646</v>
      </c>
      <c r="Z132" s="253">
        <f t="shared" si="40"/>
        <v>4.9847525450981189</v>
      </c>
      <c r="AA132" s="253">
        <f t="shared" si="40"/>
        <v>21178.628376204575</v>
      </c>
      <c r="AB132" s="253">
        <f t="shared" si="40"/>
        <v>198.80764502323905</v>
      </c>
      <c r="AC132" s="253">
        <f t="shared" si="40"/>
        <v>69.582675758133661</v>
      </c>
      <c r="AD132" s="253">
        <f t="shared" si="40"/>
        <v>18.493734420766422</v>
      </c>
      <c r="AE132" s="253">
        <f t="shared" si="40"/>
        <v>584.3657277440451</v>
      </c>
      <c r="AF132" s="253">
        <f t="shared" si="40"/>
        <v>69.582675758133661</v>
      </c>
      <c r="AG132" s="253">
        <f t="shared" si="40"/>
        <v>1309.8157778632656</v>
      </c>
      <c r="AH132" s="253">
        <f t="shared" si="40"/>
        <v>616.23583583508366</v>
      </c>
      <c r="AI132" s="253">
        <f t="shared" si="40"/>
        <v>3432.8541806261665</v>
      </c>
      <c r="AJ132" s="253">
        <f t="shared" si="40"/>
        <v>229.94813284002646</v>
      </c>
    </row>
    <row r="133" spans="2:38" x14ac:dyDescent="0.2">
      <c r="B133" s="205"/>
      <c r="C133" s="359" t="s">
        <v>474</v>
      </c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9"/>
      <c r="AH133" s="359"/>
      <c r="AI133" s="359"/>
      <c r="AJ133" s="359"/>
    </row>
    <row r="134" spans="2:38" x14ac:dyDescent="0.2">
      <c r="B134" s="205"/>
    </row>
    <row r="135" spans="2:38" x14ac:dyDescent="0.2">
      <c r="B135" s="205"/>
    </row>
    <row r="136" spans="2:38" x14ac:dyDescent="0.2">
      <c r="B136" s="205"/>
    </row>
    <row r="137" spans="2:38" x14ac:dyDescent="0.2">
      <c r="B137" s="205"/>
    </row>
    <row r="138" spans="2:38" x14ac:dyDescent="0.2">
      <c r="B138" s="205"/>
    </row>
    <row r="139" spans="2:38" x14ac:dyDescent="0.2">
      <c r="B139" s="205"/>
    </row>
    <row r="140" spans="2:38" x14ac:dyDescent="0.2">
      <c r="B140" s="205"/>
    </row>
    <row r="141" spans="2:38" x14ac:dyDescent="0.2">
      <c r="B141" s="205"/>
    </row>
    <row r="142" spans="2:38" x14ac:dyDescent="0.2">
      <c r="B142" s="205"/>
    </row>
    <row r="143" spans="2:38" x14ac:dyDescent="0.2">
      <c r="B143" s="205"/>
    </row>
    <row r="144" spans="2:38" ht="236" x14ac:dyDescent="0.2">
      <c r="B144" s="205"/>
      <c r="C144" s="208" t="s">
        <v>426</v>
      </c>
      <c r="D144" s="208" t="s">
        <v>428</v>
      </c>
      <c r="E144" s="208" t="s">
        <v>429</v>
      </c>
      <c r="F144" s="208" t="s">
        <v>450</v>
      </c>
      <c r="G144" s="208" t="s">
        <v>485</v>
      </c>
      <c r="H144" s="208" t="s">
        <v>529</v>
      </c>
      <c r="I144" s="208" t="s">
        <v>596</v>
      </c>
      <c r="J144" s="208" t="s">
        <v>597</v>
      </c>
      <c r="K144" s="208" t="s">
        <v>586</v>
      </c>
      <c r="L144" s="210" t="s">
        <v>568</v>
      </c>
      <c r="M144" s="208" t="s">
        <v>531</v>
      </c>
      <c r="N144" s="210" t="s">
        <v>534</v>
      </c>
      <c r="O144" s="208" t="s">
        <v>563</v>
      </c>
      <c r="P144" s="211" t="s">
        <v>555</v>
      </c>
      <c r="Q144" s="208" t="s">
        <v>538</v>
      </c>
      <c r="R144" s="210" t="s">
        <v>567</v>
      </c>
      <c r="S144" s="210" t="s">
        <v>562</v>
      </c>
      <c r="T144" s="210" t="s">
        <v>559</v>
      </c>
      <c r="U144" s="210" t="s">
        <v>565</v>
      </c>
      <c r="V144" s="211" t="s">
        <v>564</v>
      </c>
      <c r="W144" s="211" t="s">
        <v>547</v>
      </c>
      <c r="X144" s="211" t="s">
        <v>583</v>
      </c>
      <c r="Y144" s="211" t="s">
        <v>548</v>
      </c>
      <c r="Z144" s="211" t="s">
        <v>550</v>
      </c>
      <c r="AA144" s="211" t="s">
        <v>549</v>
      </c>
      <c r="AB144" s="211" t="s">
        <v>543</v>
      </c>
      <c r="AC144" s="233" t="s">
        <v>545</v>
      </c>
      <c r="AD144" s="211" t="s">
        <v>544</v>
      </c>
      <c r="AE144" s="208" t="s">
        <v>546</v>
      </c>
      <c r="AF144" s="211" t="s">
        <v>541</v>
      </c>
      <c r="AG144" s="211" t="s">
        <v>571</v>
      </c>
      <c r="AH144" s="211" t="s">
        <v>572</v>
      </c>
      <c r="AI144" s="211" t="s">
        <v>573</v>
      </c>
      <c r="AJ144" s="211" t="s">
        <v>584</v>
      </c>
      <c r="AK144" s="211"/>
      <c r="AL144" s="211"/>
    </row>
    <row r="145" spans="2:42" x14ac:dyDescent="0.2">
      <c r="B145" s="205" t="s">
        <v>425</v>
      </c>
      <c r="C145" s="245">
        <f>'Ore-&gt;PI'!T42</f>
        <v>1011.7674660019052</v>
      </c>
      <c r="D145" s="245"/>
      <c r="E145" s="245"/>
      <c r="F145" s="245"/>
      <c r="G145" s="245"/>
      <c r="H145" s="245"/>
      <c r="I145" s="245"/>
      <c r="J145" s="245"/>
      <c r="K145" s="245"/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</row>
    <row r="146" spans="2:42" ht="16" x14ac:dyDescent="0.2">
      <c r="B146" s="206" t="s">
        <v>427</v>
      </c>
      <c r="C146" s="245"/>
      <c r="D146" s="245">
        <f>'Ore-&gt;PI'!T126</f>
        <v>208.55560337725498</v>
      </c>
      <c r="E146" s="245"/>
      <c r="F146" s="245"/>
      <c r="G146" s="245"/>
      <c r="H146" s="245"/>
      <c r="I146" s="245"/>
      <c r="J146" s="245"/>
      <c r="K146" s="245"/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245"/>
      <c r="W146" s="245"/>
      <c r="X146" s="245"/>
      <c r="Y146" s="245"/>
      <c r="Z146" s="245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</row>
    <row r="147" spans="2:42" x14ac:dyDescent="0.2">
      <c r="B147" s="207" t="s">
        <v>451</v>
      </c>
      <c r="C147" s="245"/>
      <c r="D147" s="245"/>
      <c r="E147" s="245">
        <f>'Ore-&gt;PI'!T206</f>
        <v>286.88405520213911</v>
      </c>
      <c r="F147" s="245"/>
      <c r="G147" s="245"/>
      <c r="H147" s="245"/>
      <c r="I147" s="245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</row>
    <row r="148" spans="2:42" x14ac:dyDescent="0.2">
      <c r="B148" s="205" t="s">
        <v>491</v>
      </c>
      <c r="C148" s="245"/>
      <c r="D148" s="245"/>
      <c r="E148" s="245"/>
      <c r="F148" s="251">
        <f>'Ore-&gt;PI'!EF140+'Ore-&gt;PI'!BW140+'Ore-&gt;PI'!T163+'Ore-&gt;PI'!T72+'Ore-&gt;PI'!BW242+'Ore-&gt;PI'!T236</f>
        <v>3752.6201890938187</v>
      </c>
      <c r="G148" s="245"/>
      <c r="H148" s="245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</row>
    <row r="149" spans="2:42" x14ac:dyDescent="0.2">
      <c r="B149" s="205" t="s">
        <v>484</v>
      </c>
      <c r="C149" s="245"/>
      <c r="D149" s="245"/>
      <c r="E149" s="245"/>
      <c r="F149" s="245"/>
      <c r="G149" s="245">
        <f>'Ore-&gt;PI'!EF114+'Ore-&gt;PI'!BW152+'Ore-&gt;PI'!BW254</f>
        <v>20860.054673363149</v>
      </c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</row>
    <row r="150" spans="2:42" x14ac:dyDescent="0.2">
      <c r="B150" s="205" t="s">
        <v>599</v>
      </c>
      <c r="C150" s="245"/>
      <c r="D150" s="245"/>
      <c r="E150" s="245"/>
      <c r="F150" s="245"/>
      <c r="G150" s="245"/>
      <c r="H150" s="245">
        <f>'Ore-&gt;PI'!T222+'Ore-&gt;PI'!T140+'Ore-&gt;PI'!T59</f>
        <v>2.5435328194387457</v>
      </c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P150" s="233"/>
    </row>
    <row r="151" spans="2:42" x14ac:dyDescent="0.2">
      <c r="B151" s="205" t="s">
        <v>598</v>
      </c>
      <c r="C151" s="245"/>
      <c r="D151" s="245"/>
      <c r="E151" s="245"/>
      <c r="F151" s="245"/>
      <c r="G151" s="245"/>
      <c r="H151" s="245"/>
      <c r="I151" s="245">
        <f>'Ore-&gt;PI'!T151</f>
        <v>5.1714158616864253E-4</v>
      </c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</row>
    <row r="152" spans="2:42" x14ac:dyDescent="0.2">
      <c r="B152" s="205" t="s">
        <v>532</v>
      </c>
      <c r="C152" s="245"/>
      <c r="D152" s="245"/>
      <c r="E152" s="245"/>
      <c r="F152" s="245"/>
      <c r="G152" s="245"/>
      <c r="H152" s="245"/>
      <c r="I152" s="245"/>
      <c r="J152" s="245">
        <f>'Ore-&gt;PI'!$EF$101</f>
        <v>4.8979947555174279</v>
      </c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</row>
    <row r="153" spans="2:42" x14ac:dyDescent="0.2">
      <c r="B153" s="205" t="s">
        <v>585</v>
      </c>
      <c r="C153" s="245"/>
      <c r="D153" s="245"/>
      <c r="E153" s="245"/>
      <c r="F153" s="245"/>
      <c r="G153" s="245"/>
      <c r="H153" s="245"/>
      <c r="I153" s="245"/>
      <c r="J153" s="245"/>
      <c r="K153" s="245">
        <v>0</v>
      </c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</row>
    <row r="154" spans="2:42" x14ac:dyDescent="0.2">
      <c r="C154" s="359" t="s">
        <v>57</v>
      </c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  <c r="AA154" s="359"/>
      <c r="AB154" s="359"/>
      <c r="AC154" s="359"/>
      <c r="AD154" s="359"/>
      <c r="AE154" s="359"/>
      <c r="AF154" s="359"/>
      <c r="AG154" s="359"/>
      <c r="AH154" s="359"/>
      <c r="AI154" s="359"/>
      <c r="AJ154" s="359"/>
      <c r="AK154" s="25"/>
      <c r="AL154" s="25"/>
    </row>
    <row r="155" spans="2:42" x14ac:dyDescent="0.2">
      <c r="C155" s="253">
        <f t="shared" ref="C155:AJ155" si="41">SUM(C145:C153)</f>
        <v>1011.7674660019052</v>
      </c>
      <c r="D155" s="253">
        <f t="shared" si="41"/>
        <v>208.55560337725498</v>
      </c>
      <c r="E155" s="253">
        <f t="shared" si="41"/>
        <v>286.88405520213911</v>
      </c>
      <c r="F155" s="253">
        <f t="shared" si="41"/>
        <v>3752.6201890938187</v>
      </c>
      <c r="G155" s="253">
        <f t="shared" si="41"/>
        <v>20860.054673363149</v>
      </c>
      <c r="H155" s="253">
        <f t="shared" si="41"/>
        <v>2.5435328194387457</v>
      </c>
      <c r="I155" s="253">
        <f t="shared" si="41"/>
        <v>5.1714158616864253E-4</v>
      </c>
      <c r="J155" s="253">
        <f t="shared" si="41"/>
        <v>4.8979947555174279</v>
      </c>
      <c r="K155" s="253">
        <f t="shared" si="41"/>
        <v>0</v>
      </c>
      <c r="L155" s="253">
        <f t="shared" si="41"/>
        <v>0</v>
      </c>
      <c r="M155" s="253">
        <f t="shared" si="41"/>
        <v>0</v>
      </c>
      <c r="N155" s="253">
        <f t="shared" si="41"/>
        <v>0</v>
      </c>
      <c r="O155" s="253">
        <f t="shared" si="41"/>
        <v>0</v>
      </c>
      <c r="P155" s="253">
        <f t="shared" si="41"/>
        <v>0</v>
      </c>
      <c r="Q155" s="253">
        <f t="shared" si="41"/>
        <v>0</v>
      </c>
      <c r="R155" s="253">
        <f t="shared" si="41"/>
        <v>0</v>
      </c>
      <c r="S155" s="253">
        <f t="shared" si="41"/>
        <v>0</v>
      </c>
      <c r="T155" s="253">
        <f t="shared" si="41"/>
        <v>0</v>
      </c>
      <c r="U155" s="253">
        <f t="shared" si="41"/>
        <v>0</v>
      </c>
      <c r="V155" s="253">
        <f t="shared" si="41"/>
        <v>0</v>
      </c>
      <c r="W155" s="253">
        <f t="shared" si="41"/>
        <v>0</v>
      </c>
      <c r="X155" s="253">
        <f t="shared" si="41"/>
        <v>0</v>
      </c>
      <c r="Y155" s="253">
        <f t="shared" si="41"/>
        <v>0</v>
      </c>
      <c r="Z155" s="253">
        <f t="shared" si="41"/>
        <v>0</v>
      </c>
      <c r="AA155" s="253">
        <f t="shared" si="41"/>
        <v>0</v>
      </c>
      <c r="AB155" s="253">
        <f t="shared" si="41"/>
        <v>0</v>
      </c>
      <c r="AC155" s="253">
        <f t="shared" si="41"/>
        <v>0</v>
      </c>
      <c r="AD155" s="253">
        <f t="shared" si="41"/>
        <v>0</v>
      </c>
      <c r="AE155" s="253">
        <f t="shared" si="41"/>
        <v>0</v>
      </c>
      <c r="AF155" s="253">
        <f t="shared" si="41"/>
        <v>0</v>
      </c>
      <c r="AG155" s="253">
        <f t="shared" si="41"/>
        <v>0</v>
      </c>
      <c r="AH155" s="253">
        <f t="shared" si="41"/>
        <v>0</v>
      </c>
      <c r="AI155" s="253">
        <f t="shared" si="41"/>
        <v>0</v>
      </c>
      <c r="AJ155" s="253">
        <f t="shared" si="41"/>
        <v>0</v>
      </c>
    </row>
    <row r="156" spans="2:42" x14ac:dyDescent="0.2">
      <c r="C156" s="359" t="s">
        <v>475</v>
      </c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  <c r="AA156" s="359"/>
      <c r="AB156" s="359"/>
      <c r="AC156" s="359"/>
      <c r="AD156" s="359"/>
      <c r="AE156" s="359"/>
      <c r="AF156" s="359"/>
      <c r="AG156" s="359"/>
      <c r="AH156" s="359"/>
      <c r="AI156" s="359"/>
      <c r="AJ156" s="359"/>
      <c r="AK156" s="25"/>
      <c r="AL156" s="25"/>
    </row>
    <row r="160" spans="2:42" x14ac:dyDescent="0.2">
      <c r="C160" s="359" t="s">
        <v>472</v>
      </c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246"/>
      <c r="R160" s="246"/>
      <c r="S160" s="246"/>
      <c r="T160" s="246"/>
      <c r="U160" s="25"/>
      <c r="V160" s="25"/>
    </row>
    <row r="163" spans="2:11" x14ac:dyDescent="0.2">
      <c r="B163" s="205" t="s">
        <v>426</v>
      </c>
      <c r="C163" s="253">
        <f>C155</f>
        <v>1011.7674660019052</v>
      </c>
      <c r="E163" s="253" cm="1">
        <f t="array" ref="E163:E196">TRANSPOSE(C132:AJ132)</f>
        <v>0</v>
      </c>
      <c r="G163" s="253">
        <f t="shared" ref="G163:G182" si="42">BD79</f>
        <v>1011.7674660019052</v>
      </c>
      <c r="I163" s="253" cm="1">
        <f t="array" ref="I163:I196">BK79:BK112</f>
        <v>0</v>
      </c>
      <c r="K163" s="253">
        <f>C163+E163-G163-I163</f>
        <v>0</v>
      </c>
    </row>
    <row r="164" spans="2:11" x14ac:dyDescent="0.2">
      <c r="B164" s="205" t="s">
        <v>428</v>
      </c>
      <c r="C164" s="253">
        <f>D155</f>
        <v>208.55560337725498</v>
      </c>
      <c r="E164" s="253">
        <v>0</v>
      </c>
      <c r="G164" s="253">
        <f t="shared" si="42"/>
        <v>208.55560337725498</v>
      </c>
      <c r="I164" s="253">
        <v>0</v>
      </c>
      <c r="K164" s="253">
        <f>C164+E164-G164-I164</f>
        <v>0</v>
      </c>
    </row>
    <row r="165" spans="2:11" x14ac:dyDescent="0.2">
      <c r="B165" s="205" t="s">
        <v>429</v>
      </c>
      <c r="C165" s="253">
        <f>E155</f>
        <v>286.88405520213911</v>
      </c>
      <c r="E165" s="253">
        <v>0</v>
      </c>
      <c r="G165" s="253">
        <f t="shared" si="42"/>
        <v>286.88405520213911</v>
      </c>
      <c r="I165" s="253">
        <v>0</v>
      </c>
      <c r="K165" s="253">
        <f>C165+E165-G165-I165</f>
        <v>0</v>
      </c>
    </row>
    <row r="166" spans="2:11" x14ac:dyDescent="0.2">
      <c r="B166" s="205" t="s">
        <v>450</v>
      </c>
      <c r="C166" s="253">
        <f>F155</f>
        <v>3752.6201890938187</v>
      </c>
      <c r="E166" s="253">
        <v>0</v>
      </c>
      <c r="G166" s="253">
        <f t="shared" si="42"/>
        <v>3752.6201890938191</v>
      </c>
      <c r="I166" s="253">
        <v>0</v>
      </c>
      <c r="K166" s="253">
        <f>ROUND(C166+E166-G166-I166, 10)</f>
        <v>0</v>
      </c>
    </row>
    <row r="167" spans="2:11" x14ac:dyDescent="0.2">
      <c r="B167" s="205" t="s">
        <v>485</v>
      </c>
      <c r="C167" s="253">
        <f>G155</f>
        <v>20860.054673363149</v>
      </c>
      <c r="E167" s="253">
        <v>0</v>
      </c>
      <c r="G167" s="253">
        <f t="shared" si="42"/>
        <v>20860.054673363149</v>
      </c>
      <c r="I167" s="253">
        <v>0</v>
      </c>
      <c r="K167" s="253">
        <f t="shared" ref="K167:K182" si="43">C167+E167-G167-I167</f>
        <v>0</v>
      </c>
    </row>
    <row r="168" spans="2:11" x14ac:dyDescent="0.2">
      <c r="B168" s="205" t="s">
        <v>529</v>
      </c>
      <c r="C168" s="253">
        <f>H155</f>
        <v>2.5435328194387457</v>
      </c>
      <c r="E168" s="253">
        <v>0</v>
      </c>
      <c r="G168" s="253">
        <f t="shared" si="42"/>
        <v>2.5435328194387457</v>
      </c>
      <c r="I168" s="253">
        <v>0</v>
      </c>
      <c r="K168" s="253">
        <f t="shared" si="43"/>
        <v>0</v>
      </c>
    </row>
    <row r="169" spans="2:11" x14ac:dyDescent="0.2">
      <c r="B169" s="205" t="s">
        <v>530</v>
      </c>
      <c r="C169" s="253">
        <f>I155</f>
        <v>5.1714158616864253E-4</v>
      </c>
      <c r="E169" s="253">
        <v>0</v>
      </c>
      <c r="G169" s="253">
        <f t="shared" si="42"/>
        <v>5.1714158616864253E-4</v>
      </c>
      <c r="I169" s="253">
        <v>0</v>
      </c>
      <c r="K169" s="253">
        <f t="shared" si="43"/>
        <v>0</v>
      </c>
    </row>
    <row r="170" spans="2:11" x14ac:dyDescent="0.2">
      <c r="B170" s="205" t="s">
        <v>533</v>
      </c>
      <c r="C170" s="253">
        <f>J155</f>
        <v>4.8979947555174279</v>
      </c>
      <c r="E170" s="253">
        <v>0</v>
      </c>
      <c r="G170" s="253">
        <f t="shared" si="42"/>
        <v>4.8979947555174279</v>
      </c>
      <c r="I170" s="253">
        <v>0</v>
      </c>
      <c r="K170" s="253">
        <f t="shared" si="43"/>
        <v>0</v>
      </c>
    </row>
    <row r="171" spans="2:11" x14ac:dyDescent="0.2">
      <c r="B171" s="205" t="s">
        <v>586</v>
      </c>
      <c r="C171" s="253">
        <f>K155</f>
        <v>0</v>
      </c>
      <c r="E171" s="253">
        <v>0</v>
      </c>
      <c r="G171" s="253">
        <f t="shared" si="42"/>
        <v>0</v>
      </c>
      <c r="I171" s="253">
        <v>0</v>
      </c>
      <c r="K171" s="253">
        <f t="shared" si="43"/>
        <v>0</v>
      </c>
    </row>
    <row r="172" spans="2:11" ht="16" x14ac:dyDescent="0.2">
      <c r="B172" s="206" t="s">
        <v>568</v>
      </c>
      <c r="C172" s="253">
        <f>L155</f>
        <v>0</v>
      </c>
      <c r="E172" s="253">
        <v>1011.7674660019052</v>
      </c>
      <c r="G172" s="253">
        <f t="shared" si="42"/>
        <v>1011.7674660019052</v>
      </c>
      <c r="I172" s="253">
        <v>0</v>
      </c>
      <c r="K172" s="253">
        <f t="shared" si="43"/>
        <v>0</v>
      </c>
    </row>
    <row r="173" spans="2:11" x14ac:dyDescent="0.2">
      <c r="B173" s="205" t="s">
        <v>531</v>
      </c>
      <c r="C173" s="253">
        <f>M155</f>
        <v>0</v>
      </c>
      <c r="E173" s="253">
        <v>31.920206302076174</v>
      </c>
      <c r="G173" s="253">
        <f t="shared" si="42"/>
        <v>0</v>
      </c>
      <c r="I173" s="253">
        <v>31.920206302076174</v>
      </c>
      <c r="K173" s="253">
        <f t="shared" si="43"/>
        <v>0</v>
      </c>
    </row>
    <row r="174" spans="2:11" ht="16" x14ac:dyDescent="0.2">
      <c r="B174" s="206" t="s">
        <v>534</v>
      </c>
      <c r="C174" s="253">
        <f>N155</f>
        <v>0</v>
      </c>
      <c r="E174" s="253">
        <v>208.55560337725498</v>
      </c>
      <c r="G174" s="253">
        <f t="shared" si="42"/>
        <v>208.55560337725498</v>
      </c>
      <c r="I174" s="253">
        <v>0</v>
      </c>
      <c r="K174" s="253">
        <f t="shared" si="43"/>
        <v>0</v>
      </c>
    </row>
    <row r="175" spans="2:11" x14ac:dyDescent="0.2">
      <c r="B175" s="205" t="s">
        <v>563</v>
      </c>
      <c r="C175" s="253">
        <f>O155</f>
        <v>0</v>
      </c>
      <c r="E175" s="253">
        <v>9.5761232166267446E-2</v>
      </c>
      <c r="G175" s="253">
        <f t="shared" si="42"/>
        <v>0</v>
      </c>
      <c r="I175" s="253">
        <v>9.5761232166267446E-2</v>
      </c>
      <c r="K175" s="253">
        <f t="shared" si="43"/>
        <v>0</v>
      </c>
    </row>
    <row r="176" spans="2:11" x14ac:dyDescent="0.2">
      <c r="B176" s="207" t="s">
        <v>555</v>
      </c>
      <c r="C176" s="253">
        <f>P155</f>
        <v>0</v>
      </c>
      <c r="D176" s="260" t="s">
        <v>479</v>
      </c>
      <c r="E176" s="253">
        <v>286.88405520213911</v>
      </c>
      <c r="F176" s="172" t="s">
        <v>481</v>
      </c>
      <c r="G176" s="253">
        <f t="shared" si="42"/>
        <v>286.88405520213911</v>
      </c>
      <c r="H176" s="172" t="s">
        <v>481</v>
      </c>
      <c r="I176" s="253">
        <v>0</v>
      </c>
      <c r="J176" s="260" t="s">
        <v>482</v>
      </c>
      <c r="K176" s="253">
        <f t="shared" si="43"/>
        <v>0</v>
      </c>
    </row>
    <row r="177" spans="2:18" x14ac:dyDescent="0.2">
      <c r="B177" s="205" t="s">
        <v>538</v>
      </c>
      <c r="C177" s="253">
        <f>Q155</f>
        <v>0</v>
      </c>
      <c r="E177" s="253">
        <v>7.5924566391801989</v>
      </c>
      <c r="G177" s="253">
        <f t="shared" si="42"/>
        <v>0</v>
      </c>
      <c r="I177" s="253">
        <v>7.5924566391801989</v>
      </c>
      <c r="K177" s="253">
        <f t="shared" si="43"/>
        <v>0</v>
      </c>
    </row>
    <row r="178" spans="2:18" ht="16" x14ac:dyDescent="0.2">
      <c r="B178" s="206" t="s">
        <v>567</v>
      </c>
      <c r="C178" s="253">
        <f>R155</f>
        <v>0</v>
      </c>
      <c r="E178" s="253">
        <v>1011.7674660019052</v>
      </c>
      <c r="G178" s="253">
        <f t="shared" si="42"/>
        <v>1011.7674660019052</v>
      </c>
      <c r="I178" s="253">
        <v>0</v>
      </c>
      <c r="K178" s="253">
        <f t="shared" si="43"/>
        <v>0</v>
      </c>
    </row>
    <row r="179" spans="2:18" ht="16" x14ac:dyDescent="0.2">
      <c r="B179" s="206" t="s">
        <v>562</v>
      </c>
      <c r="C179" s="253">
        <f>S155</f>
        <v>0</v>
      </c>
      <c r="E179" s="253">
        <v>208.55560337725498</v>
      </c>
      <c r="G179" s="253">
        <f t="shared" si="42"/>
        <v>208.55560337725498</v>
      </c>
      <c r="I179" s="253">
        <v>0</v>
      </c>
      <c r="K179" s="253">
        <f t="shared" si="43"/>
        <v>0</v>
      </c>
    </row>
    <row r="180" spans="2:18" ht="16" x14ac:dyDescent="0.2">
      <c r="B180" s="206" t="s">
        <v>559</v>
      </c>
      <c r="C180" s="253">
        <f>T155</f>
        <v>0</v>
      </c>
      <c r="E180" s="253">
        <v>286.88405520213911</v>
      </c>
      <c r="G180" s="253">
        <f t="shared" si="42"/>
        <v>286.88405520213911</v>
      </c>
      <c r="I180" s="253">
        <v>0</v>
      </c>
      <c r="K180" s="253">
        <f t="shared" si="43"/>
        <v>0</v>
      </c>
    </row>
    <row r="181" spans="2:18" ht="16" x14ac:dyDescent="0.2">
      <c r="B181" s="206" t="s">
        <v>565</v>
      </c>
      <c r="C181" s="253">
        <f>U155</f>
        <v>0</v>
      </c>
      <c r="E181" s="253">
        <v>1000.0000000000001</v>
      </c>
      <c r="G181" s="253">
        <f t="shared" si="42"/>
        <v>1000.0000000000001</v>
      </c>
      <c r="I181" s="253">
        <v>0</v>
      </c>
      <c r="K181" s="253">
        <f t="shared" si="43"/>
        <v>0</v>
      </c>
    </row>
    <row r="182" spans="2:18" x14ac:dyDescent="0.2">
      <c r="B182" s="207" t="s">
        <v>564</v>
      </c>
      <c r="C182" s="253">
        <f>V155</f>
        <v>0</v>
      </c>
      <c r="E182" s="253">
        <v>11.767466001905108</v>
      </c>
      <c r="G182" s="253">
        <f t="shared" si="42"/>
        <v>0</v>
      </c>
      <c r="I182" s="253">
        <v>11.767466001905108</v>
      </c>
      <c r="K182" s="253">
        <f t="shared" si="43"/>
        <v>0</v>
      </c>
    </row>
    <row r="183" spans="2:18" x14ac:dyDescent="0.2">
      <c r="B183" s="207" t="s">
        <v>547</v>
      </c>
      <c r="C183" s="253">
        <f>W155</f>
        <v>0</v>
      </c>
      <c r="E183" s="253">
        <v>208.55560337725498</v>
      </c>
      <c r="G183" s="253">
        <f t="shared" ref="G183:G196" si="44">BD99</f>
        <v>208.55560337725498</v>
      </c>
      <c r="I183" s="253">
        <v>0</v>
      </c>
      <c r="K183" s="253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7" t="s">
        <v>583</v>
      </c>
      <c r="C184" s="253">
        <f>X155</f>
        <v>0</v>
      </c>
      <c r="E184" s="253">
        <v>286.88405520213911</v>
      </c>
      <c r="G184" s="253">
        <f t="shared" si="44"/>
        <v>286.88405520213911</v>
      </c>
      <c r="I184" s="253">
        <v>0</v>
      </c>
      <c r="K184" s="253">
        <f t="shared" si="45"/>
        <v>0</v>
      </c>
      <c r="N184" s="25"/>
      <c r="P184" s="25"/>
      <c r="Q184" s="25"/>
      <c r="R184" s="25"/>
    </row>
    <row r="185" spans="2:18" x14ac:dyDescent="0.2">
      <c r="B185" s="207" t="s">
        <v>548</v>
      </c>
      <c r="C185" s="253">
        <f>Y155</f>
        <v>0</v>
      </c>
      <c r="E185" s="253">
        <v>111.00813284002646</v>
      </c>
      <c r="G185" s="253">
        <f t="shared" si="44"/>
        <v>111.00813284002646</v>
      </c>
      <c r="I185" s="253">
        <v>0</v>
      </c>
      <c r="K185" s="253">
        <f t="shared" si="45"/>
        <v>0</v>
      </c>
      <c r="N185" s="25"/>
      <c r="P185" s="25"/>
      <c r="Q185" s="25"/>
      <c r="R185" s="25"/>
    </row>
    <row r="186" spans="2:18" x14ac:dyDescent="0.2">
      <c r="B186" s="207" t="s">
        <v>550</v>
      </c>
      <c r="C186" s="253">
        <f>Z155</f>
        <v>0</v>
      </c>
      <c r="E186" s="253">
        <v>4.9847525450981189</v>
      </c>
      <c r="G186" s="253">
        <f t="shared" si="44"/>
        <v>0</v>
      </c>
      <c r="I186" s="253">
        <v>4.9847525450981189</v>
      </c>
      <c r="K186" s="253">
        <f t="shared" si="45"/>
        <v>0</v>
      </c>
      <c r="N186" s="25"/>
      <c r="P186" s="25"/>
      <c r="Q186" s="25"/>
      <c r="R186" s="25"/>
    </row>
    <row r="187" spans="2:18" x14ac:dyDescent="0.2">
      <c r="B187" s="207" t="s">
        <v>549</v>
      </c>
      <c r="C187" s="253">
        <f>AA155</f>
        <v>0</v>
      </c>
      <c r="E187" s="253">
        <v>21178.628376204575</v>
      </c>
      <c r="G187" s="253">
        <f t="shared" si="44"/>
        <v>0</v>
      </c>
      <c r="I187" s="253">
        <v>21178.628376204575</v>
      </c>
      <c r="K187" s="253">
        <f t="shared" si="45"/>
        <v>0</v>
      </c>
      <c r="N187" s="25"/>
      <c r="P187" s="25"/>
      <c r="Q187" s="25"/>
      <c r="R187" s="25"/>
    </row>
    <row r="188" spans="2:18" x14ac:dyDescent="0.2">
      <c r="B188" s="207" t="s">
        <v>543</v>
      </c>
      <c r="C188" s="253">
        <f>AB155</f>
        <v>0</v>
      </c>
      <c r="E188" s="253">
        <v>198.80764502323905</v>
      </c>
      <c r="G188" s="253">
        <f t="shared" si="44"/>
        <v>198.80764502323905</v>
      </c>
      <c r="I188" s="253">
        <v>0</v>
      </c>
      <c r="K188" s="253">
        <f t="shared" si="45"/>
        <v>0</v>
      </c>
    </row>
    <row r="189" spans="2:18" ht="16" x14ac:dyDescent="0.2">
      <c r="B189" s="254" t="s">
        <v>545</v>
      </c>
      <c r="C189" s="253">
        <f>AC155</f>
        <v>0</v>
      </c>
      <c r="E189" s="253">
        <v>69.582675758133661</v>
      </c>
      <c r="G189" s="253">
        <f t="shared" si="44"/>
        <v>69.582675758133661</v>
      </c>
      <c r="I189" s="253">
        <v>0</v>
      </c>
      <c r="K189" s="253">
        <f t="shared" si="45"/>
        <v>0</v>
      </c>
    </row>
    <row r="190" spans="2:18" x14ac:dyDescent="0.2">
      <c r="B190" s="207" t="s">
        <v>544</v>
      </c>
      <c r="C190" s="253">
        <f>AD155</f>
        <v>0</v>
      </c>
      <c r="E190" s="253">
        <v>18.493734420766422</v>
      </c>
      <c r="G190" s="253">
        <f t="shared" si="44"/>
        <v>0</v>
      </c>
      <c r="I190" s="253">
        <v>18.493734420766422</v>
      </c>
      <c r="K190" s="253">
        <f t="shared" ref="K190:K196" si="46">C190+E190-G190-I190</f>
        <v>0</v>
      </c>
      <c r="L190" s="25"/>
    </row>
    <row r="191" spans="2:18" x14ac:dyDescent="0.2">
      <c r="B191" s="205" t="s">
        <v>546</v>
      </c>
      <c r="C191" s="253">
        <f>AE155</f>
        <v>0</v>
      </c>
      <c r="E191" s="253">
        <v>584.3657277440451</v>
      </c>
      <c r="G191" s="253">
        <f t="shared" si="44"/>
        <v>0</v>
      </c>
      <c r="I191" s="253">
        <v>584.3657277440451</v>
      </c>
      <c r="K191" s="253">
        <f t="shared" si="46"/>
        <v>0</v>
      </c>
    </row>
    <row r="192" spans="2:18" x14ac:dyDescent="0.2">
      <c r="B192" s="207" t="s">
        <v>541</v>
      </c>
      <c r="C192" s="253">
        <f>AF155</f>
        <v>0</v>
      </c>
      <c r="E192" s="253">
        <v>69.582675758133661</v>
      </c>
      <c r="G192" s="253">
        <f t="shared" si="44"/>
        <v>59.145274394413612</v>
      </c>
      <c r="I192" s="253">
        <v>10.437401363720047</v>
      </c>
      <c r="K192" s="253">
        <f t="shared" si="46"/>
        <v>0</v>
      </c>
    </row>
    <row r="193" spans="2:19" x14ac:dyDescent="0.2">
      <c r="B193" s="207" t="s">
        <v>571</v>
      </c>
      <c r="C193" s="253">
        <f>AG155</f>
        <v>0</v>
      </c>
      <c r="E193" s="253">
        <v>1309.8157778632656</v>
      </c>
      <c r="G193" s="253">
        <f t="shared" si="44"/>
        <v>1309.8157778632656</v>
      </c>
      <c r="I193" s="253">
        <v>0</v>
      </c>
      <c r="K193" s="253">
        <f t="shared" si="46"/>
        <v>0</v>
      </c>
      <c r="P193" s="246"/>
      <c r="Q193" s="246"/>
      <c r="R193" s="246"/>
      <c r="S193" s="246"/>
    </row>
    <row r="194" spans="2:19" x14ac:dyDescent="0.2">
      <c r="B194" s="207" t="s">
        <v>572</v>
      </c>
      <c r="C194" s="253">
        <f>AH155</f>
        <v>0</v>
      </c>
      <c r="E194" s="253">
        <v>616.23583583508366</v>
      </c>
      <c r="G194" s="253">
        <f t="shared" si="44"/>
        <v>0</v>
      </c>
      <c r="I194" s="253">
        <v>616.23583583508366</v>
      </c>
      <c r="K194" s="253">
        <f t="shared" si="46"/>
        <v>0</v>
      </c>
    </row>
    <row r="195" spans="2:19" x14ac:dyDescent="0.2">
      <c r="B195" s="207" t="s">
        <v>573</v>
      </c>
      <c r="C195" s="253">
        <f>AI155</f>
        <v>0</v>
      </c>
      <c r="E195" s="253">
        <v>3432.8541806261665</v>
      </c>
      <c r="G195" s="253">
        <f t="shared" si="44"/>
        <v>0</v>
      </c>
      <c r="I195" s="253">
        <v>3432.8541806261665</v>
      </c>
      <c r="K195" s="253">
        <f t="shared" si="46"/>
        <v>0</v>
      </c>
    </row>
    <row r="196" spans="2:19" x14ac:dyDescent="0.2">
      <c r="B196" s="207" t="s">
        <v>584</v>
      </c>
      <c r="C196" s="253">
        <f>AJ155</f>
        <v>0</v>
      </c>
      <c r="E196" s="253">
        <v>229.94813284002646</v>
      </c>
      <c r="G196" s="253">
        <f t="shared" si="44"/>
        <v>0</v>
      </c>
      <c r="I196" s="253">
        <v>229.94813284002646</v>
      </c>
      <c r="K196" s="253">
        <f t="shared" si="46"/>
        <v>0</v>
      </c>
    </row>
    <row r="197" spans="2:19" ht="17" x14ac:dyDescent="0.2">
      <c r="B197" s="207"/>
      <c r="C197" s="3" t="s">
        <v>478</v>
      </c>
      <c r="E197" s="3" t="s">
        <v>480</v>
      </c>
      <c r="G197" s="25" t="s">
        <v>477</v>
      </c>
      <c r="I197" s="25" t="s">
        <v>39</v>
      </c>
      <c r="K197" s="25">
        <f>SUM(K163:K196)</f>
        <v>0</v>
      </c>
    </row>
    <row r="198" spans="2:19" x14ac:dyDescent="0.2">
      <c r="B198" s="207"/>
      <c r="G198" s="25"/>
      <c r="I198" s="25"/>
    </row>
    <row r="199" spans="2:19" x14ac:dyDescent="0.2">
      <c r="B199" s="207"/>
    </row>
    <row r="200" spans="2:19" x14ac:dyDescent="0.2">
      <c r="C200" s="359" t="s">
        <v>483</v>
      </c>
      <c r="D200" s="359"/>
      <c r="E200" s="359"/>
      <c r="F200" s="359"/>
      <c r="G200" s="359"/>
      <c r="L200" s="246"/>
      <c r="M200" s="246"/>
    </row>
    <row r="203" spans="2:19" x14ac:dyDescent="0.2">
      <c r="B203" s="205" t="s">
        <v>418</v>
      </c>
      <c r="C203" s="253">
        <f>AP114</f>
        <v>1043.6876723039813</v>
      </c>
      <c r="E203" s="253">
        <f>AK117</f>
        <v>1043.6876723039813</v>
      </c>
      <c r="G203" s="253">
        <f>C203-E203</f>
        <v>0</v>
      </c>
    </row>
    <row r="204" spans="2:19" x14ac:dyDescent="0.2">
      <c r="B204" s="205" t="s">
        <v>419</v>
      </c>
      <c r="C204" s="253">
        <f>AQ114</f>
        <v>208.65136460942125</v>
      </c>
      <c r="E204" s="253">
        <f t="shared" ref="E204:E216" si="47">AK118</f>
        <v>208.65136460942125</v>
      </c>
      <c r="G204" s="253">
        <f t="shared" ref="G204:G216" si="48">C204-E204</f>
        <v>0</v>
      </c>
      <c r="N204" s="246"/>
      <c r="O204" s="246"/>
    </row>
    <row r="205" spans="2:19" x14ac:dyDescent="0.2">
      <c r="B205" s="205" t="s">
        <v>420</v>
      </c>
      <c r="C205" s="253">
        <f>AR114</f>
        <v>294.47651184131928</v>
      </c>
      <c r="E205" s="253">
        <f t="shared" si="47"/>
        <v>294.47651184131928</v>
      </c>
      <c r="G205" s="253">
        <f t="shared" si="48"/>
        <v>0</v>
      </c>
    </row>
    <row r="206" spans="2:19" x14ac:dyDescent="0.2">
      <c r="B206" s="205" t="s">
        <v>582</v>
      </c>
      <c r="C206" s="253">
        <f>AS114</f>
        <v>1011.7674660019052</v>
      </c>
      <c r="D206" s="255"/>
      <c r="E206" s="253">
        <f t="shared" si="47"/>
        <v>1011.7674660019052</v>
      </c>
      <c r="F206" s="255"/>
      <c r="G206" s="253">
        <f t="shared" si="48"/>
        <v>0</v>
      </c>
    </row>
    <row r="207" spans="2:19" x14ac:dyDescent="0.2">
      <c r="B207" s="205" t="s">
        <v>561</v>
      </c>
      <c r="C207" s="253">
        <f>AT114</f>
        <v>208.55560337725498</v>
      </c>
      <c r="E207" s="253">
        <f t="shared" si="47"/>
        <v>208.55560337725498</v>
      </c>
      <c r="G207" s="253">
        <f t="shared" si="48"/>
        <v>0</v>
      </c>
      <c r="H207" s="246"/>
      <c r="I207" s="246"/>
      <c r="J207" s="246"/>
      <c r="K207" s="246"/>
    </row>
    <row r="208" spans="2:19" x14ac:dyDescent="0.2">
      <c r="B208" s="205" t="s">
        <v>560</v>
      </c>
      <c r="C208" s="253">
        <f>AU114</f>
        <v>286.88405520213911</v>
      </c>
      <c r="E208" s="253">
        <f t="shared" si="47"/>
        <v>286.88405520213911</v>
      </c>
      <c r="G208" s="253">
        <f t="shared" si="48"/>
        <v>0</v>
      </c>
    </row>
    <row r="209" spans="2:11" x14ac:dyDescent="0.2">
      <c r="B209" s="205" t="s">
        <v>446</v>
      </c>
      <c r="C209" s="253">
        <f>AV114</f>
        <v>1011.7674660019052</v>
      </c>
      <c r="E209" s="253">
        <f t="shared" si="47"/>
        <v>1011.7674660019052</v>
      </c>
      <c r="G209" s="253">
        <f t="shared" si="48"/>
        <v>0</v>
      </c>
    </row>
    <row r="210" spans="2:11" x14ac:dyDescent="0.2">
      <c r="B210" s="205" t="s">
        <v>443</v>
      </c>
      <c r="C210" s="253">
        <f>AW114</f>
        <v>208.55560337725498</v>
      </c>
      <c r="D210" s="172" t="s">
        <v>486</v>
      </c>
      <c r="E210" s="253">
        <f t="shared" si="47"/>
        <v>208.55560337725498</v>
      </c>
      <c r="F210" s="172" t="s">
        <v>482</v>
      </c>
      <c r="G210" s="253">
        <f t="shared" si="48"/>
        <v>0</v>
      </c>
    </row>
    <row r="211" spans="2:11" x14ac:dyDescent="0.2">
      <c r="B211" s="205" t="s">
        <v>465</v>
      </c>
      <c r="C211" s="253">
        <f>AX114</f>
        <v>286.88405520213911</v>
      </c>
      <c r="E211" s="253">
        <f t="shared" si="47"/>
        <v>286.88405520213911</v>
      </c>
      <c r="G211" s="253">
        <f t="shared" si="48"/>
        <v>0</v>
      </c>
    </row>
    <row r="212" spans="2:11" x14ac:dyDescent="0.2">
      <c r="B212" s="205" t="s">
        <v>444</v>
      </c>
      <c r="C212" s="253">
        <f>AY114</f>
        <v>21294.621261589698</v>
      </c>
      <c r="E212" s="253">
        <f t="shared" si="47"/>
        <v>21294.621261589698</v>
      </c>
      <c r="G212" s="253">
        <f t="shared" si="48"/>
        <v>0</v>
      </c>
    </row>
    <row r="213" spans="2:11" x14ac:dyDescent="0.2">
      <c r="B213" s="205" t="s">
        <v>439</v>
      </c>
      <c r="C213" s="253">
        <f>AZ114</f>
        <v>871.24978294618404</v>
      </c>
      <c r="E213" s="253">
        <f t="shared" si="47"/>
        <v>871.24978294618427</v>
      </c>
      <c r="G213" s="253">
        <f t="shared" si="48"/>
        <v>0</v>
      </c>
    </row>
    <row r="214" spans="2:11" x14ac:dyDescent="0.2">
      <c r="B214" s="205" t="s">
        <v>461</v>
      </c>
      <c r="C214" s="253">
        <f>BA114</f>
        <v>69.582675758133661</v>
      </c>
      <c r="E214" s="253">
        <f t="shared" si="47"/>
        <v>69.582675758133661</v>
      </c>
      <c r="G214" s="253">
        <f t="shared" si="48"/>
        <v>0</v>
      </c>
    </row>
    <row r="215" spans="2:11" x14ac:dyDescent="0.2">
      <c r="B215" s="205" t="s">
        <v>81</v>
      </c>
      <c r="C215" s="253">
        <f>BB114</f>
        <v>1309.8157778632656</v>
      </c>
      <c r="E215" s="253">
        <f t="shared" si="47"/>
        <v>1309.8157778632656</v>
      </c>
      <c r="G215" s="253">
        <f t="shared" si="48"/>
        <v>0</v>
      </c>
    </row>
    <row r="216" spans="2:11" x14ac:dyDescent="0.2">
      <c r="B216" s="205" t="s">
        <v>430</v>
      </c>
      <c r="C216" s="253">
        <f>BC114</f>
        <v>4279.0381493012774</v>
      </c>
      <c r="D216" s="172"/>
      <c r="E216" s="253">
        <f t="shared" si="47"/>
        <v>4279.0381493012765</v>
      </c>
      <c r="G216" s="253">
        <f t="shared" si="48"/>
        <v>0</v>
      </c>
    </row>
    <row r="217" spans="2:11" x14ac:dyDescent="0.2">
      <c r="B217" s="207"/>
      <c r="C217" s="172" t="s">
        <v>476</v>
      </c>
      <c r="D217" s="172"/>
      <c r="E217" s="172" t="s">
        <v>473</v>
      </c>
      <c r="F217" s="172"/>
      <c r="G217" s="172">
        <v>0</v>
      </c>
    </row>
    <row r="218" spans="2:11" x14ac:dyDescent="0.2">
      <c r="B218" s="207"/>
    </row>
    <row r="219" spans="2:11" x14ac:dyDescent="0.2">
      <c r="B219" s="207"/>
    </row>
    <row r="224" spans="2:11" x14ac:dyDescent="0.2">
      <c r="H224" s="172"/>
      <c r="I224" s="172"/>
      <c r="J224" s="172"/>
      <c r="K224" s="172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AC41" s="208"/>
      <c r="AD41" s="208"/>
      <c r="AE41" s="208"/>
    </row>
    <row r="42" spans="10:31" x14ac:dyDescent="0.2">
      <c r="J42" s="205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31"/>
      <c r="W42" s="224"/>
      <c r="AB42" s="205"/>
      <c r="AC42" s="209"/>
      <c r="AD42" s="209"/>
      <c r="AE42" s="209"/>
    </row>
    <row r="43" spans="10:31" x14ac:dyDescent="0.2">
      <c r="J43" s="205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31"/>
      <c r="W43" s="224"/>
      <c r="AB43" s="205"/>
      <c r="AC43" s="209"/>
      <c r="AD43" s="209"/>
      <c r="AE43" s="209"/>
    </row>
    <row r="44" spans="10:31" x14ac:dyDescent="0.2">
      <c r="J44" s="205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31"/>
      <c r="W44" s="224"/>
      <c r="AB44" s="205"/>
      <c r="AC44" s="209"/>
      <c r="AD44" s="209"/>
      <c r="AE44" s="209"/>
    </row>
    <row r="45" spans="10:31" x14ac:dyDescent="0.2">
      <c r="J45" s="205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AB45" s="205"/>
      <c r="AC45" s="209"/>
      <c r="AD45" s="209"/>
      <c r="AE45" s="209"/>
    </row>
    <row r="46" spans="10:31" x14ac:dyDescent="0.2">
      <c r="J46" s="205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AB46" s="205"/>
      <c r="AC46" s="209"/>
      <c r="AD46" s="209"/>
      <c r="AE46" s="209"/>
    </row>
    <row r="47" spans="10:31" x14ac:dyDescent="0.2">
      <c r="J47" s="205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AB47" s="205"/>
      <c r="AC47" s="209"/>
      <c r="AD47" s="230"/>
      <c r="AE47" s="209"/>
    </row>
    <row r="48" spans="10:31" x14ac:dyDescent="0.2">
      <c r="J48" s="205"/>
      <c r="K48" s="224"/>
      <c r="L48" s="224"/>
      <c r="M48" s="224"/>
      <c r="N48" s="224"/>
      <c r="O48" s="224"/>
      <c r="P48" s="231"/>
      <c r="Q48" s="224"/>
      <c r="R48" s="224"/>
      <c r="S48" s="224"/>
      <c r="T48" s="224"/>
      <c r="U48" s="224"/>
      <c r="V48" s="232"/>
      <c r="W48" s="224"/>
      <c r="AB48" s="205"/>
      <c r="AC48" s="209"/>
      <c r="AD48" s="209"/>
      <c r="AE48" s="209"/>
    </row>
    <row r="49" spans="2:35" x14ac:dyDescent="0.2">
      <c r="J49" s="205"/>
      <c r="K49" s="224"/>
      <c r="L49" s="224"/>
      <c r="M49" s="224"/>
      <c r="N49" s="224"/>
      <c r="O49" s="224"/>
      <c r="P49" s="231"/>
      <c r="Q49" s="224"/>
      <c r="R49" s="224"/>
      <c r="S49" s="224"/>
      <c r="T49" s="224"/>
      <c r="U49" s="224"/>
      <c r="V49" s="224"/>
      <c r="W49" s="224"/>
      <c r="AB49" s="205"/>
      <c r="AC49" s="209"/>
      <c r="AD49" s="209"/>
      <c r="AE49" s="209"/>
    </row>
    <row r="50" spans="2:35" x14ac:dyDescent="0.2">
      <c r="J50" s="205"/>
      <c r="K50" s="224"/>
      <c r="L50" s="224"/>
      <c r="M50" s="224"/>
      <c r="N50" s="224"/>
      <c r="O50" s="224"/>
      <c r="P50" s="231"/>
      <c r="Q50" s="224"/>
      <c r="R50" s="224"/>
      <c r="S50" s="224"/>
      <c r="T50" s="224"/>
      <c r="U50" s="224"/>
      <c r="V50" s="224"/>
      <c r="W50" s="224"/>
      <c r="AC50" s="359" t="s">
        <v>423</v>
      </c>
      <c r="AD50" s="359"/>
      <c r="AE50" s="359"/>
    </row>
    <row r="51" spans="2:35" x14ac:dyDescent="0.2"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</row>
    <row r="52" spans="2:35" x14ac:dyDescent="0.2"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</row>
    <row r="53" spans="2:35" x14ac:dyDescent="0.2">
      <c r="K53" s="359" t="s">
        <v>421</v>
      </c>
      <c r="L53" s="359"/>
      <c r="M53" s="359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AD53" s="25"/>
      <c r="AE53" s="25"/>
      <c r="AF53" s="25"/>
      <c r="AG53" s="25"/>
      <c r="AH53" s="25"/>
      <c r="AI53" s="25"/>
    </row>
    <row r="58" spans="2:35" x14ac:dyDescent="0.2">
      <c r="C58" s="360"/>
      <c r="D58" s="360"/>
      <c r="E58" s="235"/>
      <c r="F58" s="235"/>
      <c r="G58" s="235"/>
      <c r="H58" s="235"/>
    </row>
    <row r="59" spans="2:35" x14ac:dyDescent="0.2">
      <c r="C59" s="210"/>
      <c r="D59" s="210"/>
      <c r="E59" s="211"/>
      <c r="F59" s="211"/>
      <c r="G59" s="211"/>
      <c r="H59" s="211"/>
      <c r="I59" s="233"/>
      <c r="J59" s="233"/>
    </row>
    <row r="60" spans="2:35" x14ac:dyDescent="0.2">
      <c r="B60" s="3"/>
      <c r="C60" s="224"/>
      <c r="D60" s="224"/>
      <c r="E60" s="224"/>
      <c r="F60" s="224"/>
      <c r="G60" s="224"/>
      <c r="H60" s="224"/>
      <c r="I60" s="224"/>
      <c r="J60" s="224"/>
    </row>
    <row r="61" spans="2:35" x14ac:dyDescent="0.2">
      <c r="B61" s="3"/>
      <c r="C61" s="224"/>
      <c r="D61" s="224"/>
      <c r="E61" s="224"/>
      <c r="F61" s="224"/>
      <c r="G61" s="224"/>
      <c r="H61" s="224"/>
      <c r="I61" s="224"/>
      <c r="J61" s="224"/>
    </row>
    <row r="62" spans="2:35" x14ac:dyDescent="0.2">
      <c r="B62" s="3"/>
      <c r="C62" s="224"/>
      <c r="D62" s="224"/>
      <c r="E62" s="224"/>
      <c r="F62" s="224"/>
      <c r="G62" s="224"/>
      <c r="H62" s="224"/>
      <c r="I62" s="224"/>
      <c r="J62" s="224"/>
    </row>
    <row r="63" spans="2:35" x14ac:dyDescent="0.2">
      <c r="B63" s="3"/>
      <c r="C63" s="224"/>
      <c r="D63" s="224"/>
      <c r="E63" s="224"/>
      <c r="F63" s="224"/>
      <c r="G63" s="224"/>
      <c r="H63" s="224"/>
      <c r="I63" s="224"/>
      <c r="J63" s="224"/>
    </row>
    <row r="64" spans="2:35" x14ac:dyDescent="0.2">
      <c r="B64" s="3"/>
      <c r="C64" s="224"/>
      <c r="D64" s="224"/>
      <c r="E64" s="224"/>
      <c r="F64" s="224"/>
      <c r="G64" s="224"/>
      <c r="H64" s="224"/>
      <c r="I64" s="224"/>
      <c r="J64" s="224"/>
    </row>
    <row r="65" spans="2:10" x14ac:dyDescent="0.2">
      <c r="B65" s="3"/>
      <c r="C65" s="224"/>
      <c r="D65" s="224"/>
      <c r="E65" s="224"/>
      <c r="F65" s="224"/>
      <c r="G65" s="224"/>
      <c r="H65" s="224"/>
      <c r="I65" s="224"/>
      <c r="J65" s="224"/>
    </row>
    <row r="66" spans="2:10" x14ac:dyDescent="0.2">
      <c r="B66" s="3"/>
      <c r="C66" s="224"/>
      <c r="D66" s="224"/>
      <c r="E66" s="224"/>
      <c r="F66" s="224"/>
      <c r="G66" s="224"/>
      <c r="H66" s="224"/>
      <c r="I66" s="224"/>
      <c r="J66" s="224"/>
    </row>
    <row r="67" spans="2:10" x14ac:dyDescent="0.2">
      <c r="B67" s="3"/>
      <c r="C67" s="224"/>
      <c r="D67" s="224"/>
      <c r="E67" s="224"/>
      <c r="F67" s="224"/>
      <c r="G67" s="224"/>
      <c r="H67" s="232"/>
      <c r="I67" s="224"/>
      <c r="J67" s="224"/>
    </row>
    <row r="68" spans="2:10" x14ac:dyDescent="0.2">
      <c r="B68" s="3"/>
      <c r="C68" s="224"/>
      <c r="D68" s="224"/>
      <c r="E68" s="224"/>
      <c r="F68" s="224"/>
      <c r="G68" s="224"/>
      <c r="H68" s="224"/>
      <c r="I68" s="224"/>
      <c r="J68" s="224"/>
    </row>
    <row r="69" spans="2:10" x14ac:dyDescent="0.2">
      <c r="B69" s="3"/>
      <c r="C69" s="224"/>
      <c r="D69" s="224"/>
      <c r="E69" s="224"/>
      <c r="F69" s="224"/>
      <c r="G69" s="224"/>
      <c r="H69" s="224"/>
      <c r="I69" s="224"/>
      <c r="J69" s="224"/>
    </row>
    <row r="70" spans="2:10" x14ac:dyDescent="0.2">
      <c r="B70" s="3"/>
      <c r="C70" s="224"/>
      <c r="D70" s="224"/>
      <c r="E70" s="224"/>
      <c r="F70" s="224"/>
      <c r="G70" s="224"/>
      <c r="H70" s="224"/>
      <c r="I70" s="224"/>
      <c r="J70" s="224"/>
    </row>
    <row r="71" spans="2:10" x14ac:dyDescent="0.2">
      <c r="B71" s="3"/>
      <c r="C71" s="224"/>
      <c r="D71" s="224"/>
      <c r="E71" s="224"/>
      <c r="F71" s="224"/>
      <c r="G71" s="224"/>
      <c r="H71" s="232"/>
      <c r="I71" s="224"/>
      <c r="J71" s="224"/>
    </row>
    <row r="72" spans="2:10" x14ac:dyDescent="0.2">
      <c r="B72" s="3"/>
      <c r="C72" s="224"/>
      <c r="D72" s="224"/>
      <c r="E72" s="224"/>
      <c r="F72" s="224"/>
      <c r="G72" s="224"/>
      <c r="H72" s="224"/>
      <c r="I72" s="224"/>
      <c r="J72" s="224"/>
    </row>
    <row r="73" spans="2:10" x14ac:dyDescent="0.2">
      <c r="C73" s="359" t="s">
        <v>422</v>
      </c>
      <c r="D73" s="359"/>
      <c r="E73" s="359"/>
      <c r="F73" s="359"/>
      <c r="G73" s="359"/>
      <c r="H73" s="359"/>
      <c r="I73" s="359"/>
      <c r="J73" s="359"/>
    </row>
    <row r="86" spans="2:7" x14ac:dyDescent="0.2">
      <c r="C86" s="208"/>
      <c r="D86" s="208"/>
      <c r="E86" s="208"/>
      <c r="F86" s="208"/>
      <c r="G86" s="208"/>
    </row>
    <row r="87" spans="2:7" x14ac:dyDescent="0.2">
      <c r="B87" s="205" t="s">
        <v>279</v>
      </c>
      <c r="C87" s="209"/>
      <c r="D87" s="209"/>
      <c r="E87" s="209"/>
      <c r="F87" s="209"/>
      <c r="G87" s="209"/>
    </row>
    <row r="88" spans="2:7" x14ac:dyDescent="0.2">
      <c r="B88" s="205" t="s">
        <v>437</v>
      </c>
      <c r="C88" s="209"/>
      <c r="D88" s="209"/>
      <c r="E88" s="209"/>
      <c r="F88" s="209"/>
      <c r="G88" s="209"/>
    </row>
    <row r="89" spans="2:7" x14ac:dyDescent="0.2">
      <c r="B89" s="205" t="s">
        <v>438</v>
      </c>
      <c r="C89" s="209"/>
      <c r="D89" s="209"/>
      <c r="E89" s="209"/>
      <c r="F89" s="209"/>
      <c r="G89" s="209"/>
    </row>
    <row r="90" spans="2:7" x14ac:dyDescent="0.2">
      <c r="C90" s="209"/>
      <c r="D90" s="209"/>
      <c r="E90" s="209"/>
      <c r="F90" s="230"/>
      <c r="G90" s="209"/>
    </row>
    <row r="91" spans="2:7" x14ac:dyDescent="0.2">
      <c r="C91" s="209"/>
      <c r="D91" s="209"/>
      <c r="E91" s="209"/>
      <c r="F91" s="209"/>
      <c r="G91" s="209"/>
    </row>
    <row r="92" spans="2:7" x14ac:dyDescent="0.2">
      <c r="C92" s="359" t="s">
        <v>57</v>
      </c>
      <c r="D92" s="359"/>
      <c r="E92" s="359"/>
      <c r="F92" s="359"/>
      <c r="G92" s="359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90" t="s">
        <v>318</v>
      </c>
      <c r="E2" s="290"/>
      <c r="F2" s="290"/>
      <c r="G2" s="290"/>
      <c r="V2" s="167"/>
    </row>
    <row r="3" spans="2:22" x14ac:dyDescent="0.2">
      <c r="B3" s="3"/>
      <c r="C3" s="3"/>
      <c r="D3" s="384" t="s">
        <v>83</v>
      </c>
      <c r="E3" s="384"/>
      <c r="F3" s="384"/>
      <c r="G3" s="384"/>
      <c r="O3" s="167"/>
      <c r="P3" s="167"/>
      <c r="Q3" s="167"/>
      <c r="R3" s="167"/>
      <c r="S3" s="167"/>
      <c r="T3" s="167"/>
      <c r="U3" s="167"/>
      <c r="V3" s="167"/>
    </row>
    <row r="4" spans="2:22" x14ac:dyDescent="0.2">
      <c r="B4" s="364" t="s">
        <v>4</v>
      </c>
      <c r="C4" s="3"/>
      <c r="D4" s="197" t="s">
        <v>365</v>
      </c>
      <c r="E4" s="197" t="s">
        <v>190</v>
      </c>
      <c r="F4" s="197" t="s">
        <v>177</v>
      </c>
      <c r="G4" s="197" t="s">
        <v>351</v>
      </c>
      <c r="I4" s="3"/>
      <c r="K4" s="3"/>
      <c r="L4" s="3"/>
      <c r="O4" s="167"/>
      <c r="P4" s="167"/>
      <c r="Q4" s="167"/>
      <c r="R4" s="361" t="s">
        <v>356</v>
      </c>
      <c r="S4" s="361"/>
      <c r="T4" s="361"/>
      <c r="U4" s="361"/>
      <c r="V4" s="167"/>
    </row>
    <row r="5" spans="2:22" ht="14.5" customHeight="1" x14ac:dyDescent="0.2">
      <c r="B5" s="364"/>
      <c r="C5" s="148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7"/>
      <c r="P5" s="167"/>
      <c r="Q5" s="167"/>
      <c r="R5" s="361"/>
      <c r="S5" s="361"/>
      <c r="T5" s="361"/>
      <c r="U5" s="361"/>
      <c r="V5" s="167"/>
    </row>
    <row r="6" spans="2:22" x14ac:dyDescent="0.2">
      <c r="B6" s="364"/>
      <c r="C6" s="150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7"/>
      <c r="P6" s="167"/>
      <c r="Q6" s="167"/>
      <c r="R6" s="361"/>
      <c r="S6" s="361"/>
      <c r="T6" s="361"/>
      <c r="U6" s="361"/>
      <c r="V6" s="167"/>
    </row>
    <row r="7" spans="2:22" ht="16" thickBot="1" x14ac:dyDescent="0.25">
      <c r="B7" s="364"/>
      <c r="C7" s="149" t="s">
        <v>409</v>
      </c>
      <c r="D7" s="166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7"/>
      <c r="P7" s="167"/>
      <c r="Q7" s="167"/>
      <c r="R7" s="362"/>
      <c r="S7" s="362"/>
      <c r="T7" s="362"/>
      <c r="U7" s="362"/>
      <c r="V7" s="167"/>
    </row>
    <row r="8" spans="2:22" x14ac:dyDescent="0.2">
      <c r="C8" s="133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7"/>
      <c r="P8" s="361" t="s">
        <v>355</v>
      </c>
      <c r="Q8" s="377"/>
      <c r="R8" s="379" t="s">
        <v>342</v>
      </c>
      <c r="S8" s="380"/>
      <c r="T8" s="365" t="s">
        <v>409</v>
      </c>
      <c r="U8" s="366"/>
      <c r="V8" s="167"/>
    </row>
    <row r="9" spans="2:22" x14ac:dyDescent="0.2">
      <c r="E9" s="3"/>
      <c r="F9" s="3"/>
      <c r="G9" s="3"/>
      <c r="H9" s="3"/>
      <c r="I9" s="3"/>
      <c r="L9" s="3"/>
      <c r="M9" s="3"/>
      <c r="O9" s="167"/>
      <c r="P9" s="361"/>
      <c r="Q9" s="377"/>
      <c r="R9" s="381"/>
      <c r="S9" s="382"/>
      <c r="T9" s="367"/>
      <c r="U9" s="368"/>
      <c r="V9" s="167"/>
    </row>
    <row r="10" spans="2:22" x14ac:dyDescent="0.2">
      <c r="L10" s="3"/>
      <c r="M10" s="3"/>
      <c r="O10" s="167"/>
      <c r="P10" s="361"/>
      <c r="Q10" s="377"/>
      <c r="R10" s="381"/>
      <c r="S10" s="382"/>
      <c r="T10" s="367"/>
      <c r="U10" s="368"/>
      <c r="V10" s="167"/>
    </row>
    <row r="11" spans="2:22" x14ac:dyDescent="0.2">
      <c r="B11" s="3"/>
      <c r="C11" s="3"/>
      <c r="D11" s="290" t="s">
        <v>318</v>
      </c>
      <c r="E11" s="290"/>
      <c r="F11" s="290"/>
      <c r="G11" s="290"/>
      <c r="H11" s="290"/>
      <c r="L11" s="3"/>
      <c r="M11" s="3"/>
      <c r="O11" s="167"/>
      <c r="P11" s="361"/>
      <c r="Q11" s="377"/>
      <c r="R11" s="381"/>
      <c r="S11" s="382"/>
      <c r="T11" s="367"/>
      <c r="U11" s="368"/>
      <c r="V11" s="167"/>
    </row>
    <row r="12" spans="2:22" x14ac:dyDescent="0.2">
      <c r="B12" s="3"/>
      <c r="C12" s="3"/>
      <c r="D12" s="384" t="s">
        <v>83</v>
      </c>
      <c r="E12" s="384"/>
      <c r="F12" s="384"/>
      <c r="G12" s="384"/>
      <c r="H12" s="384"/>
      <c r="L12" s="3"/>
      <c r="M12" s="3"/>
      <c r="O12" s="167"/>
      <c r="P12" s="378" t="s">
        <v>408</v>
      </c>
      <c r="Q12" s="377"/>
      <c r="R12" s="373" t="s">
        <v>317</v>
      </c>
      <c r="S12" s="374"/>
      <c r="T12" s="369" t="s">
        <v>343</v>
      </c>
      <c r="U12" s="370"/>
      <c r="V12" s="167"/>
    </row>
    <row r="13" spans="2:22" ht="14.5" customHeight="1" x14ac:dyDescent="0.2">
      <c r="B13" s="363" t="s">
        <v>20</v>
      </c>
      <c r="C13" s="3"/>
      <c r="D13" s="198" t="s">
        <v>365</v>
      </c>
      <c r="E13" s="198" t="s">
        <v>190</v>
      </c>
      <c r="F13" s="198" t="s">
        <v>177</v>
      </c>
      <c r="G13" s="198" t="s">
        <v>351</v>
      </c>
      <c r="H13" s="198" t="s">
        <v>352</v>
      </c>
      <c r="J13" s="3"/>
      <c r="L13" s="3"/>
      <c r="M13" s="3"/>
      <c r="O13" s="167"/>
      <c r="P13" s="361"/>
      <c r="Q13" s="377"/>
      <c r="R13" s="373"/>
      <c r="S13" s="374"/>
      <c r="T13" s="369"/>
      <c r="U13" s="370"/>
      <c r="V13" s="167"/>
    </row>
    <row r="14" spans="2:22" x14ac:dyDescent="0.2">
      <c r="B14" s="363"/>
      <c r="C14" s="148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7"/>
      <c r="P14" s="361"/>
      <c r="Q14" s="377"/>
      <c r="R14" s="373"/>
      <c r="S14" s="374"/>
      <c r="T14" s="369"/>
      <c r="U14" s="370"/>
      <c r="V14" s="167"/>
    </row>
    <row r="15" spans="2:22" ht="16" thickBot="1" x14ac:dyDescent="0.25">
      <c r="B15" s="363"/>
      <c r="C15" s="150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0.98847663255948648</v>
      </c>
      <c r="J15" s="3"/>
      <c r="L15" s="3"/>
      <c r="M15" s="3"/>
      <c r="O15" s="167"/>
      <c r="P15" s="361"/>
      <c r="Q15" s="377"/>
      <c r="R15" s="375"/>
      <c r="S15" s="376"/>
      <c r="T15" s="371"/>
      <c r="U15" s="372"/>
      <c r="V15" s="167"/>
    </row>
    <row r="16" spans="2:22" x14ac:dyDescent="0.2">
      <c r="B16" s="363"/>
      <c r="C16" s="149" t="s">
        <v>409</v>
      </c>
      <c r="D16" s="166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2.2442181938382317E-4</v>
      </c>
      <c r="J16" s="3"/>
      <c r="L16" s="3"/>
      <c r="M16" s="3"/>
      <c r="O16" s="167"/>
      <c r="P16" s="167"/>
      <c r="Q16" s="167"/>
      <c r="R16" s="167"/>
      <c r="S16" s="167"/>
      <c r="T16" s="167"/>
      <c r="U16" s="167"/>
      <c r="V16" s="167"/>
    </row>
    <row r="17" spans="2:13" x14ac:dyDescent="0.2">
      <c r="C17" s="133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90" t="s">
        <v>318</v>
      </c>
      <c r="E19" s="290"/>
      <c r="F19" s="290"/>
      <c r="G19" s="290"/>
      <c r="L19" s="3"/>
      <c r="M19" s="3"/>
    </row>
    <row r="20" spans="2:13" x14ac:dyDescent="0.2">
      <c r="B20" s="3"/>
      <c r="C20" s="3"/>
      <c r="D20" s="384" t="s">
        <v>83</v>
      </c>
      <c r="E20" s="384"/>
      <c r="F20" s="384"/>
      <c r="G20" s="384"/>
      <c r="K20" s="3"/>
      <c r="L20" s="3"/>
    </row>
    <row r="21" spans="2:13" x14ac:dyDescent="0.2">
      <c r="B21" s="385" t="s">
        <v>354</v>
      </c>
      <c r="C21" s="3"/>
      <c r="D21" s="157" t="s">
        <v>365</v>
      </c>
      <c r="E21" s="157" t="s">
        <v>190</v>
      </c>
      <c r="F21" s="157" t="s">
        <v>177</v>
      </c>
      <c r="G21" s="157" t="s">
        <v>380</v>
      </c>
      <c r="I21" s="3"/>
      <c r="K21" s="3"/>
      <c r="L21" s="3"/>
    </row>
    <row r="22" spans="2:13" x14ac:dyDescent="0.2">
      <c r="B22" s="385"/>
      <c r="C22" s="148" t="s">
        <v>342</v>
      </c>
      <c r="D22" s="3">
        <f>Bejan_MEROI_Coal</f>
        <v>112.97498946045621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85"/>
      <c r="C23" s="150" t="s">
        <v>343</v>
      </c>
      <c r="D23" s="3">
        <f>Student_MEROI_Coal</f>
        <v>112.92932406235479</v>
      </c>
      <c r="E23" s="3">
        <f>Student_CoalExtraction</f>
        <v>0.98895425221527189</v>
      </c>
      <c r="F23" s="3">
        <f>Student_CoalHauling</f>
        <v>0.9820072683820037</v>
      </c>
      <c r="G23" s="3">
        <f>Student_CokeBeneficiation</f>
        <v>1.2153716768418652</v>
      </c>
      <c r="I23" s="3"/>
      <c r="K23" s="3"/>
      <c r="L23" s="3"/>
    </row>
    <row r="24" spans="2:13" x14ac:dyDescent="0.2">
      <c r="B24" s="385"/>
      <c r="C24" s="149" t="s">
        <v>409</v>
      </c>
      <c r="D24" s="166">
        <f>Product_MEROI_Coal</f>
        <v>112.97501431215093</v>
      </c>
      <c r="E24" s="3">
        <f>Product_CoalExtraction</f>
        <v>0.98928990872916378</v>
      </c>
      <c r="F24" s="3">
        <f>Product_CoalHauling</f>
        <v>0.98240458022077126</v>
      </c>
      <c r="G24" s="3">
        <f>Product_CokeBeneficiation</f>
        <v>0.6457153264722536</v>
      </c>
      <c r="I24" s="3"/>
    </row>
    <row r="25" spans="2:13" x14ac:dyDescent="0.2">
      <c r="C25" s="133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83" t="s">
        <v>405</v>
      </c>
      <c r="D30" s="196" t="s">
        <v>81</v>
      </c>
      <c r="E30" s="196" t="s">
        <v>353</v>
      </c>
    </row>
    <row r="31" spans="2:13" x14ac:dyDescent="0.2">
      <c r="B31" s="383"/>
      <c r="C31" s="148" t="s">
        <v>342</v>
      </c>
      <c r="D31" s="3" t="s">
        <v>99</v>
      </c>
      <c r="E31" s="3" t="str">
        <f>Bejan_BF</f>
        <v>[-]</v>
      </c>
    </row>
    <row r="32" spans="2:13" x14ac:dyDescent="0.2">
      <c r="B32" s="383"/>
      <c r="C32" s="150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83"/>
      <c r="C33" s="149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3" t="s">
        <v>338</v>
      </c>
      <c r="D34" s="3">
        <f>mass_bal_Mixer</f>
        <v>0</v>
      </c>
      <c r="E34" s="3">
        <f>mass_bal_BF</f>
        <v>0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86" t="s">
        <v>357</v>
      </c>
      <c r="F3" s="386"/>
      <c r="G3" s="386"/>
      <c r="H3"/>
      <c r="I3"/>
      <c r="L3" s="359" t="s">
        <v>449</v>
      </c>
      <c r="M3" s="359"/>
      <c r="N3" s="359"/>
      <c r="P3"/>
      <c r="T3" s="172" t="s">
        <v>448</v>
      </c>
    </row>
    <row r="4" spans="3:20" ht="16" thickBot="1" x14ac:dyDescent="0.25">
      <c r="E4" s="384" t="s">
        <v>11</v>
      </c>
      <c r="F4" s="384"/>
      <c r="G4" s="384"/>
      <c r="H4"/>
      <c r="I4"/>
      <c r="L4" s="384" t="s">
        <v>48</v>
      </c>
      <c r="M4" s="384"/>
      <c r="N4" s="384"/>
      <c r="P4"/>
      <c r="T4" s="3" t="s">
        <v>48</v>
      </c>
    </row>
    <row r="5" spans="3:20" ht="14.5" customHeight="1" thickBot="1" x14ac:dyDescent="0.25">
      <c r="C5" s="364" t="s">
        <v>4</v>
      </c>
      <c r="E5" s="153" t="s">
        <v>351</v>
      </c>
      <c r="F5" s="154" t="s">
        <v>81</v>
      </c>
      <c r="G5" s="155" t="s">
        <v>353</v>
      </c>
      <c r="L5" s="197" t="s">
        <v>190</v>
      </c>
      <c r="M5" s="197" t="s">
        <v>177</v>
      </c>
      <c r="N5" s="197" t="s">
        <v>351</v>
      </c>
      <c r="T5" s="229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18078196.245860025</v>
      </c>
    </row>
    <row r="6" spans="3:20" x14ac:dyDescent="0.2">
      <c r="C6" s="364"/>
      <c r="D6" s="156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6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64"/>
      <c r="D7" s="156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59" t="s">
        <v>449</v>
      </c>
      <c r="M9" s="359"/>
      <c r="N9" s="359"/>
      <c r="O9" s="359"/>
    </row>
    <row r="10" spans="3:20" x14ac:dyDescent="0.2">
      <c r="E10" s="386" t="s">
        <v>357</v>
      </c>
      <c r="F10" s="386"/>
      <c r="L10" s="384" t="s">
        <v>48</v>
      </c>
      <c r="M10" s="384"/>
      <c r="N10" s="384"/>
      <c r="O10" s="384"/>
    </row>
    <row r="11" spans="3:20" x14ac:dyDescent="0.2">
      <c r="E11" s="384" t="s">
        <v>11</v>
      </c>
      <c r="F11" s="384"/>
      <c r="L11" s="198" t="s">
        <v>190</v>
      </c>
      <c r="M11" s="198" t="s">
        <v>177</v>
      </c>
      <c r="N11" s="198" t="s">
        <v>351</v>
      </c>
      <c r="O11" s="198" t="s">
        <v>352</v>
      </c>
      <c r="P11"/>
    </row>
    <row r="12" spans="3:20" x14ac:dyDescent="0.2">
      <c r="C12" s="363" t="s">
        <v>20</v>
      </c>
      <c r="E12" s="151" t="s">
        <v>351</v>
      </c>
      <c r="F12" s="152" t="s">
        <v>352</v>
      </c>
      <c r="K12" s="227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1065729361.2410759</v>
      </c>
      <c r="P12"/>
    </row>
    <row r="13" spans="3:20" ht="14.5" customHeight="1" x14ac:dyDescent="0.2">
      <c r="C13" s="363"/>
      <c r="D13" s="156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63"/>
      <c r="D14" s="156" t="s">
        <v>23</v>
      </c>
      <c r="E14" s="3" t="s">
        <v>99</v>
      </c>
      <c r="F14" s="3">
        <f>Kiln_CO2Waste</f>
        <v>258.78111600158365</v>
      </c>
      <c r="L14" s="359" t="s">
        <v>449</v>
      </c>
      <c r="M14" s="359"/>
      <c r="N14" s="359"/>
    </row>
    <row r="15" spans="3:20" x14ac:dyDescent="0.2">
      <c r="C15" s="363"/>
      <c r="D15" s="3" t="s">
        <v>19</v>
      </c>
      <c r="E15" s="17">
        <f>SUM(E13:E14)</f>
        <v>0</v>
      </c>
      <c r="F15" s="17">
        <f>SUM(F13:F14)</f>
        <v>263.76586854668176</v>
      </c>
      <c r="L15" s="384" t="s">
        <v>48</v>
      </c>
      <c r="M15" s="384"/>
      <c r="N15" s="384"/>
    </row>
    <row r="16" spans="3:20" x14ac:dyDescent="0.2">
      <c r="L16" s="157" t="s">
        <v>190</v>
      </c>
      <c r="M16" s="157" t="s">
        <v>177</v>
      </c>
      <c r="N16" s="157" t="s">
        <v>380</v>
      </c>
    </row>
    <row r="17" spans="3:16" x14ac:dyDescent="0.2">
      <c r="K17" s="228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-2265181.0799943823</v>
      </c>
    </row>
    <row r="18" spans="3:16" x14ac:dyDescent="0.2">
      <c r="E18" s="172" t="s">
        <v>357</v>
      </c>
    </row>
    <row r="19" spans="3:16" ht="17" x14ac:dyDescent="0.25">
      <c r="E19" s="28" t="s">
        <v>11</v>
      </c>
      <c r="L19" s="359" t="s">
        <v>449</v>
      </c>
      <c r="M19" s="359"/>
    </row>
    <row r="20" spans="3:16" x14ac:dyDescent="0.2">
      <c r="C20" s="385" t="s">
        <v>354</v>
      </c>
      <c r="E20" s="157" t="s">
        <v>351</v>
      </c>
      <c r="L20" s="384" t="s">
        <v>48</v>
      </c>
      <c r="M20" s="384"/>
    </row>
    <row r="21" spans="3:16" ht="14.5" customHeight="1" x14ac:dyDescent="0.2">
      <c r="C21" s="385"/>
      <c r="D21" s="156" t="s">
        <v>358</v>
      </c>
      <c r="E21" s="3">
        <f>Beneficiation_CoalWaste</f>
        <v>18.493734420766422</v>
      </c>
      <c r="L21" s="196" t="s">
        <v>81</v>
      </c>
      <c r="M21" s="196" t="s">
        <v>353</v>
      </c>
      <c r="P21"/>
    </row>
    <row r="22" spans="3:16" ht="17" customHeight="1" x14ac:dyDescent="0.25">
      <c r="C22" s="385"/>
      <c r="D22" s="156" t="s">
        <v>23</v>
      </c>
      <c r="E22" s="3" t="s">
        <v>99</v>
      </c>
      <c r="K22" s="225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85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89" t="s">
        <v>70</v>
      </c>
      <c r="I2" s="289"/>
      <c r="J2" s="289"/>
      <c r="K2" s="289"/>
      <c r="L2" s="289"/>
      <c r="M2" s="289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89" t="s">
        <v>74</v>
      </c>
      <c r="I3" s="289"/>
      <c r="J3" s="289"/>
      <c r="K3" s="13"/>
      <c r="L3" s="293" t="s">
        <v>75</v>
      </c>
      <c r="M3" s="293"/>
      <c r="N3" s="7"/>
      <c r="AN3" s="394" t="s">
        <v>78</v>
      </c>
      <c r="AO3" s="394"/>
      <c r="AP3" s="394"/>
      <c r="AQ3" s="394"/>
      <c r="AR3" s="394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4"/>
      <c r="BD3" s="394"/>
      <c r="BE3" s="394"/>
      <c r="BF3" s="394"/>
      <c r="BG3" s="394"/>
      <c r="BH3" s="394"/>
      <c r="BI3" s="394"/>
      <c r="BJ3" s="394"/>
      <c r="BK3" s="394"/>
    </row>
    <row r="4" spans="3:69" ht="17" x14ac:dyDescent="0.25">
      <c r="C4" s="13" t="s">
        <v>11</v>
      </c>
      <c r="D4" s="13" t="s">
        <v>76</v>
      </c>
      <c r="E4" s="13"/>
      <c r="F4" s="13"/>
      <c r="AN4" s="394"/>
      <c r="AO4" s="394"/>
      <c r="AP4" s="394"/>
      <c r="AQ4" s="394"/>
      <c r="AR4" s="39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  <c r="BK4" s="39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8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89"/>
      <c r="J5" s="289"/>
      <c r="K5" s="289"/>
      <c r="L5" s="289"/>
      <c r="M5" s="289"/>
      <c r="AN5" s="394"/>
      <c r="AO5" s="394"/>
      <c r="AP5" s="394"/>
      <c r="AQ5" s="394"/>
      <c r="AR5" s="394"/>
      <c r="AS5" s="394"/>
      <c r="AT5" s="394"/>
      <c r="AU5" s="394"/>
      <c r="AV5" s="394"/>
      <c r="AW5" s="394"/>
      <c r="AX5" s="394"/>
      <c r="AY5" s="394"/>
      <c r="AZ5" s="394"/>
      <c r="BA5" s="394"/>
      <c r="BB5" s="394"/>
      <c r="BC5" s="394"/>
      <c r="BD5" s="394"/>
      <c r="BE5" s="394"/>
      <c r="BF5" s="394"/>
      <c r="BG5" s="394"/>
      <c r="BH5" s="394"/>
      <c r="BI5" s="394"/>
      <c r="BJ5" s="394"/>
      <c r="BK5" s="39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93">
        <v>6</v>
      </c>
      <c r="BJ10" s="393"/>
      <c r="BK10" s="393"/>
      <c r="BL10" s="393"/>
      <c r="BM10" s="393"/>
      <c r="BN10" s="393"/>
      <c r="BO10" s="393"/>
      <c r="BP10" s="393"/>
      <c r="BQ10" s="393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93"/>
      <c r="BJ11" s="393"/>
      <c r="BK11" s="393"/>
      <c r="BL11" s="393"/>
      <c r="BM11" s="393"/>
      <c r="BN11" s="393"/>
      <c r="BO11" s="393"/>
      <c r="BP11" s="393"/>
      <c r="BQ11" s="393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90" t="s">
        <v>113</v>
      </c>
    </row>
    <row r="18" spans="3:87" ht="18.5" customHeight="1" x14ac:dyDescent="0.25">
      <c r="BI18" s="390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90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90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90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90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388">
        <v>1</v>
      </c>
      <c r="D28" s="388"/>
      <c r="E28" s="388"/>
      <c r="F28" s="388"/>
      <c r="G28" s="388"/>
      <c r="H28" s="388"/>
      <c r="I28" s="388"/>
      <c r="J28" s="388"/>
      <c r="K28" s="388"/>
      <c r="L28" s="388"/>
      <c r="M28" s="388"/>
      <c r="N28" s="388"/>
      <c r="O28" s="388"/>
      <c r="P28" s="1"/>
      <c r="Q28" s="1"/>
      <c r="R28" s="1"/>
      <c r="S28" s="1"/>
      <c r="T28" s="1"/>
      <c r="U28" s="1"/>
      <c r="V28" s="1"/>
      <c r="W28" s="387">
        <v>3</v>
      </c>
      <c r="X28" s="387"/>
      <c r="Y28" s="387"/>
      <c r="Z28" s="387"/>
      <c r="AA28" s="387"/>
      <c r="AB28" s="387"/>
      <c r="AC28" s="387"/>
      <c r="AD28" s="387"/>
      <c r="AE28" s="387"/>
      <c r="AF28" s="387"/>
      <c r="AG28" s="387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88">
        <v>4</v>
      </c>
      <c r="AU28" s="388"/>
      <c r="AV28" s="388"/>
      <c r="AW28" s="388"/>
      <c r="AX28" s="388"/>
      <c r="AY28" s="388"/>
      <c r="AZ28" s="388"/>
      <c r="BA28" s="388"/>
      <c r="BB28" s="388"/>
      <c r="BC28" s="388"/>
      <c r="BD28" s="388"/>
      <c r="BE28" s="388"/>
      <c r="BF28" s="388"/>
      <c r="BG28" s="388"/>
      <c r="BH28" s="388"/>
      <c r="BI28" s="388"/>
      <c r="BT28" s="388">
        <v>5</v>
      </c>
      <c r="BU28" s="388"/>
      <c r="BV28" s="388"/>
      <c r="BW28" s="388"/>
      <c r="BX28" s="388"/>
      <c r="BY28" s="388"/>
      <c r="BZ28" s="388"/>
      <c r="CA28" s="388"/>
      <c r="CB28" s="388"/>
      <c r="CC28" s="388"/>
      <c r="CD28" s="388"/>
      <c r="CE28" s="388"/>
      <c r="CF28" s="388"/>
      <c r="CG28" s="388"/>
      <c r="CH28" s="388"/>
      <c r="CI28" s="388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3" t="s">
        <v>161</v>
      </c>
      <c r="O31" s="157" t="s">
        <v>346</v>
      </c>
      <c r="P31" s="164" t="s">
        <v>323</v>
      </c>
      <c r="Q31" s="164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7" t="s">
        <v>347</v>
      </c>
      <c r="P32" s="164" t="s">
        <v>99</v>
      </c>
      <c r="Q32" s="164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9">
        <f>N37</f>
        <v>51848.933724620947</v>
      </c>
      <c r="O33" s="157">
        <v>50000</v>
      </c>
      <c r="P33" s="165">
        <f>1.036978</f>
        <v>1.036978</v>
      </c>
      <c r="Q33" s="165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92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92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92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92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91" t="s">
        <v>80</v>
      </c>
      <c r="AK37" s="391"/>
      <c r="AL37" s="391"/>
      <c r="AM37" s="391"/>
      <c r="AN37" s="391"/>
      <c r="AO37" s="391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91" t="s">
        <v>81</v>
      </c>
      <c r="S38" s="391"/>
      <c r="T38" s="391"/>
      <c r="U38" s="391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91"/>
      <c r="AK38" s="391"/>
      <c r="AL38" s="391"/>
      <c r="AM38" s="391"/>
      <c r="AN38" s="391"/>
      <c r="AO38" s="391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91" t="s">
        <v>98</v>
      </c>
      <c r="BM38" s="391"/>
      <c r="BN38" s="391"/>
      <c r="BO38" s="391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91"/>
      <c r="S39" s="391"/>
      <c r="T39" s="391"/>
      <c r="U39" s="39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91"/>
      <c r="AK39" s="391"/>
      <c r="AL39" s="391"/>
      <c r="AM39" s="391"/>
      <c r="AN39" s="391"/>
      <c r="AO39" s="391"/>
      <c r="AP39" s="51"/>
      <c r="AQ39" s="51"/>
      <c r="AR39" s="1"/>
      <c r="AS39" s="1"/>
      <c r="AT39" s="1"/>
      <c r="AU39" s="1"/>
      <c r="AV39" s="1"/>
      <c r="AW39" s="1"/>
      <c r="AX39" s="1"/>
      <c r="BL39" s="391"/>
      <c r="BM39" s="391"/>
      <c r="BN39" s="391"/>
      <c r="BO39" s="391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91"/>
      <c r="S40" s="391"/>
      <c r="T40" s="391"/>
      <c r="U40" s="39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91"/>
      <c r="AK40" s="391"/>
      <c r="AL40" s="391"/>
      <c r="AM40" s="391"/>
      <c r="AN40" s="391"/>
      <c r="AO40" s="391"/>
      <c r="AP40" s="51"/>
      <c r="AQ40" s="51"/>
      <c r="AR40" s="1"/>
      <c r="AS40" s="56"/>
      <c r="AT40" s="1"/>
      <c r="AU40" s="1"/>
      <c r="AV40" s="1"/>
      <c r="AW40" s="1"/>
      <c r="AX40" s="1"/>
      <c r="BL40" s="391"/>
      <c r="BM40" s="391"/>
      <c r="BN40" s="391"/>
      <c r="BO40" s="391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91"/>
      <c r="AK41" s="391"/>
      <c r="AL41" s="391"/>
      <c r="AM41" s="391"/>
      <c r="AN41" s="391"/>
      <c r="AO41" s="391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10" t="s">
        <v>327</v>
      </c>
      <c r="S42" s="136" t="s">
        <v>349</v>
      </c>
      <c r="T42" s="347" t="s">
        <v>345</v>
      </c>
      <c r="U42" s="103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91"/>
      <c r="AK42" s="391"/>
      <c r="AL42" s="391"/>
      <c r="AM42" s="391"/>
      <c r="AN42" s="391"/>
      <c r="AO42" s="391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10" t="s">
        <v>327</v>
      </c>
      <c r="BM42" s="136" t="s">
        <v>349</v>
      </c>
      <c r="BN42" s="325" t="s">
        <v>345</v>
      </c>
      <c r="BO42" s="103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2" t="s">
        <v>48</v>
      </c>
      <c r="S43" s="6" t="s">
        <v>325</v>
      </c>
      <c r="T43" s="348"/>
      <c r="U43" s="104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2" t="s">
        <v>48</v>
      </c>
      <c r="BM43" s="6" t="s">
        <v>325</v>
      </c>
      <c r="BN43" s="326"/>
      <c r="BO43" s="104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5">
        <f>N33+N46-AG38</f>
        <v>363.48168596222968</v>
      </c>
      <c r="S44" s="13">
        <f>M33+M46-AF38</f>
        <v>0</v>
      </c>
      <c r="T44" s="140" t="s">
        <v>342</v>
      </c>
      <c r="U44" s="104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10" t="s">
        <v>327</v>
      </c>
      <c r="AL44" s="136" t="s">
        <v>349</v>
      </c>
      <c r="AM44" s="325" t="s">
        <v>345</v>
      </c>
      <c r="AN44" s="103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5">
        <f>(BI38-CI38)</f>
        <v>33548.785671916805</v>
      </c>
      <c r="BM44" s="13">
        <f>BH38-CH38</f>
        <v>0</v>
      </c>
      <c r="BN44" s="140" t="s">
        <v>342</v>
      </c>
      <c r="BO44" s="104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40" t="s">
        <v>343</v>
      </c>
      <c r="U45" s="104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2" t="s">
        <v>48</v>
      </c>
      <c r="AL45" s="6" t="s">
        <v>325</v>
      </c>
      <c r="AM45" s="326"/>
      <c r="AN45" s="104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40" t="s">
        <v>343</v>
      </c>
      <c r="BO45" s="104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1" t="s">
        <v>344</v>
      </c>
      <c r="U46" s="100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5">
        <f>AG38-BI38</f>
        <v>16476.878582735473</v>
      </c>
      <c r="AL46" s="13">
        <f>BH38-AF38</f>
        <v>0</v>
      </c>
      <c r="AM46" s="140" t="s">
        <v>342</v>
      </c>
      <c r="AN46" s="104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1" t="s">
        <v>344</v>
      </c>
      <c r="BO46" s="100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389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40" t="s">
        <v>343</v>
      </c>
      <c r="AN47" s="104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389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1" t="s">
        <v>344</v>
      </c>
      <c r="AN48" s="100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389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5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389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389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87">
        <v>2</v>
      </c>
      <c r="D57" s="387"/>
      <c r="E57" s="38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7"/>
      <c r="C2" s="167"/>
      <c r="D2" s="167"/>
      <c r="E2" s="167"/>
      <c r="F2" s="167"/>
      <c r="G2" s="167"/>
      <c r="H2" s="167"/>
      <c r="I2" s="167"/>
    </row>
    <row r="3" spans="1:23" x14ac:dyDescent="0.2">
      <c r="A3" s="167"/>
      <c r="B3" s="167"/>
      <c r="C3" s="167"/>
      <c r="D3" s="167"/>
      <c r="E3" s="167"/>
      <c r="F3" s="167"/>
      <c r="G3" s="167"/>
      <c r="H3" s="167"/>
      <c r="I3" s="167"/>
      <c r="P3" s="167"/>
      <c r="Q3" s="167"/>
      <c r="R3" s="167"/>
      <c r="S3" s="167"/>
      <c r="T3" s="167"/>
      <c r="U3" s="167"/>
      <c r="V3" s="167"/>
      <c r="W3" s="167"/>
    </row>
    <row r="4" spans="1:23" x14ac:dyDescent="0.2">
      <c r="A4" s="167"/>
      <c r="B4" s="169"/>
      <c r="C4" s="169"/>
      <c r="D4" s="290" t="s">
        <v>318</v>
      </c>
      <c r="E4" s="290"/>
      <c r="F4" s="290"/>
      <c r="G4" s="290"/>
      <c r="H4" s="167"/>
      <c r="I4" s="167"/>
      <c r="P4" s="167"/>
      <c r="Q4" s="167"/>
      <c r="R4" s="167"/>
      <c r="S4" s="361" t="s">
        <v>356</v>
      </c>
      <c r="T4" s="361"/>
      <c r="U4" s="361"/>
      <c r="V4" s="361"/>
      <c r="W4" s="167"/>
    </row>
    <row r="5" spans="1:23" x14ac:dyDescent="0.2">
      <c r="A5" s="167"/>
      <c r="B5" s="169"/>
      <c r="C5" s="169"/>
      <c r="D5" s="384" t="s">
        <v>83</v>
      </c>
      <c r="E5" s="384"/>
      <c r="F5" s="384"/>
      <c r="G5" s="384"/>
      <c r="H5" s="167"/>
      <c r="I5" s="167"/>
      <c r="P5" s="167"/>
      <c r="Q5" s="167"/>
      <c r="R5" s="167"/>
      <c r="S5" s="361"/>
      <c r="T5" s="361"/>
      <c r="U5" s="361"/>
      <c r="V5" s="361"/>
      <c r="W5" s="167"/>
    </row>
    <row r="6" spans="1:23" ht="15" customHeight="1" x14ac:dyDescent="0.2">
      <c r="A6" s="167"/>
      <c r="B6" s="364" t="s">
        <v>4</v>
      </c>
      <c r="C6" s="3"/>
      <c r="D6" s="197" t="s">
        <v>365</v>
      </c>
      <c r="E6" s="197" t="s">
        <v>190</v>
      </c>
      <c r="F6" s="197" t="s">
        <v>177</v>
      </c>
      <c r="G6" s="197" t="s">
        <v>351</v>
      </c>
      <c r="H6" s="167"/>
      <c r="I6" s="167"/>
      <c r="P6" s="167"/>
      <c r="Q6" s="167"/>
      <c r="R6" s="167"/>
      <c r="S6" s="361"/>
      <c r="T6" s="361"/>
      <c r="U6" s="361"/>
      <c r="V6" s="361"/>
      <c r="W6" s="167"/>
    </row>
    <row r="7" spans="1:23" ht="16" thickBot="1" x14ac:dyDescent="0.25">
      <c r="A7" s="167"/>
      <c r="B7" s="364"/>
      <c r="C7" s="148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7"/>
      <c r="I7" s="167"/>
      <c r="P7" s="167"/>
      <c r="Q7" s="167"/>
      <c r="R7" s="167"/>
      <c r="S7" s="362"/>
      <c r="T7" s="362"/>
      <c r="U7" s="362"/>
      <c r="V7" s="362"/>
      <c r="W7" s="167"/>
    </row>
    <row r="8" spans="1:23" x14ac:dyDescent="0.2">
      <c r="A8" s="167"/>
      <c r="B8" s="364"/>
      <c r="C8" s="150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7"/>
      <c r="I8" s="167"/>
      <c r="P8" s="167"/>
      <c r="Q8" s="361" t="s">
        <v>355</v>
      </c>
      <c r="R8" s="377"/>
      <c r="S8" s="379" t="s">
        <v>342</v>
      </c>
      <c r="T8" s="380"/>
      <c r="U8" s="365" t="s">
        <v>409</v>
      </c>
      <c r="V8" s="366"/>
      <c r="W8" s="167"/>
    </row>
    <row r="9" spans="1:23" x14ac:dyDescent="0.2">
      <c r="A9" s="167"/>
      <c r="B9" s="364"/>
      <c r="C9" s="149" t="s">
        <v>409</v>
      </c>
      <c r="D9" s="166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7"/>
      <c r="I9" s="167"/>
      <c r="P9" s="167"/>
      <c r="Q9" s="361"/>
      <c r="R9" s="377"/>
      <c r="S9" s="381"/>
      <c r="T9" s="382"/>
      <c r="U9" s="367"/>
      <c r="V9" s="368"/>
      <c r="W9" s="167"/>
    </row>
    <row r="10" spans="1:23" x14ac:dyDescent="0.2">
      <c r="A10" s="167"/>
      <c r="C10" s="133"/>
      <c r="D10" s="167"/>
      <c r="E10" s="203"/>
      <c r="F10" s="203"/>
      <c r="G10" s="203"/>
      <c r="H10" s="169"/>
      <c r="I10" s="167"/>
      <c r="P10" s="167"/>
      <c r="Q10" s="361"/>
      <c r="R10" s="377"/>
      <c r="S10" s="381"/>
      <c r="T10" s="382"/>
      <c r="U10" s="367"/>
      <c r="V10" s="368"/>
      <c r="W10" s="167"/>
    </row>
    <row r="11" spans="1:23" x14ac:dyDescent="0.2">
      <c r="A11" s="167"/>
      <c r="B11" s="167"/>
      <c r="C11" s="167"/>
      <c r="D11" s="167"/>
      <c r="E11" s="169"/>
      <c r="F11" s="169"/>
      <c r="G11" s="169"/>
      <c r="H11" s="169"/>
      <c r="I11" s="167"/>
      <c r="P11" s="167"/>
      <c r="Q11" s="361"/>
      <c r="R11" s="377"/>
      <c r="S11" s="381"/>
      <c r="T11" s="382"/>
      <c r="U11" s="367"/>
      <c r="V11" s="368"/>
      <c r="W11" s="167"/>
    </row>
    <row r="12" spans="1:23" x14ac:dyDescent="0.2">
      <c r="A12" s="167"/>
      <c r="B12" s="167"/>
      <c r="C12" s="167"/>
      <c r="D12" s="167"/>
      <c r="E12" s="167"/>
      <c r="F12" s="167"/>
      <c r="G12" s="167"/>
      <c r="H12" s="167"/>
      <c r="I12" s="167"/>
      <c r="P12" s="167"/>
      <c r="Q12" s="395" t="s">
        <v>408</v>
      </c>
      <c r="R12" s="377"/>
      <c r="S12" s="373" t="s">
        <v>317</v>
      </c>
      <c r="T12" s="374"/>
      <c r="U12" s="369" t="s">
        <v>343</v>
      </c>
      <c r="V12" s="370"/>
      <c r="W12" s="167"/>
    </row>
    <row r="13" spans="1:23" x14ac:dyDescent="0.2">
      <c r="A13" s="167"/>
      <c r="B13" s="169"/>
      <c r="C13" s="169"/>
      <c r="D13" s="290" t="s">
        <v>318</v>
      </c>
      <c r="E13" s="290"/>
      <c r="F13" s="290"/>
      <c r="G13" s="290"/>
      <c r="H13" s="290"/>
      <c r="I13" s="167"/>
      <c r="P13" s="167"/>
      <c r="Q13" s="361"/>
      <c r="R13" s="377"/>
      <c r="S13" s="373"/>
      <c r="T13" s="374"/>
      <c r="U13" s="369"/>
      <c r="V13" s="370"/>
      <c r="W13" s="167"/>
    </row>
    <row r="14" spans="1:23" ht="15" customHeight="1" x14ac:dyDescent="0.2">
      <c r="A14" s="167"/>
      <c r="B14" s="169"/>
      <c r="C14" s="169"/>
      <c r="D14" s="384" t="s">
        <v>83</v>
      </c>
      <c r="E14" s="384"/>
      <c r="F14" s="384"/>
      <c r="G14" s="384"/>
      <c r="H14" s="384"/>
      <c r="I14" s="167"/>
      <c r="P14" s="167"/>
      <c r="Q14" s="361"/>
      <c r="R14" s="377"/>
      <c r="S14" s="373"/>
      <c r="T14" s="374"/>
      <c r="U14" s="369"/>
      <c r="V14" s="370"/>
      <c r="W14" s="167"/>
    </row>
    <row r="15" spans="1:23" ht="16" thickBot="1" x14ac:dyDescent="0.25">
      <c r="A15" s="167"/>
      <c r="B15" s="363" t="s">
        <v>20</v>
      </c>
      <c r="C15" s="3"/>
      <c r="D15" s="198" t="s">
        <v>365</v>
      </c>
      <c r="E15" s="198" t="s">
        <v>190</v>
      </c>
      <c r="F15" s="198" t="s">
        <v>177</v>
      </c>
      <c r="G15" s="198" t="s">
        <v>351</v>
      </c>
      <c r="H15" s="198" t="s">
        <v>352</v>
      </c>
      <c r="I15" s="167"/>
      <c r="P15" s="167"/>
      <c r="Q15" s="361"/>
      <c r="R15" s="377"/>
      <c r="S15" s="375"/>
      <c r="T15" s="376"/>
      <c r="U15" s="371"/>
      <c r="V15" s="372"/>
      <c r="W15" s="167"/>
    </row>
    <row r="16" spans="1:23" x14ac:dyDescent="0.2">
      <c r="A16" s="167"/>
      <c r="B16" s="363"/>
      <c r="C16" s="148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7"/>
      <c r="P16" s="167"/>
      <c r="Q16" s="167"/>
      <c r="R16" s="167"/>
      <c r="S16" s="167"/>
      <c r="T16" s="167"/>
      <c r="U16" s="167"/>
      <c r="V16" s="167"/>
      <c r="W16" s="167"/>
    </row>
    <row r="17" spans="1:12" x14ac:dyDescent="0.2">
      <c r="A17" s="167"/>
      <c r="B17" s="363"/>
      <c r="C17" s="150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0.98847663255948648</v>
      </c>
      <c r="I17" s="167"/>
    </row>
    <row r="18" spans="1:12" x14ac:dyDescent="0.2">
      <c r="A18" s="167"/>
      <c r="B18" s="363"/>
      <c r="C18" s="149" t="s">
        <v>409</v>
      </c>
      <c r="D18" s="166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2.2442181938382317E-4</v>
      </c>
      <c r="I18" s="167"/>
    </row>
    <row r="19" spans="1:12" x14ac:dyDescent="0.2">
      <c r="A19" s="167"/>
      <c r="C19" s="133"/>
      <c r="D19" s="167"/>
      <c r="E19" s="203"/>
      <c r="F19" s="203"/>
      <c r="G19" s="203"/>
      <c r="H19" s="203"/>
      <c r="I19" s="167"/>
      <c r="L19" t="s">
        <v>452</v>
      </c>
    </row>
    <row r="20" spans="1:12" x14ac:dyDescent="0.2">
      <c r="A20" s="167"/>
      <c r="B20" s="167"/>
      <c r="C20" s="167"/>
      <c r="D20" s="167"/>
      <c r="E20" s="167"/>
      <c r="F20" s="167"/>
      <c r="G20" s="167"/>
      <c r="H20" s="167"/>
      <c r="I20" s="167"/>
    </row>
    <row r="21" spans="1:12" x14ac:dyDescent="0.2">
      <c r="A21" s="167"/>
      <c r="B21" s="169"/>
      <c r="C21" s="169"/>
      <c r="D21" s="290" t="s">
        <v>318</v>
      </c>
      <c r="E21" s="290"/>
      <c r="F21" s="290"/>
      <c r="G21" s="290"/>
      <c r="H21" s="167"/>
      <c r="I21" s="167"/>
    </row>
    <row r="22" spans="1:12" ht="15" customHeight="1" x14ac:dyDescent="0.2">
      <c r="A22" s="167"/>
      <c r="B22" s="169"/>
      <c r="C22" s="169"/>
      <c r="D22" s="384" t="s">
        <v>83</v>
      </c>
      <c r="E22" s="384"/>
      <c r="F22" s="384"/>
      <c r="G22" s="384"/>
      <c r="H22" s="167"/>
      <c r="I22" s="167"/>
    </row>
    <row r="23" spans="1:12" x14ac:dyDescent="0.2">
      <c r="A23" s="167"/>
      <c r="B23" s="385" t="s">
        <v>354</v>
      </c>
      <c r="C23" s="3"/>
      <c r="D23" s="157" t="s">
        <v>365</v>
      </c>
      <c r="E23" s="157" t="s">
        <v>190</v>
      </c>
      <c r="F23" s="157" t="s">
        <v>177</v>
      </c>
      <c r="G23" s="157" t="s">
        <v>380</v>
      </c>
      <c r="H23" s="167"/>
      <c r="I23" s="167"/>
    </row>
    <row r="24" spans="1:12" x14ac:dyDescent="0.2">
      <c r="A24" s="167"/>
      <c r="B24" s="385"/>
      <c r="C24" s="148" t="s">
        <v>342</v>
      </c>
      <c r="D24" s="3">
        <f>Bejan_MEROI_Coal</f>
        <v>112.97498946045621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7"/>
      <c r="I24" s="167"/>
    </row>
    <row r="25" spans="1:12" x14ac:dyDescent="0.2">
      <c r="A25" s="167"/>
      <c r="B25" s="385"/>
      <c r="C25" s="150" t="s">
        <v>343</v>
      </c>
      <c r="D25" s="3">
        <f>Student_MEROI_Coal</f>
        <v>112.92932406235479</v>
      </c>
      <c r="E25" s="3">
        <f>Student_CoalExtraction</f>
        <v>0.98895425221527189</v>
      </c>
      <c r="F25" s="3">
        <f>Student_CoalHauling</f>
        <v>0.9820072683820037</v>
      </c>
      <c r="G25" s="3">
        <f>Student_CokeBeneficiation</f>
        <v>1.2153716768418652</v>
      </c>
      <c r="H25" s="167"/>
      <c r="I25" s="167"/>
    </row>
    <row r="26" spans="1:12" x14ac:dyDescent="0.2">
      <c r="A26" s="167"/>
      <c r="B26" s="385"/>
      <c r="C26" s="149" t="s">
        <v>409</v>
      </c>
      <c r="D26" s="166">
        <f>Product_MEROI_Coal</f>
        <v>112.97501431215093</v>
      </c>
      <c r="E26" s="3">
        <f>Product_CoalExtraction</f>
        <v>0.98928990872916378</v>
      </c>
      <c r="F26" s="3">
        <f>Product_CoalHauling</f>
        <v>0.98240458022077126</v>
      </c>
      <c r="G26" s="3">
        <f>Product_CokeBeneficiation</f>
        <v>0.6457153264722536</v>
      </c>
      <c r="I26" s="167"/>
    </row>
    <row r="27" spans="1:12" x14ac:dyDescent="0.2">
      <c r="A27" s="167"/>
      <c r="B27" s="167"/>
      <c r="C27" s="204"/>
      <c r="D27" s="167"/>
      <c r="E27" s="203"/>
      <c r="F27" s="203"/>
      <c r="G27" s="203"/>
      <c r="H27" s="169"/>
      <c r="I27" s="167"/>
    </row>
    <row r="28" spans="1:12" x14ac:dyDescent="0.2">
      <c r="A28" s="167"/>
      <c r="B28" s="167"/>
      <c r="C28" s="167"/>
      <c r="D28" s="167"/>
      <c r="E28" s="167"/>
      <c r="F28" s="167"/>
      <c r="G28" s="167"/>
      <c r="H28" s="167"/>
      <c r="I28" s="167"/>
    </row>
    <row r="29" spans="1:12" x14ac:dyDescent="0.2">
      <c r="A29" s="167"/>
      <c r="B29" s="167"/>
      <c r="C29" s="167"/>
      <c r="D29" s="167"/>
      <c r="E29" s="167"/>
      <c r="F29" s="167"/>
      <c r="G29" s="167"/>
      <c r="H29" s="167"/>
      <c r="I29" s="167"/>
    </row>
    <row r="30" spans="1:12" x14ac:dyDescent="0.2">
      <c r="A30" s="167"/>
      <c r="B30" s="167"/>
      <c r="C30" s="167"/>
      <c r="D30" s="167"/>
      <c r="E30" s="167"/>
      <c r="F30" s="167"/>
      <c r="G30" s="167"/>
      <c r="H30" s="167"/>
      <c r="I30" s="167"/>
    </row>
    <row r="31" spans="1:12" x14ac:dyDescent="0.2">
      <c r="A31" s="167"/>
      <c r="B31" s="167"/>
      <c r="C31" s="167"/>
      <c r="D31" s="167"/>
      <c r="E31" s="167"/>
      <c r="F31" s="167"/>
      <c r="G31" s="167"/>
      <c r="H31" s="167"/>
      <c r="I31" s="167"/>
    </row>
    <row r="32" spans="1:12" x14ac:dyDescent="0.2">
      <c r="A32" s="167"/>
      <c r="B32" s="383" t="s">
        <v>405</v>
      </c>
      <c r="D32" s="196" t="s">
        <v>81</v>
      </c>
      <c r="E32" s="196" t="s">
        <v>353</v>
      </c>
      <c r="F32" s="167"/>
      <c r="G32" s="167"/>
      <c r="H32" s="167"/>
      <c r="I32" s="167"/>
    </row>
    <row r="33" spans="1:9" x14ac:dyDescent="0.2">
      <c r="A33" s="167"/>
      <c r="B33" s="383"/>
      <c r="C33" s="148" t="s">
        <v>342</v>
      </c>
      <c r="D33" s="3" t="s">
        <v>99</v>
      </c>
      <c r="E33" s="3" t="str">
        <f>Bejan_BF</f>
        <v>[-]</v>
      </c>
      <c r="F33" s="167"/>
      <c r="G33" s="167"/>
      <c r="H33" s="167"/>
      <c r="I33" s="167"/>
    </row>
    <row r="34" spans="1:9" x14ac:dyDescent="0.2">
      <c r="A34" s="167"/>
      <c r="B34" s="383"/>
      <c r="C34" s="150" t="s">
        <v>343</v>
      </c>
      <c r="D34" s="3">
        <f>Student_mixer</f>
        <v>0.99300939590335358</v>
      </c>
      <c r="E34" s="3">
        <f>Student_BF</f>
        <v>0.33038859066202669</v>
      </c>
      <c r="F34" s="167"/>
      <c r="G34" s="167"/>
      <c r="H34" s="167"/>
      <c r="I34" s="167"/>
    </row>
    <row r="35" spans="1:9" x14ac:dyDescent="0.2">
      <c r="A35" s="167"/>
      <c r="B35" s="383"/>
      <c r="C35" s="149" t="s">
        <v>409</v>
      </c>
      <c r="D35" s="3">
        <f>Product_Mixer</f>
        <v>1.0717776463170951E-2</v>
      </c>
      <c r="E35" s="3">
        <f>Product_BF</f>
        <v>0.29488597008746631</v>
      </c>
      <c r="F35" s="167"/>
      <c r="G35" s="167"/>
      <c r="H35" s="167"/>
      <c r="I35" s="167"/>
    </row>
    <row r="36" spans="1:9" x14ac:dyDescent="0.2">
      <c r="A36" s="167"/>
      <c r="B36" s="167"/>
      <c r="C36" s="204"/>
      <c r="D36" s="169"/>
      <c r="E36" s="169"/>
      <c r="F36" s="167"/>
      <c r="G36" s="167"/>
      <c r="H36" s="167"/>
      <c r="I36" s="167"/>
    </row>
    <row r="37" spans="1:9" x14ac:dyDescent="0.2">
      <c r="A37" s="167"/>
      <c r="B37" s="167"/>
      <c r="C37" s="167"/>
      <c r="D37" s="167"/>
      <c r="E37" s="167"/>
      <c r="F37" s="167"/>
      <c r="G37" s="167"/>
      <c r="H37" s="167"/>
      <c r="I37" s="167"/>
    </row>
    <row r="38" spans="1:9" x14ac:dyDescent="0.2">
      <c r="A38" s="167"/>
      <c r="B38" s="167"/>
      <c r="C38" s="167"/>
      <c r="D38" s="167"/>
      <c r="E38" s="167"/>
      <c r="F38" s="167"/>
      <c r="G38" s="167"/>
      <c r="H38" s="167"/>
      <c r="I38" s="167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265</vt:i4>
      </vt:variant>
    </vt:vector>
  </HeadingPairs>
  <TitlesOfParts>
    <vt:vector size="276" baseType="lpstr">
      <vt:lpstr>Constants</vt:lpstr>
      <vt:lpstr>BF Calculator</vt:lpstr>
      <vt:lpstr>Ore-&gt;PI</vt:lpstr>
      <vt:lpstr>Energy X</vt:lpstr>
      <vt:lpstr>MCC B RUVY matrices (mat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CH4_Kiln_out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CO2_Kiln_Out_ADD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R_B</vt:lpstr>
      <vt:lpstr>r_eiou_B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S_units_B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U_B</vt:lpstr>
      <vt:lpstr>U_eiou_B</vt:lpstr>
      <vt:lpstr>U_eiou_m</vt:lpstr>
      <vt:lpstr>U_feed_B</vt:lpstr>
      <vt:lpstr>U_feed_m</vt:lpstr>
      <vt:lpstr>U_m</vt:lpstr>
      <vt:lpstr>V_B</vt:lpstr>
      <vt:lpstr>V_m</vt:lpstr>
      <vt:lpstr>Y_B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2025-06-30T19:20:33Z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