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49F5D48F-8E9B-3849-86DE-2BBB9870EE59}" xr6:coauthVersionLast="47" xr6:coauthVersionMax="47" xr10:uidLastSave="{00000000-0000-0000-0000-000000000000}"/>
  <bookViews>
    <workbookView xWindow="22320" yWindow="1080" windowWidth="30500" windowHeight="27120" activeTab="7" xr2:uid="{B56C0490-30AA-4047-9BD3-68F16EDF25FC}"/>
  </bookViews>
  <sheets>
    <sheet name="Constants" sheetId="3" r:id="rId1"/>
    <sheet name="Fuel Exergy" sheetId="21" r:id="rId2"/>
    <sheet name="Calculators" sheetId="11" r:id="rId3"/>
    <sheet name="Ore_to_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Calculators!#REF!</definedName>
    <definedName name="b_ch_Al2O3">Constants!$E$24</definedName>
    <definedName name="b_ch_C">Constants!$E$5</definedName>
    <definedName name="b_ch_C10H8">Constants!$E$42</definedName>
    <definedName name="b_ch_C12H10">Constants!$E$46</definedName>
    <definedName name="b_ch_C13H10">Constants!$E$47</definedName>
    <definedName name="b_ch_C14H10">Constants!$E$43</definedName>
    <definedName name="b_ch_C16H10">Constants!$E$44</definedName>
    <definedName name="b_ch_C18H12">Constants!$E$48</definedName>
    <definedName name="b_ch_C24H26">Constants!$E$45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Constants!$E$15</definedName>
    <definedName name="b_ch_fueloil">Calculators!$H$264</definedName>
    <definedName name="b_ch_Gasoline">Calculators!$H$247</definedName>
    <definedName name="b_ch_H">Constants!$E$21</definedName>
    <definedName name="b_ch_H2">Constants!$J$8</definedName>
    <definedName name="b_ch_H2O">Constants!$E$20</definedName>
    <definedName name="b_ch_H2S">Constants!$E$33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ch_SO2">Constants!$E$49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CO2Waste">Ore_to_PI!$FB$145</definedName>
    <definedName name="BF_SolidWaste">Ore_to_PI!$FL$104</definedName>
    <definedName name="Btu_to_kJ">Constants!$W$4</definedName>
    <definedName name="C_for_BF">Calculators!$L$23</definedName>
    <definedName name="cal_to_kJ">Constants!$W$6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Diesel_N2_molcoeff">Calculators!$M$217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Constants!$F$24</definedName>
    <definedName name="h_C">Constants!$F$5</definedName>
    <definedName name="h_C10H8">Constants!$F$42</definedName>
    <definedName name="h_C12H10">Constants!$F$46</definedName>
    <definedName name="h_C13H10">Constants!$F$47</definedName>
    <definedName name="h_C14H10">Constants!$F$43</definedName>
    <definedName name="h_C16H10">Constants!$F$44</definedName>
    <definedName name="h_C18H12">Constants!$F$48</definedName>
    <definedName name="h_C24H26">Constants!$F$45</definedName>
    <definedName name="h_C2H4">Constants!$F$36</definedName>
    <definedName name="h_C2H6">Constants!$F$31</definedName>
    <definedName name="h_C6H6">Constants!$F$34</definedName>
    <definedName name="h_C8H18">Constants!$F$39</definedName>
    <definedName name="h_CaCO3">Constants!$F$6</definedName>
    <definedName name="h_CaO">Constants!$F$17</definedName>
    <definedName name="h_CaSiO3">Constants!$F$7</definedName>
    <definedName name="h_CH4">Constants!$F$18</definedName>
    <definedName name="h_Cl">Constants!$F$23</definedName>
    <definedName name="h_CO">Constants!$F$16</definedName>
    <definedName name="h_CO2">Constants!$F$8</definedName>
    <definedName name="h_CS2">Constants!$F$38</definedName>
    <definedName name="h_Fe">Constants!$F$9</definedName>
    <definedName name="h_Fe2O3">Constants!$F$10</definedName>
    <definedName name="h_fg_ash">Constants!$V$15</definedName>
    <definedName name="h_H">Constants!$F$21</definedName>
    <definedName name="h_H2">Constants!$F$32</definedName>
    <definedName name="h_H2O">Constants!$F$20</definedName>
    <definedName name="h_H2S">Constants!$F$33</definedName>
    <definedName name="h_HCN">Constants!$F$37</definedName>
    <definedName name="h_K2O">Constants!$F$27</definedName>
    <definedName name="h_MgCO3">Constants!$F$29</definedName>
    <definedName name="h_MgO">Constants!$F$25</definedName>
    <definedName name="h_N">Constants!$F$30</definedName>
    <definedName name="h_N2">Constants!$F$19</definedName>
    <definedName name="h_Na2O">Constants!$F$26</definedName>
    <definedName name="h_NH3">Constants!$F$35</definedName>
    <definedName name="h_O">Constants!$F$11</definedName>
    <definedName name="h_O2">Constants!$F$12</definedName>
    <definedName name="h_P">Constants!$F$28</definedName>
    <definedName name="h_S">Constants!$F$22</definedName>
    <definedName name="h_Si">Constants!$F$13</definedName>
    <definedName name="h_SiO2">Constants!$F$14</definedName>
    <definedName name="h_SO2">Constants!$F$49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Constants!$Y$4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Constants!$D$24</definedName>
    <definedName name="MW_C">Constants!$D$5</definedName>
    <definedName name="MW_C10H8">Constants!$D$42</definedName>
    <definedName name="MW_C12H10">Constants!$D$46</definedName>
    <definedName name="MW_C12H23">Constants!$D$40</definedName>
    <definedName name="MW_C13H10">Constants!$D$47</definedName>
    <definedName name="MW_C14H10">Constants!$D$43</definedName>
    <definedName name="MW_C16H10">Constants!$D$44</definedName>
    <definedName name="MW_C18H12">Constants!$D$48</definedName>
    <definedName name="MW_C24H26">Constants!$D$45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oal">Calculators!$M$102</definedName>
    <definedName name="MW_Coke">Calculators!$N$92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MW_SO2">Constants!$D$49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Constants!$Q$19</definedName>
    <definedName name="NCV_dry_anthrocite">Constants!$R$15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Constants!$AE$3</definedName>
    <definedName name="phi_anthrocite">Constants!$Q$15</definedName>
    <definedName name="phi_constant_dry_anthracite_d">Constants!$W$15</definedName>
    <definedName name="phi_dry_constant_a_">Constants!$S$15</definedName>
    <definedName name="phi_dry_constant_b">Constants!$T$15</definedName>
    <definedName name="phi_dry_constant_c">Constants!$U$15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7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39" i="22" l="1"/>
  <c r="H157" i="22"/>
  <c r="I158" i="22"/>
  <c r="J159" i="22"/>
  <c r="AI123" i="22"/>
  <c r="AJ123" i="22"/>
  <c r="AK124" i="22"/>
  <c r="AL124" i="22"/>
  <c r="AM125" i="22"/>
  <c r="ED134" i="9"/>
  <c r="CN211" i="9"/>
  <c r="O210" i="9"/>
  <c r="N210" i="9"/>
  <c r="M210" i="9"/>
  <c r="AI210" i="9"/>
  <c r="AH210" i="9"/>
  <c r="AG210" i="9"/>
  <c r="BB210" i="9"/>
  <c r="BA210" i="9"/>
  <c r="AZ210" i="9"/>
  <c r="G225" i="15"/>
  <c r="G226" i="15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BE108" i="22"/>
  <c r="BM110" i="22"/>
  <c r="BN110" i="22" s="1"/>
  <c r="AD162" i="22"/>
  <c r="AB133" i="22"/>
  <c r="AD133" i="22"/>
  <c r="AD139" i="22" s="1"/>
  <c r="CP282" i="9" a="1"/>
  <c r="CP282" i="9"/>
  <c r="CP281" i="9"/>
  <c r="CP280" i="9"/>
  <c r="CP279" i="9"/>
  <c r="CP278" i="9"/>
  <c r="CP277" i="9"/>
  <c r="CP276" i="9"/>
  <c r="CP275" i="9"/>
  <c r="CP274" i="9"/>
  <c r="CP273" i="9"/>
  <c r="CP272" i="9"/>
  <c r="CP271" i="9"/>
  <c r="CP210" i="9"/>
  <c r="CN210" i="9"/>
  <c r="BS210" i="9"/>
  <c r="BU210" i="9"/>
  <c r="EG105" i="9"/>
  <c r="EF105" i="9"/>
  <c r="O144" i="9"/>
  <c r="O226" i="9"/>
  <c r="O63" i="9"/>
  <c r="K78" i="9"/>
  <c r="BQ114" i="20"/>
  <c r="BP114" i="20"/>
  <c r="BJ114" i="20"/>
  <c r="J201" i="20"/>
  <c r="J202" i="20"/>
  <c r="J203" i="20"/>
  <c r="J204" i="20"/>
  <c r="J205" i="20"/>
  <c r="J206" i="20"/>
  <c r="J207" i="20"/>
  <c r="J208" i="20"/>
  <c r="J209" i="20"/>
  <c r="AG166" i="20"/>
  <c r="AG143" i="20"/>
  <c r="AG137" i="20"/>
  <c r="BN110" i="15"/>
  <c r="BN111" i="15"/>
  <c r="BM110" i="15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AD134" i="15"/>
  <c r="AD140" i="15" s="1"/>
  <c r="I187" i="11"/>
  <c r="EB144" i="9"/>
  <c r="G198" i="11"/>
  <c r="F195" i="11"/>
  <c r="C195" i="11"/>
  <c r="FB145" i="9"/>
  <c r="FB147" i="9"/>
  <c r="FB146" i="9"/>
  <c r="J175" i="11"/>
  <c r="I175" i="11"/>
  <c r="J174" i="11"/>
  <c r="I174" i="11"/>
  <c r="J173" i="11"/>
  <c r="I173" i="11"/>
  <c r="J172" i="11"/>
  <c r="I172" i="11"/>
  <c r="J171" i="11"/>
  <c r="I171" i="11"/>
  <c r="K175" i="11"/>
  <c r="K174" i="11"/>
  <c r="K173" i="11"/>
  <c r="K172" i="11"/>
  <c r="J176" i="11"/>
  <c r="I176" i="11"/>
  <c r="F198" i="11"/>
  <c r="I201" i="11" s="1"/>
  <c r="P190" i="11"/>
  <c r="F194" i="11"/>
  <c r="F193" i="11"/>
  <c r="F192" i="11"/>
  <c r="F191" i="11"/>
  <c r="F190" i="11"/>
  <c r="K200" i="11"/>
  <c r="K203" i="11"/>
  <c r="K199" i="11"/>
  <c r="J201" i="11"/>
  <c r="J200" i="11"/>
  <c r="J199" i="11"/>
  <c r="J203" i="11"/>
  <c r="I203" i="11"/>
  <c r="I200" i="11"/>
  <c r="I199" i="11"/>
  <c r="P192" i="11"/>
  <c r="P191" i="11"/>
  <c r="EQ145" i="9"/>
  <c r="N163" i="11"/>
  <c r="EQ143" i="9"/>
  <c r="L23" i="11"/>
  <c r="DA247" i="9"/>
  <c r="CZ247" i="9"/>
  <c r="CZ246" i="9"/>
  <c r="F199" i="11"/>
  <c r="I202" i="11" s="1"/>
  <c r="E195" i="11"/>
  <c r="D195" i="11"/>
  <c r="O192" i="11"/>
  <c r="O193" i="11"/>
  <c r="E194" i="11"/>
  <c r="E193" i="11"/>
  <c r="E192" i="11"/>
  <c r="E191" i="11"/>
  <c r="E190" i="11"/>
  <c r="D190" i="11"/>
  <c r="CW199" i="11"/>
  <c r="E163" i="11"/>
  <c r="E164" i="11"/>
  <c r="E165" i="11"/>
  <c r="E166" i="11"/>
  <c r="FF147" i="9"/>
  <c r="FG147" i="9"/>
  <c r="FD147" i="9"/>
  <c r="M166" i="11"/>
  <c r="M165" i="11"/>
  <c r="G49" i="3"/>
  <c r="E49" i="3"/>
  <c r="D49" i="3"/>
  <c r="EF133" i="9"/>
  <c r="ED159" i="9"/>
  <c r="EG159" i="9"/>
  <c r="EF159" i="9"/>
  <c r="EX240" i="9"/>
  <c r="FA240" i="9"/>
  <c r="EZ240" i="9"/>
  <c r="EF240" i="9"/>
  <c r="EE240" i="9"/>
  <c r="DJ240" i="9"/>
  <c r="DK240" i="9"/>
  <c r="EC240" i="9"/>
  <c r="DH240" i="9"/>
  <c r="DH239" i="9"/>
  <c r="DH238" i="9"/>
  <c r="DH237" i="9"/>
  <c r="DH241" i="9" s="1"/>
  <c r="ED160" i="9" s="1"/>
  <c r="AJ109" i="11"/>
  <c r="AJ108" i="11"/>
  <c r="AJ107" i="11"/>
  <c r="AJ106" i="11"/>
  <c r="AB109" i="11"/>
  <c r="AB108" i="11"/>
  <c r="AB107" i="11"/>
  <c r="AB106" i="11"/>
  <c r="AB91" i="11"/>
  <c r="P217" i="9"/>
  <c r="O217" i="9"/>
  <c r="M217" i="9"/>
  <c r="AJ217" i="9"/>
  <c r="AI217" i="9"/>
  <c r="AG217" i="9"/>
  <c r="AJ216" i="9"/>
  <c r="AI216" i="9"/>
  <c r="AG216" i="9"/>
  <c r="AJ215" i="9"/>
  <c r="AI215" i="9"/>
  <c r="AG215" i="9"/>
  <c r="AJ214" i="9"/>
  <c r="AI214" i="9"/>
  <c r="AG214" i="9"/>
  <c r="AJ213" i="9"/>
  <c r="AI213" i="9"/>
  <c r="AG213" i="9"/>
  <c r="AJ212" i="9"/>
  <c r="AI212" i="9"/>
  <c r="AG212" i="9"/>
  <c r="AJ211" i="9"/>
  <c r="AI211" i="9"/>
  <c r="AG211" i="9"/>
  <c r="BC217" i="9"/>
  <c r="BB217" i="9"/>
  <c r="AZ217" i="9"/>
  <c r="O190" i="11"/>
  <c r="O191" i="11"/>
  <c r="E198" i="11"/>
  <c r="E199" i="11"/>
  <c r="CG204" i="11"/>
  <c r="AA80" i="11"/>
  <c r="AB79" i="11"/>
  <c r="AB78" i="11"/>
  <c r="AB77" i="11"/>
  <c r="AB76" i="11"/>
  <c r="AB75" i="11"/>
  <c r="CN281" i="9"/>
  <c r="CN280" i="9"/>
  <c r="CN279" i="9"/>
  <c r="CN278" i="9"/>
  <c r="CN277" i="9"/>
  <c r="CN276" i="9"/>
  <c r="CN275" i="9"/>
  <c r="CN274" i="9"/>
  <c r="CN273" i="9"/>
  <c r="CN272" i="9"/>
  <c r="CN271" i="9"/>
  <c r="CM272" i="9"/>
  <c r="CM273" i="9"/>
  <c r="CM274" i="9"/>
  <c r="CM275" i="9"/>
  <c r="CM276" i="9"/>
  <c r="CM277" i="9"/>
  <c r="CM271" i="9"/>
  <c r="D42" i="3"/>
  <c r="D89" i="11"/>
  <c r="D94" i="11" s="1"/>
  <c r="CL236" i="11"/>
  <c r="K201" i="11" l="1"/>
  <c r="I204" i="11"/>
  <c r="K171" i="11"/>
  <c r="F200" i="11"/>
  <c r="P193" i="11"/>
  <c r="AB80" i="11"/>
  <c r="AG218" i="9"/>
  <c r="CV199" i="11"/>
  <c r="CQ281" i="9"/>
  <c r="CQ280" i="9"/>
  <c r="CQ279" i="9"/>
  <c r="CQ278" i="9"/>
  <c r="CQ277" i="9"/>
  <c r="CQ276" i="9"/>
  <c r="CQ275" i="9"/>
  <c r="CQ274" i="9"/>
  <c r="CQ273" i="9"/>
  <c r="CQ272" i="9"/>
  <c r="CQ271" i="9"/>
  <c r="E48" i="3"/>
  <c r="E47" i="3"/>
  <c r="E46" i="3"/>
  <c r="E45" i="3"/>
  <c r="E44" i="3"/>
  <c r="E43" i="3"/>
  <c r="E42" i="3"/>
  <c r="G45" i="3"/>
  <c r="G46" i="3"/>
  <c r="G47" i="3"/>
  <c r="G48" i="3"/>
  <c r="BV217" i="9"/>
  <c r="BU217" i="9"/>
  <c r="BS217" i="9"/>
  <c r="CQ242" i="9"/>
  <c r="CQ239" i="9" a="1"/>
  <c r="CQ239" i="9" s="1"/>
  <c r="CP242" i="9"/>
  <c r="CP241" i="9"/>
  <c r="CP240" i="9"/>
  <c r="CP239" i="9"/>
  <c r="CN242" i="9"/>
  <c r="CN241" i="9"/>
  <c r="CN240" i="9"/>
  <c r="CN239" i="9"/>
  <c r="CN238" i="9"/>
  <c r="CQ228" i="9"/>
  <c r="CP228" i="9"/>
  <c r="CN228" i="9"/>
  <c r="CN222" i="9"/>
  <c r="E92" i="11"/>
  <c r="E91" i="11"/>
  <c r="E90" i="11"/>
  <c r="H98" i="11"/>
  <c r="H90" i="11"/>
  <c r="G90" i="11"/>
  <c r="D48" i="3"/>
  <c r="D47" i="3"/>
  <c r="D46" i="3"/>
  <c r="D111" i="11" s="1"/>
  <c r="D45" i="3"/>
  <c r="D44" i="3"/>
  <c r="D43" i="3"/>
  <c r="G43" i="3" s="1"/>
  <c r="D107" i="11"/>
  <c r="D113" i="11"/>
  <c r="D112" i="11"/>
  <c r="D110" i="11"/>
  <c r="G107" i="11"/>
  <c r="F114" i="11" s="1"/>
  <c r="CM278" i="9" s="1"/>
  <c r="L114" i="11"/>
  <c r="D109" i="11"/>
  <c r="E29" i="3"/>
  <c r="M193" i="11" l="1"/>
  <c r="P194" i="11"/>
  <c r="J202" i="11"/>
  <c r="F117" i="11"/>
  <c r="CM281" i="9" s="1"/>
  <c r="CN243" i="9"/>
  <c r="CN282" i="9"/>
  <c r="G44" i="3"/>
  <c r="D108" i="11"/>
  <c r="G42" i="3"/>
  <c r="F115" i="11"/>
  <c r="CM279" i="9" s="1"/>
  <c r="F116" i="11"/>
  <c r="CM280" i="9" s="1"/>
  <c r="K202" i="11" l="1"/>
  <c r="J204" i="11"/>
  <c r="M194" i="11"/>
  <c r="F118" i="1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1" i="3"/>
  <c r="G40" i="3"/>
  <c r="EF106" i="9"/>
  <c r="O227" i="9"/>
  <c r="AT88" i="22" s="1"/>
  <c r="AT47" i="22" s="1"/>
  <c r="O64" i="9"/>
  <c r="AR88" i="22" s="1"/>
  <c r="AR47" i="22" s="1"/>
  <c r="O145" i="9"/>
  <c r="AS88" i="22" s="1"/>
  <c r="AS47" i="22" s="1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G112" i="22"/>
  <c r="G199" i="22" s="1"/>
  <c r="BG111" i="22"/>
  <c r="G198" i="22" s="1"/>
  <c r="BN109" i="22"/>
  <c r="BN108" i="22"/>
  <c r="BG107" i="22"/>
  <c r="G194" i="22" s="1"/>
  <c r="BG106" i="22"/>
  <c r="G193" i="22" s="1"/>
  <c r="BN105" i="22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G15" i="3"/>
  <c r="D264" i="11"/>
  <c r="D247" i="11"/>
  <c r="L223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48" i="9" s="1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W6" i="3"/>
  <c r="O21" i="21" s="1"/>
  <c r="M216" i="11"/>
  <c r="E39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D26" i="3"/>
  <c r="D25" i="3"/>
  <c r="D24" i="3"/>
  <c r="D23" i="3"/>
  <c r="G23" i="3" s="1"/>
  <c r="D22" i="3"/>
  <c r="E93" i="11" s="1"/>
  <c r="D20" i="3"/>
  <c r="J258" i="11" s="1"/>
  <c r="D19" i="3"/>
  <c r="D14" i="3"/>
  <c r="D13" i="3"/>
  <c r="G13" i="3" s="1"/>
  <c r="D11" i="3"/>
  <c r="D7" i="3"/>
  <c r="D5" i="3"/>
  <c r="E89" i="11" s="1"/>
  <c r="D10" i="3"/>
  <c r="D17" i="3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0" i="11" s="1"/>
  <c r="BR132" i="9"/>
  <c r="AY132" i="9"/>
  <c r="AF132" i="9"/>
  <c r="BC131" i="9"/>
  <c r="E27" i="3"/>
  <c r="AI48" i="9" s="1"/>
  <c r="C28" i="3"/>
  <c r="E28" i="3" s="1"/>
  <c r="P50" i="9" s="1"/>
  <c r="E26" i="3"/>
  <c r="E25" i="3"/>
  <c r="P213" i="9" s="1"/>
  <c r="E24" i="3"/>
  <c r="CQ222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40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N191" i="11" l="1"/>
  <c r="N192" i="11"/>
  <c r="N190" i="11"/>
  <c r="N193" i="1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20" i="3"/>
  <c r="CP142" i="9" s="1"/>
  <c r="G7" i="3"/>
  <c r="FF108" i="9" s="1"/>
  <c r="FF109" i="9" s="1"/>
  <c r="BM118" i="22" s="1"/>
  <c r="G33" i="3"/>
  <c r="R108" i="11"/>
  <c r="E99" i="11"/>
  <c r="D115" i="11"/>
  <c r="G27" i="3"/>
  <c r="AH48" i="9" s="1"/>
  <c r="D116" i="11"/>
  <c r="EC237" i="9"/>
  <c r="AF51" i="9"/>
  <c r="AG51" i="9" s="1"/>
  <c r="AR60" i="9" s="1"/>
  <c r="E102" i="11"/>
  <c r="G11" i="3"/>
  <c r="EF238" i="9"/>
  <c r="J259" i="11"/>
  <c r="G19" i="3"/>
  <c r="AI233" i="9" s="1"/>
  <c r="G21" i="3"/>
  <c r="Y54" i="8"/>
  <c r="D114" i="11"/>
  <c r="BF90" i="22"/>
  <c r="BF49" i="22" s="1"/>
  <c r="G10" i="3"/>
  <c r="O215" i="9" s="1"/>
  <c r="G22" i="3"/>
  <c r="BT62" i="9" s="1"/>
  <c r="G24" i="3"/>
  <c r="BB211" i="9" s="1"/>
  <c r="G25" i="3"/>
  <c r="BU213" i="9" s="1"/>
  <c r="G26" i="3"/>
  <c r="G28" i="3"/>
  <c r="G29" i="3"/>
  <c r="AI131" i="9" s="1"/>
  <c r="G5" i="3"/>
  <c r="G6" i="3"/>
  <c r="G17" i="3"/>
  <c r="EG118" i="9"/>
  <c r="M60" i="11"/>
  <c r="D275" i="11"/>
  <c r="G18" i="21"/>
  <c r="H18" i="21" s="1"/>
  <c r="V6" i="21" s="1"/>
  <c r="CN142" i="9"/>
  <c r="CQ142" i="9"/>
  <c r="D259" i="11"/>
  <c r="CQ144" i="9"/>
  <c r="N21" i="21"/>
  <c r="J15" i="21"/>
  <c r="J274" i="11"/>
  <c r="D64" i="11"/>
  <c r="D65" i="11"/>
  <c r="BV156" i="9"/>
  <c r="D281" i="11"/>
  <c r="D280" i="11"/>
  <c r="AJ148" i="9"/>
  <c r="D41" i="3"/>
  <c r="E264" i="11" s="1"/>
  <c r="F264" i="11" s="1"/>
  <c r="G264" i="11" s="1"/>
  <c r="H264" i="11" s="1"/>
  <c r="G8" i="21"/>
  <c r="H8" i="21" s="1"/>
  <c r="U6" i="21" s="1"/>
  <c r="D11" i="2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2" i="3"/>
  <c r="G32" i="3" s="1"/>
  <c r="EE237" i="9" s="1"/>
  <c r="EG157" i="9"/>
  <c r="FA238" i="9"/>
  <c r="ED156" i="9"/>
  <c r="H37" i="8"/>
  <c r="FD146" i="9"/>
  <c r="D39" i="3"/>
  <c r="D40" i="3"/>
  <c r="E35" i="3"/>
  <c r="DK238" i="9"/>
  <c r="BV237" i="9"/>
  <c r="AB88" i="11"/>
  <c r="BS214" i="9"/>
  <c r="M212" i="9"/>
  <c r="D18" i="3"/>
  <c r="EC238" i="9" s="1"/>
  <c r="BV214" i="9"/>
  <c r="EX237" i="9"/>
  <c r="D16" i="3"/>
  <c r="G16" i="3" s="1"/>
  <c r="BV213" i="9"/>
  <c r="BS215" i="9"/>
  <c r="E171" i="11"/>
  <c r="BS216" i="9"/>
  <c r="CN257" i="9"/>
  <c r="CQ257" i="9"/>
  <c r="CQ255" i="9"/>
  <c r="FG146" i="9"/>
  <c r="M211" i="9"/>
  <c r="M218" i="9" s="1"/>
  <c r="BS237" i="9"/>
  <c r="BS211" i="9"/>
  <c r="D36" i="3"/>
  <c r="G36" i="3" s="1"/>
  <c r="BV211" i="9"/>
  <c r="D8" i="3"/>
  <c r="M59" i="11" s="1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N194" i="11" l="1"/>
  <c r="BS218" i="9"/>
  <c r="J114" i="11"/>
  <c r="E103" i="11" s="1"/>
  <c r="BT47" i="9"/>
  <c r="FF146" i="9"/>
  <c r="AH68" i="9"/>
  <c r="CP255" i="9"/>
  <c r="Y55" i="8"/>
  <c r="X54" i="8" s="1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E104" i="11"/>
  <c r="BU237" i="9"/>
  <c r="FF148" i="9"/>
  <c r="CP257" i="9"/>
  <c r="O241" i="9"/>
  <c r="G12" i="3"/>
  <c r="EE239" i="9" s="1"/>
  <c r="D117" i="11"/>
  <c r="EC239" i="9"/>
  <c r="EC241" i="9" s="1"/>
  <c r="CP144" i="9"/>
  <c r="O77" i="9"/>
  <c r="BU145" i="9"/>
  <c r="O131" i="9"/>
  <c r="BA46" i="9"/>
  <c r="BU131" i="9"/>
  <c r="O48" i="9"/>
  <c r="M62" i="11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K5" i="21"/>
  <c r="U5" i="21" s="1"/>
  <c r="G18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9" i="3"/>
  <c r="O155" i="9" s="1"/>
  <c r="O156" i="9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D257" i="11"/>
  <c r="ED105" i="9"/>
  <c r="ED106" i="9" s="1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M145" i="9" s="1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64" i="9" s="1"/>
  <c r="M226" i="9"/>
  <c r="M227" i="9" s="1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Y50" i="8"/>
  <c r="AB89" i="11"/>
  <c r="ED157" i="9"/>
  <c r="M164" i="11"/>
  <c r="M167" i="11" s="1"/>
  <c r="R110" i="11"/>
  <c r="ED158" i="9"/>
  <c r="EX239" i="9"/>
  <c r="BS236" i="9"/>
  <c r="CN256" i="9"/>
  <c r="Y51" i="8"/>
  <c r="E170" i="11"/>
  <c r="E172" i="11" s="1"/>
  <c r="AB90" i="11"/>
  <c r="D60" i="11"/>
  <c r="R109" i="11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CN258" i="9" l="1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BE67" i="22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F11" i="21"/>
  <c r="N11" i="21"/>
  <c r="I11" i="21"/>
  <c r="E21" i="21"/>
  <c r="H21" i="21" s="1"/>
  <c r="M21" i="21"/>
  <c r="K11" i="21"/>
  <c r="O5" i="3"/>
  <c r="AT59" i="9"/>
  <c r="V130" i="15"/>
  <c r="V140" i="15" s="1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E11" i="3"/>
  <c r="E10" i="3"/>
  <c r="BV215" i="9" s="1"/>
  <c r="E9" i="3"/>
  <c r="FG130" i="9" s="1"/>
  <c r="E8" i="3"/>
  <c r="E7" i="3"/>
  <c r="E6" i="3"/>
  <c r="P130" i="9" s="1"/>
  <c r="E5" i="3"/>
  <c r="BX43" i="8"/>
  <c r="BX44" i="8"/>
  <c r="BV43" i="8"/>
  <c r="BV44" i="8"/>
  <c r="D9" i="3"/>
  <c r="G9" i="3" s="1"/>
  <c r="FF130" i="9" s="1"/>
  <c r="FF131" i="9" s="1"/>
  <c r="AF47" i="9"/>
  <c r="AF46" i="9"/>
  <c r="V129" i="22" l="1"/>
  <c r="V139" i="22" s="1"/>
  <c r="L11" i="21"/>
  <c r="AT86" i="22"/>
  <c r="AT45" i="22" s="1"/>
  <c r="P167" i="9"/>
  <c r="EF239" i="9"/>
  <c r="EF241" i="9" s="1"/>
  <c r="BL116" i="22"/>
  <c r="BB87" i="22"/>
  <c r="BB46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41" i="9"/>
  <c r="CQ256" i="9"/>
  <c r="CQ258" i="9" s="1"/>
  <c r="EG158" i="9"/>
  <c r="EG160" i="9" s="1"/>
  <c r="BV236" i="9"/>
  <c r="DK239" i="9"/>
  <c r="DK241" i="9" s="1"/>
  <c r="FA239" i="9"/>
  <c r="FA241" i="9" s="1"/>
  <c r="E31" i="3"/>
  <c r="E34" i="3"/>
  <c r="E37" i="3"/>
  <c r="E38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AZ218" i="9" l="1"/>
  <c r="Q11" i="21"/>
  <c r="U7" i="21" s="1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AL140" i="15" s="1"/>
  <c r="BM118" i="15"/>
  <c r="BN118" i="15" s="1"/>
  <c r="AJ138" i="15"/>
  <c r="AJ140" i="15" s="1"/>
  <c r="BL116" i="15"/>
  <c r="BN116" i="15" s="1"/>
  <c r="FC108" i="9"/>
  <c r="FC130" i="9"/>
  <c r="BN109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U129" i="22" l="1"/>
  <c r="BE101" i="22"/>
  <c r="BE60" i="22" s="1"/>
  <c r="AD46" i="9"/>
  <c r="BA52" i="9" a="1"/>
  <c r="BA52" i="9" s="1"/>
  <c r="AJ139" i="22"/>
  <c r="L27" i="11"/>
  <c r="B51" i="11" s="1"/>
  <c r="C51" i="11" s="1"/>
  <c r="BR156" i="9" s="1"/>
  <c r="D15" i="21" s="1"/>
  <c r="E15" i="21" s="1"/>
  <c r="F15" i="21" s="1"/>
  <c r="I15" i="21" s="1"/>
  <c r="K15" i="21" s="1"/>
  <c r="V5" i="21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K130" i="9" l="1"/>
  <c r="N130" i="9"/>
  <c r="R126" i="22"/>
  <c r="AX98" i="22"/>
  <c r="AX57" i="22" s="1"/>
  <c r="AH52" i="9" a="1"/>
  <c r="AH52" i="9" s="1"/>
  <c r="K46" i="9"/>
  <c r="BL61" i="9"/>
  <c r="AR61" i="9"/>
  <c r="AT61" i="9" s="1"/>
  <c r="Z55" i="9"/>
  <c r="AR55" i="9"/>
  <c r="AT55" i="9" s="1"/>
  <c r="Y138" i="9"/>
  <c r="BL55" i="9"/>
  <c r="BQ156" i="9"/>
  <c r="F12" i="17" s="1"/>
  <c r="U130" i="15"/>
  <c r="U140" i="15" s="1"/>
  <c r="BE101" i="15"/>
  <c r="BE105" i="15"/>
  <c r="R127" i="15"/>
  <c r="AM127" i="15" s="1"/>
  <c r="E216" i="15" s="1"/>
  <c r="AX98" i="15"/>
  <c r="EB132" i="9"/>
  <c r="Y133" i="15"/>
  <c r="K131" i="9"/>
  <c r="N131" i="9" s="1"/>
  <c r="M19" i="11"/>
  <c r="BN35" i="9"/>
  <c r="BA95" i="20" s="1"/>
  <c r="BA50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BE64" i="15" l="1"/>
  <c r="BG105" i="15"/>
  <c r="AX57" i="15"/>
  <c r="BG98" i="15"/>
  <c r="BE60" i="15"/>
  <c r="BG101" i="15"/>
  <c r="N46" i="9"/>
  <c r="K52" i="9"/>
  <c r="AU92" i="22"/>
  <c r="AU51" i="22" s="1"/>
  <c r="L123" i="22"/>
  <c r="O132" i="9" a="1"/>
  <c r="O132" i="9" s="1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40" i="15"/>
  <c r="K132" i="9"/>
  <c r="U126" i="9" s="1"/>
  <c r="AX120" i="15"/>
  <c r="G186" i="15"/>
  <c r="AU92" i="15"/>
  <c r="G193" i="15"/>
  <c r="G189" i="15"/>
  <c r="Y140" i="15"/>
  <c r="AR83" i="15"/>
  <c r="AU28" i="9"/>
  <c r="AX95" i="20" s="1"/>
  <c r="AX50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U51" i="15" l="1"/>
  <c r="BG92" i="15"/>
  <c r="AS84" i="22"/>
  <c r="AS43" i="22" s="1"/>
  <c r="D153" i="22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D163" i="15" s="1"/>
  <c r="D162" i="22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G180" i="15"/>
  <c r="AU120" i="15"/>
  <c r="BG83" i="15"/>
  <c r="G171" i="15" s="1"/>
  <c r="Q27" i="9"/>
  <c r="D7" i="14" s="1"/>
  <c r="BZ48" i="9"/>
  <c r="F8" i="12"/>
  <c r="B74" i="11"/>
  <c r="C89" i="11" s="1"/>
  <c r="C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AS43" i="15" l="1"/>
  <c r="BG84" i="15"/>
  <c r="C91" i="11"/>
  <c r="C192" i="11" s="1"/>
  <c r="C92" i="11"/>
  <c r="C193" i="11" s="1"/>
  <c r="C93" i="11"/>
  <c r="C194" i="11" s="1"/>
  <c r="C90" i="11"/>
  <c r="C191" i="11" s="1"/>
  <c r="F89" i="11"/>
  <c r="C152" i="22"/>
  <c r="C162" i="22" s="1"/>
  <c r="AR83" i="22"/>
  <c r="G7" i="14"/>
  <c r="C57" i="14"/>
  <c r="F7" i="14"/>
  <c r="C54" i="14"/>
  <c r="U52" i="9"/>
  <c r="L124" i="15"/>
  <c r="L140" i="15" s="1"/>
  <c r="C153" i="15"/>
  <c r="C163" i="15" s="1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CL210" i="9" l="1"/>
  <c r="C94" i="11"/>
  <c r="I92" i="11"/>
  <c r="CL211" i="9"/>
  <c r="CV206" i="9" s="1"/>
  <c r="EB133" i="9" s="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CP211" i="9" l="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B139" i="22"/>
  <c r="BG108" i="22"/>
  <c r="G195" i="22" s="1"/>
  <c r="BE120" i="22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G7" i="12"/>
  <c r="N64" i="9"/>
  <c r="Q63" i="9" s="1"/>
  <c r="R63" i="9" s="1"/>
  <c r="S63" i="9" s="1"/>
  <c r="F7" i="12"/>
  <c r="F6" i="12"/>
  <c r="G6" i="12"/>
  <c r="AR47" i="15" l="1"/>
  <c r="BJ88" i="20"/>
  <c r="J175" i="20" s="1"/>
  <c r="Y63" i="9"/>
  <c r="AA62" i="9"/>
  <c r="Z61" i="9"/>
  <c r="AA61" i="9" s="1"/>
  <c r="Z63" i="9"/>
  <c r="AD67" i="9"/>
  <c r="AD68" i="9"/>
  <c r="K76" i="9"/>
  <c r="AE133" i="22" l="1"/>
  <c r="BM111" i="22"/>
  <c r="Y64" i="9"/>
  <c r="AG69" i="9"/>
  <c r="Z64" i="9" s="1"/>
  <c r="AA63" i="9"/>
  <c r="K77" i="9"/>
  <c r="U72" i="9" s="1"/>
  <c r="AA64" i="9" l="1"/>
  <c r="AR120" i="22"/>
  <c r="AR86" i="15"/>
  <c r="L77" i="9"/>
  <c r="L76" i="9"/>
  <c r="AD69" i="9"/>
  <c r="AG70" i="9"/>
  <c r="AR45" i="15" l="1"/>
  <c r="X131" i="22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J36" i="11"/>
  <c r="AX130" i="9"/>
  <c r="AE130" i="9"/>
  <c r="F8" i="17" l="1"/>
  <c r="H8" i="17" s="1"/>
  <c r="C219" i="22"/>
  <c r="M123" i="22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EE132" i="9"/>
  <c r="AX131" i="9"/>
  <c r="BA130" i="9"/>
  <c r="BQ130" i="9"/>
  <c r="G8" i="17" l="1"/>
  <c r="I8" i="17" s="1"/>
  <c r="Z138" i="9"/>
  <c r="AA138" i="9" s="1"/>
  <c r="BT130" i="9"/>
  <c r="BF115" i="22"/>
  <c r="BF74" i="22" s="1"/>
  <c r="Y46" i="9"/>
  <c r="E8" i="12" s="1"/>
  <c r="BN93" i="22"/>
  <c r="BK137" i="9"/>
  <c r="AS137" i="9"/>
  <c r="AT137" i="9" s="1"/>
  <c r="EQ142" i="9"/>
  <c r="ES142" i="9" s="1"/>
  <c r="BM93" i="15"/>
  <c r="M124" i="15"/>
  <c r="AM124" i="15" s="1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O126" i="9" l="1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E139" i="9"/>
  <c r="CG139" i="9" s="1"/>
  <c r="AU113" i="9"/>
  <c r="AY95" i="20" s="1"/>
  <c r="AY50" i="20" s="1"/>
  <c r="W46" i="9"/>
  <c r="L6" i="13" s="1"/>
  <c r="P127" i="20"/>
  <c r="AP127" i="20" s="1"/>
  <c r="H216" i="20" s="1"/>
  <c r="BP97" i="20"/>
  <c r="BQ97" i="20" s="1"/>
  <c r="AI137" i="15"/>
  <c r="AM137" i="15" s="1"/>
  <c r="E226" i="15" s="1"/>
  <c r="BF115" i="15"/>
  <c r="S128" i="15"/>
  <c r="AM128" i="15" s="1"/>
  <c r="E217" i="15" s="1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B95" i="20" s="1"/>
  <c r="BB50" i="20" s="1"/>
  <c r="BK116" i="9"/>
  <c r="BT131" i="9"/>
  <c r="BL140" i="9" s="1"/>
  <c r="AY58" i="15" l="1"/>
  <c r="BG99" i="15"/>
  <c r="BF74" i="15"/>
  <c r="BG115" i="15"/>
  <c r="AV94" i="15"/>
  <c r="N125" i="15"/>
  <c r="N140" i="15" s="1"/>
  <c r="EB106" i="9"/>
  <c r="W130" i="22"/>
  <c r="BA103" i="22"/>
  <c r="BA62" i="22" s="1"/>
  <c r="AY99" i="22"/>
  <c r="AY58" i="22" s="1"/>
  <c r="S127" i="22"/>
  <c r="S139" i="22" s="1"/>
  <c r="EC105" i="9"/>
  <c r="C257" i="11" s="1"/>
  <c r="E257" i="11" s="1"/>
  <c r="N124" i="22"/>
  <c r="N139" i="22" s="1"/>
  <c r="AV94" i="22"/>
  <c r="AV53" i="22" s="1"/>
  <c r="F16" i="17"/>
  <c r="G16" i="17" s="1"/>
  <c r="I16" i="17" s="1"/>
  <c r="C227" i="22"/>
  <c r="L155" i="9"/>
  <c r="L156" i="9" s="1"/>
  <c r="U151" i="9" s="1"/>
  <c r="F11" i="17"/>
  <c r="H11" i="17" s="1"/>
  <c r="C220" i="22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I95" i="20" s="1"/>
  <c r="BI50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G203" i="15"/>
  <c r="AU130" i="9"/>
  <c r="S140" i="15"/>
  <c r="AV120" i="15"/>
  <c r="AY120" i="15"/>
  <c r="G187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AV53" i="15" l="1"/>
  <c r="BG94" i="15"/>
  <c r="G182" i="15" s="1"/>
  <c r="AY120" i="22"/>
  <c r="EE105" i="9"/>
  <c r="EC106" i="9"/>
  <c r="EL101" i="9" s="1"/>
  <c r="J160" i="15" s="1"/>
  <c r="J163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AM131" i="15" s="1"/>
  <c r="E220" i="15" s="1"/>
  <c r="BA103" i="15"/>
  <c r="BF87" i="15"/>
  <c r="BF46" i="15" s="1"/>
  <c r="I159" i="15"/>
  <c r="I163" i="15" s="1"/>
  <c r="AS89" i="15"/>
  <c r="EE106" i="9"/>
  <c r="EH105" i="9" s="1"/>
  <c r="EI105" i="9" s="1"/>
  <c r="EJ105" i="9" s="1"/>
  <c r="EK105" i="9" s="1"/>
  <c r="EL105" i="9" s="1"/>
  <c r="EM105" i="9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AS48" i="15" l="1"/>
  <c r="BG89" i="15"/>
  <c r="BA62" i="15"/>
  <c r="BG103" i="15"/>
  <c r="G191" i="15" s="1"/>
  <c r="BF90" i="15"/>
  <c r="H162" i="22"/>
  <c r="BG90" i="22"/>
  <c r="G177" i="22" s="1"/>
  <c r="BG89" i="22"/>
  <c r="G176" i="22" s="1"/>
  <c r="W139" i="22"/>
  <c r="BG103" i="22"/>
  <c r="G190" i="22" s="1"/>
  <c r="E280" i="11"/>
  <c r="G280" i="11" s="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G177" i="15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AS47" i="15" l="1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Z140" i="15" s="1"/>
  <c r="BM106" i="15"/>
  <c r="BN106" i="15" s="1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C275" i="11" l="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K276" i="11" l="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S45" i="15" l="1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O140" i="15" s="1"/>
  <c r="Y130" i="9"/>
  <c r="E17" i="12" s="1"/>
  <c r="BM95" i="15"/>
  <c r="AO149" i="9"/>
  <c r="AP146" i="9"/>
  <c r="AP149" i="9" s="1"/>
  <c r="AP142" i="9" s="1"/>
  <c r="AF149" i="9"/>
  <c r="O139" i="22" l="1"/>
  <c r="R128" i="20"/>
  <c r="AP128" i="20" s="1"/>
  <c r="H217" i="20" s="1"/>
  <c r="W130" i="9"/>
  <c r="L12" i="13" s="1"/>
  <c r="BP99" i="20"/>
  <c r="BQ99" i="20" s="1"/>
  <c r="AM125" i="15"/>
  <c r="E214" i="15" s="1"/>
  <c r="BN111" i="22" l="1"/>
  <c r="R143" i="20"/>
  <c r="BN101" i="15"/>
  <c r="AE139" i="22" l="1"/>
  <c r="AZ100" i="22" l="1"/>
  <c r="AZ59" i="22" s="1"/>
  <c r="T128" i="22"/>
  <c r="AW96" i="22" l="1"/>
  <c r="AW55" i="22" s="1"/>
  <c r="P125" i="22"/>
  <c r="AZ120" i="22" l="1"/>
  <c r="BG100" i="22"/>
  <c r="G187" i="22" s="1"/>
  <c r="T139" i="22"/>
  <c r="G24" i="14"/>
  <c r="G22" i="12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CA146" i="9"/>
  <c r="CB144" i="9"/>
  <c r="CB146" i="9" s="1"/>
  <c r="CB140" i="9" s="1"/>
  <c r="BN107" i="22"/>
  <c r="CM145" i="9"/>
  <c r="AA133" i="15"/>
  <c r="BM107" i="15"/>
  <c r="BN107" i="15" s="1"/>
  <c r="CE130" i="9"/>
  <c r="H17" i="12" s="1"/>
  <c r="BD90" i="20" l="1"/>
  <c r="CG132" i="9"/>
  <c r="AA139" i="22"/>
  <c r="AA140" i="15"/>
  <c r="AM133" i="15"/>
  <c r="E222" i="15" s="1"/>
  <c r="E60" i="14" l="1"/>
  <c r="H18" i="14"/>
  <c r="H16" i="12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6" i="20"/>
  <c r="AD143" i="20" s="1"/>
  <c r="D60" i="14"/>
  <c r="CC130" i="9"/>
  <c r="O12" i="13" s="1"/>
  <c r="BP111" i="20"/>
  <c r="BQ111" i="20" s="1"/>
  <c r="H17" i="14"/>
  <c r="AP136" i="20" l="1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BG108" i="15" s="1"/>
  <c r="DV131" i="9"/>
  <c r="D34" i="12" s="1"/>
  <c r="M90" i="11"/>
  <c r="N90" i="11" s="1"/>
  <c r="F92" i="11"/>
  <c r="F94" i="11" s="1"/>
  <c r="G196" i="15" l="1"/>
  <c r="BE120" i="15"/>
  <c r="BE67" i="15"/>
  <c r="K92" i="11"/>
  <c r="M92" i="11" l="1"/>
  <c r="I93" i="11" l="1"/>
  <c r="K93" i="11"/>
  <c r="H93" i="11"/>
  <c r="L93" i="11"/>
  <c r="J93" i="11"/>
  <c r="CO210" i="9"/>
  <c r="CQ210" i="9"/>
  <c r="EE133" i="9" l="1"/>
  <c r="EE134" i="9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D133" i="9" s="1"/>
  <c r="EA133" i="9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I130" i="9" l="1"/>
  <c r="EJ130" i="9" s="1"/>
  <c r="EK130" i="9" s="1"/>
  <c r="EL130" i="9" s="1"/>
  <c r="EM130" i="9" s="1"/>
  <c r="EM134" i="9" s="1"/>
  <c r="EM126" i="9" s="1"/>
  <c r="EH134" i="9"/>
  <c r="DX133" i="9"/>
  <c r="BH112" i="20"/>
  <c r="AE137" i="20"/>
  <c r="AE143" i="20" s="1"/>
  <c r="DX132" i="9"/>
  <c r="DU131" i="9"/>
  <c r="BI119" i="20" l="1"/>
  <c r="AL140" i="20"/>
  <c r="D34" i="14"/>
  <c r="D32" i="12"/>
  <c r="D64" i="14"/>
  <c r="BH67" i="20"/>
  <c r="BJ112" i="20"/>
  <c r="J199" i="20" s="1"/>
  <c r="BH124" i="20"/>
  <c r="E64" i="14"/>
  <c r="D35" i="14"/>
  <c r="D33" i="12"/>
  <c r="AL143" i="20" l="1"/>
  <c r="AP140" i="20"/>
  <c r="H229" i="20" s="1"/>
  <c r="BJ119" i="20"/>
  <c r="BI74" i="20"/>
  <c r="BB120" i="22"/>
  <c r="BB73" i="22" l="1"/>
  <c r="BB73" i="15"/>
  <c r="BE118" i="20" l="1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AF78" i="11" s="1"/>
  <c r="E118" i="11"/>
  <c r="CL282" i="9"/>
  <c r="E113" i="11"/>
  <c r="E108" i="11"/>
  <c r="E115" i="11"/>
  <c r="E109" i="11"/>
  <c r="E110" i="11"/>
  <c r="E107" i="11"/>
  <c r="E111" i="11"/>
  <c r="E114" i="11"/>
  <c r="E117" i="11"/>
  <c r="E116" i="11"/>
  <c r="E112" i="11"/>
  <c r="P109" i="11"/>
  <c r="P107" i="11"/>
  <c r="P108" i="11"/>
  <c r="P110" i="11"/>
  <c r="P111" i="11"/>
  <c r="K114" i="11"/>
  <c r="C103" i="11"/>
  <c r="BR230" i="11"/>
  <c r="BR248" i="9"/>
  <c r="AC90" i="11" l="1"/>
  <c r="AG80" i="11" s="1"/>
  <c r="AC91" i="11"/>
  <c r="Z91" i="11" s="1"/>
  <c r="AG79" i="11"/>
  <c r="AF79" i="11"/>
  <c r="AH79" i="11" s="1"/>
  <c r="AF80" i="11"/>
  <c r="AH80" i="11" s="1"/>
  <c r="AF77" i="11"/>
  <c r="AC89" i="11"/>
  <c r="AG77" i="11" s="1"/>
  <c r="Z80" i="11"/>
  <c r="CL276" i="9"/>
  <c r="CL277" i="9"/>
  <c r="CL278" i="9"/>
  <c r="CL280" i="9"/>
  <c r="CL279" i="9"/>
  <c r="CL271" i="9"/>
  <c r="CO271" i="9" s="1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C114" i="11"/>
  <c r="S111" i="11"/>
  <c r="CL242" i="9"/>
  <c r="CL241" i="9"/>
  <c r="S110" i="11"/>
  <c r="S107" i="11"/>
  <c r="CL238" i="9"/>
  <c r="C112" i="11"/>
  <c r="C117" i="11"/>
  <c r="C107" i="11"/>
  <c r="C110" i="11"/>
  <c r="C109" i="11"/>
  <c r="C108" i="11"/>
  <c r="BT230" i="11"/>
  <c r="BQ230" i="11"/>
  <c r="S108" i="11"/>
  <c r="CL239" i="9"/>
  <c r="CL240" i="9"/>
  <c r="S109" i="11"/>
  <c r="C116" i="11"/>
  <c r="F101" i="11" s="1"/>
  <c r="C111" i="11"/>
  <c r="C115" i="11"/>
  <c r="BR249" i="9"/>
  <c r="CA244" i="9" s="1"/>
  <c r="BQ248" i="9"/>
  <c r="BT248" i="9"/>
  <c r="C113" i="11"/>
  <c r="AC88" i="11" l="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M242" i="9"/>
  <c r="CO242" i="9"/>
  <c r="CO234" i="11"/>
  <c r="CF201" i="11" s="1"/>
  <c r="BT218" i="11"/>
  <c r="BQ218" i="11" s="1"/>
  <c r="CO235" i="11"/>
  <c r="CV267" i="9"/>
  <c r="BB87" i="15"/>
  <c r="BG87" i="15" s="1"/>
  <c r="G157" i="15"/>
  <c r="G163" i="15" s="1"/>
  <c r="I110" i="11"/>
  <c r="CL225" i="9"/>
  <c r="I109" i="11"/>
  <c r="CL224" i="9"/>
  <c r="CO275" i="9"/>
  <c r="CO238" i="9"/>
  <c r="CL243" i="9"/>
  <c r="CV234" i="9" s="1"/>
  <c r="F100" i="11"/>
  <c r="I111" i="11"/>
  <c r="CL226" i="9"/>
  <c r="Z88" i="11" l="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BC109" i="15"/>
  <c r="BG109" i="15" s="1"/>
  <c r="CL235" i="11"/>
  <c r="CB248" i="9"/>
  <c r="L100" i="11"/>
  <c r="C102" i="11"/>
  <c r="CL256" i="9"/>
  <c r="BB46" i="15"/>
  <c r="G175" i="15"/>
  <c r="AC133" i="22"/>
  <c r="AC139" i="22" s="1"/>
  <c r="CL255" i="9"/>
  <c r="BQ236" i="9"/>
  <c r="CM243" i="9" l="1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AE140" i="15" s="1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G197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BT212" i="9"/>
  <c r="CM222" i="9"/>
  <c r="DD229" i="9"/>
  <c r="C224" i="22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CR243" i="9" l="1"/>
  <c r="N98" i="1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AH212" i="9"/>
  <c r="AH216" i="9"/>
  <c r="AX210" i="9"/>
  <c r="AH217" i="9"/>
  <c r="K217" i="9"/>
  <c r="AS190" i="9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O98" i="11"/>
  <c r="CR225" i="9"/>
  <c r="CS225" i="9" s="1"/>
  <c r="CT225" i="9" s="1"/>
  <c r="CU225" i="9" s="1"/>
  <c r="CV225" i="9" s="1"/>
  <c r="CW225" i="9" s="1"/>
  <c r="CV243" i="9"/>
  <c r="CW238" i="9"/>
  <c r="CW243" i="9" s="1"/>
  <c r="CW234" i="9" s="1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BL218" i="9" l="1"/>
  <c r="BC95" i="20"/>
  <c r="BC50" i="20" s="1"/>
  <c r="AX218" i="9"/>
  <c r="L216" i="9" s="1"/>
  <c r="AE210" i="9"/>
  <c r="AY210" i="9"/>
  <c r="C218" i="22"/>
  <c r="AU190" i="9"/>
  <c r="N217" i="9"/>
  <c r="L217" i="9"/>
  <c r="BU218" i="9" a="1"/>
  <c r="BU218" i="9" s="1"/>
  <c r="CE220" i="9"/>
  <c r="CG220" i="9" s="1"/>
  <c r="BV210" i="9"/>
  <c r="BC210" i="9" s="1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AR224" i="9"/>
  <c r="AT224" i="9" s="1"/>
  <c r="Z224" i="9"/>
  <c r="BQ219" i="11"/>
  <c r="N216" i="9"/>
  <c r="Z89" i="11"/>
  <c r="DI239" i="9"/>
  <c r="EP248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BB218" i="9" l="1" a="1"/>
  <c r="BB218" i="9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CB210" i="9"/>
  <c r="BR218" i="9"/>
  <c r="BB104" i="15"/>
  <c r="BG104" i="15" s="1"/>
  <c r="X132" i="15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EP247" i="9"/>
  <c r="DA248" i="9"/>
  <c r="DB248" i="9" s="1"/>
  <c r="Y222" i="9"/>
  <c r="AA222" i="9" s="1"/>
  <c r="EA238" i="9"/>
  <c r="DF238" i="9"/>
  <c r="AD91" i="11"/>
  <c r="AD90" i="11"/>
  <c r="Q215" i="9" l="1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AY218" i="9"/>
  <c r="AT221" i="9"/>
  <c r="AA89" i="11"/>
  <c r="AA107" i="11" s="1"/>
  <c r="Z110" i="11"/>
  <c r="P126" i="15"/>
  <c r="P140" i="15" s="1"/>
  <c r="AW96" i="15"/>
  <c r="BG96" i="15" s="1"/>
  <c r="K218" i="9"/>
  <c r="O218" i="9" s="1" a="1"/>
  <c r="O218" i="9" s="1"/>
  <c r="L210" i="9"/>
  <c r="L218" i="9" s="1"/>
  <c r="AI218" i="9" a="1"/>
  <c r="AI218" i="9" s="1"/>
  <c r="AK210" i="9"/>
  <c r="AL210" i="9" s="1"/>
  <c r="AM210" i="9" s="1"/>
  <c r="AN210" i="9" s="1"/>
  <c r="AO210" i="9" s="1"/>
  <c r="AU210" i="9" s="1"/>
  <c r="AH218" i="9"/>
  <c r="AR218" i="9"/>
  <c r="AT218" i="9" s="1"/>
  <c r="T129" i="15"/>
  <c r="AZ100" i="15"/>
  <c r="BG100" i="15" s="1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BL210" i="9"/>
  <c r="BD217" i="9"/>
  <c r="BE217" i="9" s="1"/>
  <c r="BF217" i="9" s="1"/>
  <c r="BG217" i="9" s="1"/>
  <c r="BH217" i="9" s="1"/>
  <c r="BI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I210" i="9"/>
  <c r="AT219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DI237" i="9"/>
  <c r="CA232" i="9"/>
  <c r="BB86" i="15" s="1"/>
  <c r="BR236" i="9"/>
  <c r="ED237" i="9"/>
  <c r="EA241" i="9"/>
  <c r="EK233" i="9" s="1"/>
  <c r="ED238" i="9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BN210" i="9"/>
  <c r="C59" i="14" s="1"/>
  <c r="DI238" i="9"/>
  <c r="AI107" i="11" l="1"/>
  <c r="AA135" i="20"/>
  <c r="T140" i="15"/>
  <c r="AM129" i="15"/>
  <c r="E218" i="15" s="1"/>
  <c r="E154" i="22"/>
  <c r="E162" i="22" s="1"/>
  <c r="C170" i="22" s="1" a="1"/>
  <c r="AT85" i="22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G188" i="15"/>
  <c r="AZ120" i="15"/>
  <c r="AP210" i="9"/>
  <c r="AP218" i="9" s="1"/>
  <c r="AP206" i="9" s="1"/>
  <c r="AO218" i="9"/>
  <c r="AW55" i="15"/>
  <c r="AW120" i="15"/>
  <c r="G184" i="15"/>
  <c r="Q210" i="9"/>
  <c r="N218" i="9"/>
  <c r="BI218" i="9"/>
  <c r="BI206" i="9" s="1"/>
  <c r="BJ210" i="9" s="1"/>
  <c r="BH218" i="9"/>
  <c r="AI106" i="11"/>
  <c r="AH106" i="11" s="1"/>
  <c r="EB238" i="9"/>
  <c r="EB237" i="9"/>
  <c r="AA92" i="11"/>
  <c r="DG238" i="9"/>
  <c r="EE241" i="9" a="1"/>
  <c r="EE241" i="9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BG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EP245" i="9"/>
  <c r="DB247" i="9"/>
  <c r="DA246" i="9"/>
  <c r="DB246" i="9" s="1"/>
  <c r="DI241" i="9"/>
  <c r="DL237" i="9" s="1"/>
  <c r="EP246" i="9"/>
  <c r="F24" i="14"/>
  <c r="F22" i="12"/>
  <c r="C56" i="14"/>
  <c r="AP135" i="20"/>
  <c r="H224" i="20" s="1"/>
  <c r="AA143" i="20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H107" i="11"/>
  <c r="C170" i="22" l="1"/>
  <c r="AQ210" i="9"/>
  <c r="M17" i="13" s="1"/>
  <c r="AU212" i="9"/>
  <c r="AR210" i="9"/>
  <c r="S129" i="20"/>
  <c r="AZ100" i="20"/>
  <c r="AZ124" i="20" s="1"/>
  <c r="AA195" i="9"/>
  <c r="AC185" i="9"/>
  <c r="E155" i="15"/>
  <c r="E163" i="15" s="1"/>
  <c r="AT85" i="15"/>
  <c r="BG85" i="15" s="1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S143" i="20"/>
  <c r="EG237" i="9"/>
  <c r="AC107" i="11"/>
  <c r="EB157" i="9"/>
  <c r="CR255" i="9"/>
  <c r="CR256" i="9"/>
  <c r="DA237" i="9"/>
  <c r="BD113" i="15"/>
  <c r="BG113" i="15" s="1"/>
  <c r="AG135" i="15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E56" i="14"/>
  <c r="F26" i="14"/>
  <c r="F24" i="12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AZ55" i="20" l="1"/>
  <c r="BJ100" i="20"/>
  <c r="J187" i="20" s="1"/>
  <c r="U218" i="9"/>
  <c r="V210" i="9"/>
  <c r="F229" i="9"/>
  <c r="H226" i="9"/>
  <c r="AT44" i="15"/>
  <c r="G173" i="15"/>
  <c r="C215" i="22"/>
  <c r="AC195" i="9"/>
  <c r="F15" i="17"/>
  <c r="CP258" i="9" a="1"/>
  <c r="CP258" i="9" s="1"/>
  <c r="AF139" i="22" s="1"/>
  <c r="EY238" i="9"/>
  <c r="EY240" i="9"/>
  <c r="EE158" i="9"/>
  <c r="EC158" i="9"/>
  <c r="DQ238" i="9"/>
  <c r="C62" i="14"/>
  <c r="EF160" i="9" a="1"/>
  <c r="EF160" i="9" s="1"/>
  <c r="BF114" i="22" s="1"/>
  <c r="BG114" i="22" s="1"/>
  <c r="G201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G201" i="15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N165" i="11" s="1"/>
  <c r="EV241" i="9"/>
  <c r="FF233" i="9" s="1"/>
  <c r="BL114" i="15" s="1"/>
  <c r="BN114" i="15" s="1"/>
  <c r="EY237" i="9"/>
  <c r="F165" i="11"/>
  <c r="F164" i="11"/>
  <c r="BJ104" i="20"/>
  <c r="J191" i="20" s="1"/>
  <c r="BC59" i="20"/>
  <c r="N164" i="11" l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Q246" i="9"/>
  <c r="ER246" i="9" s="1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BN112" i="15" s="1"/>
  <c r="AF134" i="15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Q247" i="9"/>
  <c r="ER247" i="9" s="1"/>
  <c r="EQ248" i="9"/>
  <c r="ER248" i="9" s="1"/>
  <c r="AD106" i="11"/>
  <c r="AL107" i="11"/>
  <c r="DQ241" i="9"/>
  <c r="DQ233" i="9" s="1"/>
  <c r="DC238" i="9" s="1"/>
  <c r="EQ245" i="9"/>
  <c r="ER245" i="9" s="1"/>
  <c r="AD107" i="11"/>
  <c r="EE160" i="9"/>
  <c r="EH156" i="9" s="1"/>
  <c r="BF73" i="22"/>
  <c r="BF120" i="22"/>
  <c r="FB237" i="9" l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C170" i="11" s="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FC237" i="9"/>
  <c r="FD237" i="9" s="1"/>
  <c r="FE237" i="9" s="1"/>
  <c r="FF237" i="9" s="1"/>
  <c r="FG237" i="9" s="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FB241" i="9" l="1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F19" i="17"/>
  <c r="C38" i="12" s="1"/>
  <c r="D25" i="14"/>
  <c r="D23" i="12"/>
  <c r="C198" i="11"/>
  <c r="EE144" i="9" s="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EQ144" i="9" l="1"/>
  <c r="EE145" i="9"/>
  <c r="C225" i="11"/>
  <c r="K216" i="11"/>
  <c r="I216" i="11" s="1"/>
  <c r="AE232" i="9" s="1"/>
  <c r="E216" i="11"/>
  <c r="K215" i="11"/>
  <c r="AT88" i="15"/>
  <c r="BG88" i="15" s="1"/>
  <c r="H158" i="15"/>
  <c r="H163" i="15" s="1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C171" i="11" s="1"/>
  <c r="C172" i="11" s="1"/>
  <c r="BI118" i="20"/>
  <c r="FE146" i="9"/>
  <c r="FE145" i="9"/>
  <c r="ER143" i="9" s="1"/>
  <c r="G7" i="13"/>
  <c r="G8" i="13" s="1"/>
  <c r="F172" i="11" l="1"/>
  <c r="N166" i="11"/>
  <c r="Z219" i="9"/>
  <c r="N241" i="9"/>
  <c r="N242" i="9" s="1"/>
  <c r="Z221" i="9"/>
  <c r="AH234" i="9"/>
  <c r="AK231" i="9" s="1"/>
  <c r="Z220" i="9"/>
  <c r="Z218" i="9"/>
  <c r="AA218" i="9" s="1"/>
  <c r="Y220" i="9"/>
  <c r="AA219" i="9"/>
  <c r="AT47" i="15"/>
  <c r="G176" i="15"/>
  <c r="I215" i="11"/>
  <c r="AE231" i="9" s="1"/>
  <c r="C216" i="11"/>
  <c r="K240" i="9" s="1"/>
  <c r="L240" i="9" s="1"/>
  <c r="E217" i="11"/>
  <c r="C223" i="11"/>
  <c r="C224" i="11"/>
  <c r="M192" i="11"/>
  <c r="D198" i="11"/>
  <c r="D199" i="11"/>
  <c r="BJ118" i="20"/>
  <c r="BI73" i="20"/>
  <c r="ER145" i="9"/>
  <c r="ES145" i="9" s="1"/>
  <c r="ES143" i="9"/>
  <c r="N167" i="11" l="1"/>
  <c r="AA220" i="9"/>
  <c r="L166" i="11"/>
  <c r="Q240" i="9"/>
  <c r="R240" i="9" s="1"/>
  <c r="S240" i="9" s="1"/>
  <c r="T240" i="9" s="1"/>
  <c r="U240" i="9" s="1"/>
  <c r="V240" i="9" s="1"/>
  <c r="G225" i="11"/>
  <c r="G224" i="11" s="1"/>
  <c r="G223" i="11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U242" i="9" s="1"/>
  <c r="Y221" i="9"/>
  <c r="AA221" i="9" s="1"/>
  <c r="AK233" i="9"/>
  <c r="AL233" i="9" s="1"/>
  <c r="AM233" i="9" s="1"/>
  <c r="AN233" i="9" s="1"/>
  <c r="AO233" i="9" s="1"/>
  <c r="AP233" i="9" s="1"/>
  <c r="E225" i="11"/>
  <c r="C230" i="11"/>
  <c r="AK232" i="9"/>
  <c r="AL232" i="9" s="1"/>
  <c r="AM232" i="9" s="1"/>
  <c r="AN232" i="9" s="1"/>
  <c r="AO232" i="9" s="1"/>
  <c r="AP232" i="9" s="1"/>
  <c r="D200" i="11"/>
  <c r="D170" i="11"/>
  <c r="L165" i="11"/>
  <c r="D171" i="11"/>
  <c r="FE147" i="9" l="1"/>
  <c r="L167" i="11"/>
  <c r="I162" i="11" s="1"/>
  <c r="E223" i="11"/>
  <c r="E224" i="1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FE148" i="9" l="1"/>
  <c r="FB148" i="9" s="1"/>
  <c r="ER147" i="9"/>
  <c r="ES147" i="9" s="1"/>
  <c r="ER144" i="9"/>
  <c r="M223" i="11"/>
  <c r="O223" i="11" s="1"/>
  <c r="P223" i="11" s="1"/>
  <c r="K242" i="9"/>
  <c r="U236" i="9" s="1"/>
  <c r="AT86" i="15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EB145" i="9" l="1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BN97" i="15" s="1"/>
  <c r="Q126" i="15"/>
  <c r="Q125" i="22"/>
  <c r="BM97" i="22"/>
  <c r="BN97" i="22" s="1"/>
  <c r="EM145" i="9" l="1"/>
  <c r="EM146" i="9" s="1"/>
  <c r="EM140" i="9" s="1"/>
  <c r="FC146" i="9"/>
  <c r="FC147" i="9"/>
  <c r="FF149" i="9" a="1"/>
  <c r="FF149" i="9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F163" i="15" s="1"/>
  <c r="C171" i="15" s="1" a="1"/>
  <c r="C171" i="15" s="1"/>
  <c r="BF86" i="15"/>
  <c r="BG86" i="15" s="1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C51" i="14"/>
  <c r="E7" i="14"/>
  <c r="E5" i="12"/>
  <c r="BI90" i="20" l="1"/>
  <c r="I159" i="20"/>
  <c r="I166" i="20" s="1"/>
  <c r="F174" i="20" s="1" a="1"/>
  <c r="F174" i="20" s="1"/>
  <c r="ES133" i="9"/>
  <c r="FC149" i="9"/>
  <c r="G174" i="15"/>
  <c r="BF45" i="15"/>
  <c r="BF120" i="15"/>
  <c r="C213" i="15" s="1" a="1"/>
  <c r="G215" i="15" s="1"/>
  <c r="AK138" i="15"/>
  <c r="BM117" i="15"/>
  <c r="BN117" i="15" s="1"/>
  <c r="I171" i="15" s="1" a="1"/>
  <c r="E34" i="1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I171" i="15" l="1"/>
  <c r="K206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K197" i="22" s="1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K205" i="15" l="1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K185" i="22"/>
  <c r="K188" i="22"/>
  <c r="K205" i="22"/>
  <c r="K178" i="22"/>
  <c r="K190" i="22"/>
  <c r="K198" i="22"/>
  <c r="K183" i="22"/>
  <c r="K177" i="22"/>
  <c r="K194" i="22"/>
  <c r="K203" i="22"/>
  <c r="K184" i="22"/>
  <c r="K199" i="22"/>
  <c r="K204" i="22"/>
  <c r="K202" i="22"/>
  <c r="K191" i="22"/>
  <c r="K192" i="22"/>
  <c r="K189" i="22"/>
  <c r="K193" i="22"/>
  <c r="K186" i="22"/>
  <c r="K196" i="22"/>
  <c r="E170" i="22"/>
  <c r="K170" i="22" s="1"/>
  <c r="K180" i="22"/>
  <c r="K176" i="22"/>
  <c r="K195" i="22"/>
  <c r="K181" i="22"/>
  <c r="K179" i="22"/>
  <c r="K200" i="22"/>
  <c r="K182" i="22"/>
  <c r="K187" i="22"/>
  <c r="K171" i="22"/>
  <c r="K173" i="22"/>
  <c r="K172" i="22"/>
  <c r="K206" i="22" l="1"/>
  <c r="K207" i="15"/>
  <c r="BP121" i="20"/>
  <c r="BQ121" i="20" s="1"/>
  <c r="L174" i="20" s="1" a="1"/>
  <c r="AN141" i="20"/>
  <c r="EO131" i="9"/>
  <c r="M22" i="13" s="1"/>
  <c r="EP131" i="9"/>
  <c r="T5" i="13" s="1"/>
  <c r="L174" i="20" l="1"/>
  <c r="AN143" i="20"/>
  <c r="H174" i="20" s="1" a="1"/>
  <c r="N205" i="20" s="1"/>
  <c r="AP141" i="20"/>
  <c r="H230" i="20" s="1"/>
  <c r="J230" i="20" s="1"/>
  <c r="E32" i="12"/>
  <c r="D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<sst xmlns="http://schemas.openxmlformats.org/spreadsheetml/2006/main" count="5692" uniqueCount="700">
  <si>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</si>
  <si>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</si>
  <si>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</si>
  <si>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</si>
  <si>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</si>
  <si>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</si>
  <si>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</si>
  <si>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</si>
  <si>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</si>
  <si>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</si>
  <si>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</si>
  <si>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</si>
  <si>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</si>
  <si>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</si>
  <si>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</si>
  <si>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</si>
  <si>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</si>
  <si>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</si>
  <si>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</si>
  <si>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</si>
  <si>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</si>
  <si>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</si>
  <si>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</si>
  <si>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</si>
  <si>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</si>
  <si>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</si>
  <si>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</si>
  <si>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</si>
  <si>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</si>
  <si>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</si>
  <si>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</si>
  <si>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</si>
  <si>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</si>
  <si>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</si>
  <si>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</si>
  <si>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</si>
  <si>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</si>
  <si>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</si>
  <si>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</si>
  <si>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</si>
  <si>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</si>
  <si>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</si>
  <si>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</si>
  <si>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</si>
  <si>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</si>
  <si>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</si>
  <si>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</si>
  <si>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</si>
  <si>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</si>
  <si>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</si>
  <si>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</si>
  <si>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</si>
  <si>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</si>
  <si>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</si>
  <si>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</si>
  <si>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</si>
  <si>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</si>
  <si>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</si>
  <si>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</si>
  <si>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</si>
  <si>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</si>
  <si>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</si>
  <si>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</si>
  <si>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</si>
  <si>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</si>
  <si>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</si>
  <si>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</si>
  <si>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</si>
  <si>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</si>
  <si>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</si>
  <si>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</si>
  <si>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</si>
  <si>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</si>
  <si>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</si>
  <si>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</si>
  <si>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</si>
  <si>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</si>
  <si>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</si>
  <si>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</si>
  <si>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</si>
  <si>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</si>
  <si>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</si>
  <si>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</si>
  <si>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</si>
  <si>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</si>
  <si>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</si>
  <si>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</si>
  <si>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</si>
  <si>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</si>
  <si>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</si>
  <si>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</si>
  <si>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</si>
  <si>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</si>
  <si>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</si>
  <si>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</si>
  <si>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</si>
  <si>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</si>
  <si>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</si>
  <si>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</si>
  <si>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</si>
  <si>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</si>
  <si>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</si>
  <si>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</si>
  <si>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</si>
  <si>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</si>
  <si>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</si>
  <si>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</si>
  <si>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</si>
  <si>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</si>
  <si>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</si>
  <si>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</si>
  <si>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</si>
  <si>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</si>
  <si>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</si>
  <si>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</si>
  <si>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</si>
  <si>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</si>
  <si>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</si>
  <si>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</si>
  <si>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</si>
  <si>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</si>
  <si>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</si>
  <si>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</si>
  <si>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</si>
  <si>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</si>
  <si>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</si>
  <si>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</si>
  <si>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</si>
  <si>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</si>
  <si>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</si>
  <si>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</si>
  <si>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</si>
  <si>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</si>
  <si>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</si>
  <si>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</si>
  <si>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</si>
  <si>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</si>
  <si>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</si>
  <si>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</si>
  <si>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</si>
  <si>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</si>
  <si>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</si>
  <si>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</si>
  <si>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</si>
  <si>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</si>
  <si>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</si>
  <si>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</si>
  <si>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</si>
  <si>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</si>
  <si>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</si>
  <si>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</si>
  <si>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</si>
  <si>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</si>
  <si>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</si>
  <si>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</si>
  <si>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</si>
  <si>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</si>
  <si>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</si>
  <si>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</si>
  <si>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</si>
  <si>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</si>
  <si>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</si>
  <si>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</si>
  <si>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</si>
  <si>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</si>
  <si>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</si>
  <si>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</si>
  <si>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</si>
  <si>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</si>
  <si>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</si>
  <si>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</si>
  <si>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</si>
  <si>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</si>
  <si>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</si>
  <si>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</si>
  <si>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</si>
  <si>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</si>
  <si>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</si>
  <si>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</si>
  <si>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</si>
  <si>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</si>
  <si>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</si>
  <si>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</si>
  <si>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</si>
  <si>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</si>
  <si>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</si>
  <si>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</si>
  <si>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</si>
  <si>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</si>
  <si>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</si>
  <si>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</si>
  <si>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</si>
  <si>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</si>
  <si>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</si>
  <si>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</si>
  <si>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</si>
  <si>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</si>
  <si>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</si>
  <si>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</si>
  <si>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</si>
  <si>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</si>
  <si>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</si>
  <si>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</si>
  <si>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</si>
  <si>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</si>
  <si>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</si>
  <si>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</si>
  <si>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</si>
  <si>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</si>
  <si>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</si>
  <si>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</si>
  <si>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</si>
  <si>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</si>
  <si>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</si>
  <si>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</si>
  <si>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</si>
  <si>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</si>
  <si>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</si>
  <si>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</si>
  <si>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</si>
  <si>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</si>
  <si>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</si>
  <si>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</si>
  <si>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</si>
  <si>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</si>
  <si>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</si>
  <si>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</si>
  <si>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</si>
  <si>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</si>
  <si>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</si>
  <si>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</si>
  <si>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</si>
  <si>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</si>
  <si>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</si>
  <si>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</si>
  <si>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</si>
  <si>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</si>
  <si>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</si>
  <si>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</si>
  <si>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</si>
  <si>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</si>
  <si>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</si>
  <si>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</si>
  <si>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</si>
  <si>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</si>
  <si>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</si>
  <si>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</si>
  <si>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</si>
  <si>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</si>
  <si>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</si>
  <si>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</si>
  <si>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</si>
  <si>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</si>
  <si>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</si>
  <si>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</si>
  <si>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</si>
  <si>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</si>
  <si>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</si>
  <si>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</si>
  <si>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</si>
  <si>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</si>
  <si>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</si>
  <si>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</si>
  <si>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</si>
  <si>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</si>
  <si>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</si>
  <si>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</si>
  <si>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</si>
  <si>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</si>
  <si>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</si>
  <si>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</si>
  <si>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</si>
  <si>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</si>
  <si>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</si>
  <si>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</si>
  <si>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</si>
  <si>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</si>
  <si>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</si>
  <si>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</si>
  <si>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</si>
  <si>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</si>
  <si>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</si>
  <si>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</si>
  <si>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</si>
  <si>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</si>
  <si>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</si>
  <si>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</si>
  <si>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</si>
  <si>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</si>
  <si>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</si>
  <si>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</si>
  <si>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</si>
  <si>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</si>
  <si>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</si>
  <si>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</si>
  <si>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</si>
  <si>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</si>
  <si>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</si>
  <si>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</si>
  <si>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</si>
  <si>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</si>
  <si>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</si>
  <si>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</si>
  <si>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</si>
  <si>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</si>
  <si>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</si>
  <si>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</si>
  <si>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</si>
  <si>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</si>
  <si>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</si>
  <si>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</si>
  <si>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</si>
  <si>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</si>
  <si>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</si>
  <si>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</si>
  <si>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</si>
  <si>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</si>
  <si>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</si>
  <si>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</si>
  <si>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</si>
  <si>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</si>
  <si>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</si>
  <si>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</si>
  <si>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</si>
  <si>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</si>
  <si>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</si>
  <si>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</si>
  <si>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</si>
  <si>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</si>
  <si>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</si>
  <si>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</si>
  <si>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</si>
  <si>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</si>
  <si>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</si>
  <si>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</si>
  <si>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</si>
  <si>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</si>
  <si>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</si>
  <si>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</si>
  <si>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</si>
  <si>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</si>
  <si>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</si>
  <si>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</si>
  <si>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</si>
  <si>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</si>
  <si>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</si>
  <si>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</si>
  <si>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</si>
  <si>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</si>
  <si>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</si>
  <si>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</si>
  <si>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</si>
  <si>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</si>
  <si>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</si>
  <si>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</si>
  <si>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</si>
  <si>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</si>
  <si>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</si>
  <si>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</si>
  <si>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</si>
  <si>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</si>
  <si>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</si>
  <si>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</si>
  <si>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</si>
  <si>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</si>
  <si>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</si>
  <si>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</si>
  <si>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</si>
  <si>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</si>
  <si>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</si>
  <si>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</si>
  <si>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</si>
  <si>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</si>
  <si>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</si>
  <si>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</si>
  <si>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</si>
  <si>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</si>
  <si>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</si>
  <si>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</si>
  <si>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</si>
  <si>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</si>
  <si>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</si>
  <si>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</si>
  <si>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</si>
  <si>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</si>
  <si>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</si>
  <si>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</si>
  <si>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</si>
  <si>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</si>
  <si>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</si>
  <si>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</si>
  <si>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</si>
  <si>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</si>
  <si>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</si>
  <si>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</si>
  <si>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</si>
  <si>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</si>
  <si>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</si>
  <si>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</si>
  <si>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</si>
  <si>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</si>
  <si>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</si>
  <si>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</si>
  <si>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</si>
  <si>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</si>
  <si>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</si>
  <si>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</si>
  <si>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</si>
  <si>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</si>
  <si>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</si>
  <si>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</si>
  <si>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</si>
  <si>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</si>
  <si>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</si>
  <si>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</si>
  <si>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</si>
  <si>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</si>
  <si>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</si>
  <si>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</si>
  <si>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</si>
  <si>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</si>
  <si>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</si>
  <si>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</si>
  <si>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</si>
  <si>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</si>
  <si>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</si>
  <si>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</si>
  <si>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</si>
  <si>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</si>
  <si>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</si>
  <si>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</si>
  <si>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</si>
  <si>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</si>
  <si>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</si>
  <si>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</si>
  <si>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</si>
  <si>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</si>
  <si>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</si>
  <si>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</si>
  <si>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</si>
  <si>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</si>
  <si>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</si>
  <si>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</si>
  <si>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</si>
  <si>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</si>
  <si>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</si>
  <si>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</si>
  <si>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</si>
  <si>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</si>
  <si>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</si>
  <si>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</si>
  <si>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</si>
  <si>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</si>
  <si>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</si>
  <si>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</si>
  <si>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</si>
  <si>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</si>
  <si>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</si>
  <si>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</si>
  <si>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</si>
  <si>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</si>
  <si>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</si>
  <si>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</si>
  <si>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</si>
  <si>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</si>
  <si>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</si>
  <si>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</si>
  <si>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</si>
  <si>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</si>
  <si>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</si>
  <si>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</si>
  <si>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</si>
  <si>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</si>
  <si>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</si>
  <si>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</si>
  <si>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</si>
  <si>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</si>
  <si>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</si>
  <si>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</si>
  <si>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</si>
  <si>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</si>
  <si>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</si>
  <si>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</si>
  <si>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</si>
  <si>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</si>
  <si>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</si>
  <si>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</si>
  <si>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</si>
  <si>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</si>
  <si>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</si>
  <si>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</si>
  <si>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</si>
  <si>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</si>
  <si>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</si>
  <si>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</si>
  <si>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</si>
  <si>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</si>
  <si>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</si>
  <si>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</si>
  <si>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</si>
  <si>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</si>
  <si>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</si>
  <si>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</si>
  <si>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</si>
  <si>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</si>
  <si>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</si>
  <si>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</si>
  <si>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</si>
  <si>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</si>
  <si>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</si>
  <si>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</si>
  <si>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</si>
  <si>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</si>
  <si>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</si>
  <si>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</si>
  <si>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</si>
  <si>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</si>
  <si>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</si>
  <si>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</si>
  <si>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</si>
  <si>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</si>
  <si>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</si>
  <si>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</si>
  <si>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</si>
  <si>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</si>
  <si>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</si>
  <si>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</si>
  <si>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</si>
  <si>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</si>
  <si>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</si>
  <si>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</si>
  <si>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</si>
  <si>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</si>
  <si>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</si>
  <si>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</si>
  <si>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</si>
  <si>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</si>
  <si>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</si>
  <si>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</si>
  <si>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</si>
  <si>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</si>
  <si>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</si>
  <si>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</si>
  <si>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</si>
  <si>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</si>
  <si>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</si>
  <si>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</si>
  <si>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</si>
  <si>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</si>
  <si>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</si>
  <si>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</si>
  <si>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</si>
  <si>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</si>
  <si>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</si>
  <si>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</si>
  <si>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</si>
  <si>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</si>
  <si>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</si>
  <si>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</si>
  <si>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</si>
  <si>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</si>
  <si>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</si>
  <si>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</si>
  <si>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</si>
  <si>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</si>
  <si>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</si>
  <si>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</si>
  <si>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</si>
  <si>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</si>
  <si>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</si>
  <si>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</si>
  <si>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</si>
  <si>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</si>
  <si>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</si>
  <si>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</si>
  <si>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</si>
  <si>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</si>
  <si>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</si>
  <si>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</si>
  <si>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</si>
  <si>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</si>
  <si>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</si>
  <si>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</si>
  <si>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</si>
  <si>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</si>
  <si>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</si>
  <si>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</si>
  <si>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</si>
  <si>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</si>
  <si>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</si>
  <si>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</si>
  <si>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</si>
  <si>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</si>
  <si>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</si>
  <si>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</si>
  <si>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</si>
  <si>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</si>
  <si>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</si>
  <si>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</si>
  <si>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</si>
  <si>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</si>
  <si>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</si>
  <si>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</si>
  <si>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</si>
  <si>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</si>
  <si>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</si>
  <si>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</si>
  <si>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</si>
  <si>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</si>
  <si>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</si>
  <si>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</si>
  <si>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</si>
  <si>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</si>
  <si>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</si>
  <si>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</si>
  <si>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</si>
  <si>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</si>
  <si>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</si>
  <si>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</si>
  <si>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</si>
  <si>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</si>
  <si>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</si>
  <si>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</si>
  <si>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</si>
  <si>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</si>
  <si>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</si>
  <si>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</si>
  <si>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</si>
  <si>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</si>
  <si>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</si>
  <si>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</si>
  <si>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</si>
  <si>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</si>
  <si>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</si>
  <si>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</si>
  <si>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</si>
  <si>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</si>
  <si>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</si>
  <si>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https://pubs.geoscienceworld.org/msa/ammin/article-abstract/79/1-2/134/42837/Enthalpy-of-formation-of-wollastonite-CaSiO3-and</t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</si>
  <si>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</si>
  <si>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</si>
  <si>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</si>
  <si>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</si>
  <si>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</si>
  <si>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</si>
  <si>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</si>
  <si>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</si>
  <si>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</si>
  <si>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</si>
  <si>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</si>
  <si>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</si>
  <si>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</si>
  <si>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</si>
  <si>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</si>
  <si>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</si>
  <si>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</si>
  <si>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</si>
  <si>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</si>
  <si>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</si>
  <si>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</si>
  <si>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$\\eta_{Bejan}$</t>
  </si>
  <si>
    <t>$\\eta_{Rational}$</t>
  </si>
  <si>
    <t>$\\eta_{Resource}$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</si>
  <si>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</si>
  <si>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</si>
  <si>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</si>
  <si>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</si>
  <si>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</si>
  <si>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</si>
  <si>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</si>
  <si>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</si>
  <si>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</si>
  <si>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</si>
  <si>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</si>
  <si>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</si>
  <si>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</si>
  <si>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</si>
  <si>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</si>
  <si>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</si>
  <si>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</si>
  <si>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</si>
  <si>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</si>
  <si>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</si>
  <si>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</si>
  <si>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</si>
  <si>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</si>
  <si>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</si>
  <si>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</si>
  <si>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</si>
  <si>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</si>
  <si>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</si>
  <si>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Kotas 1995</t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</si>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</sst>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7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/>
  </cellStyleXfs>
  <cellXfs count="442">
    <xf numFmtId="0" fontId="0" fillId="0" borderId="0" xfId="0"/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8" fillId="0" borderId="6" xfId="0" applyFont="1" applyBorder="1" applyAlignment="1">
      <alignment horizontal="center"/>
    </xf>
    <xf numFmtId="0" fontId="23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5" borderId="6" xfId="0" applyFont="1" applyFill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5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9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vertical="center" textRotation="90"/>
    </xf>
    <xf numFmtId="1" fontId="11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4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14" fillId="0" borderId="0" xfId="0" applyFont="1"/>
    <xf numFmtId="0" fontId="12" fillId="0" borderId="0" xfId="0" applyFont="1"/>
    <xf numFmtId="0" fontId="11" fillId="0" borderId="10" xfId="0" applyFont="1" applyBorder="1" applyAlignment="1">
      <alignment horizontal="center"/>
    </xf>
    <xf numFmtId="0" fontId="20" fillId="0" borderId="0" xfId="0" applyFont="1" applyAlignment="1">
      <alignment vertical="center" textRotation="90"/>
    </xf>
    <xf numFmtId="0" fontId="17" fillId="0" borderId="0" xfId="0" applyFont="1" applyAlignment="1">
      <alignment vertical="center" textRotation="90"/>
    </xf>
    <xf numFmtId="0" fontId="25" fillId="0" borderId="22" xfId="0" applyFont="1" applyBorder="1" applyAlignment="1">
      <alignment horizontal="center"/>
    </xf>
    <xf numFmtId="0" fontId="19" fillId="0" borderId="19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6" xfId="0" applyFont="1" applyBorder="1" applyAlignment="1">
      <alignment horizont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11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5" fillId="0" borderId="0" xfId="0" applyNumberFormat="1" applyFont="1" applyAlignment="1">
      <alignment horizontal="center"/>
    </xf>
    <xf numFmtId="0" fontId="11" fillId="9" borderId="0" xfId="0" applyFont="1" applyFill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1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1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15" fillId="0" borderId="30" xfId="0" applyFont="1" applyBorder="1" applyAlignment="1">
      <alignment horizontal="center"/>
    </xf>
    <xf numFmtId="0" fontId="11" fillId="10" borderId="16" xfId="0" applyFont="1" applyFill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1" fillId="11" borderId="16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37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26" fillId="0" borderId="7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8" fillId="0" borderId="18" xfId="0" applyFon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8" fillId="0" borderId="26" xfId="0" applyFont="1" applyBorder="1" applyAlignment="1">
      <alignment horizontal="center"/>
    </xf>
    <xf numFmtId="0" fontId="18" fillId="0" borderId="2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5" borderId="17" xfId="0" applyFont="1" applyFill="1" applyBorder="1" applyAlignment="1">
      <alignment horizontal="center"/>
    </xf>
    <xf numFmtId="0" fontId="43" fillId="0" borderId="0" xfId="0" applyFont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18" xfId="0" applyFont="1" applyBorder="1" applyAlignment="1">
      <alignment horizontal="center"/>
    </xf>
    <xf numFmtId="0" fontId="45" fillId="0" borderId="0" xfId="1" applyFont="1" applyAlignment="1">
      <alignment horizontal="center"/>
    </xf>
    <xf numFmtId="0" fontId="18" fillId="0" borderId="6" xfId="0" applyFont="1" applyBorder="1" applyAlignment="1">
      <alignment horizontal="center" wrapText="1"/>
    </xf>
    <xf numFmtId="0" fontId="43" fillId="0" borderId="25" xfId="0" applyFont="1" applyBorder="1" applyAlignment="1">
      <alignment horizontal="center"/>
    </xf>
    <xf numFmtId="0" fontId="46" fillId="0" borderId="22" xfId="0" applyFont="1" applyBorder="1" applyAlignment="1">
      <alignment horizontal="center"/>
    </xf>
    <xf numFmtId="0" fontId="47" fillId="0" borderId="0" xfId="0" applyFont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3" fillId="0" borderId="27" xfId="0" applyFont="1" applyBorder="1" applyAlignment="1">
      <alignment horizontal="center"/>
    </xf>
    <xf numFmtId="0" fontId="43" fillId="0" borderId="24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43" fillId="0" borderId="17" xfId="0" applyFont="1" applyBorder="1" applyAlignment="1">
      <alignment horizontal="center"/>
    </xf>
    <xf numFmtId="0" fontId="43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8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8" fillId="0" borderId="0" xfId="0" applyFont="1" applyAlignment="1">
      <alignment horizontal="center"/>
    </xf>
    <xf numFmtId="0" fontId="43" fillId="0" borderId="4" xfId="0" applyFont="1" applyBorder="1" applyAlignment="1">
      <alignment horizontal="center"/>
    </xf>
    <xf numFmtId="0" fontId="43" fillId="0" borderId="5" xfId="0" applyFont="1" applyBorder="1" applyAlignment="1">
      <alignment horizontal="center"/>
    </xf>
    <xf numFmtId="0" fontId="11" fillId="0" borderId="3" xfId="0" applyFont="1" applyBorder="1" applyAlignment="1">
      <alignment horizontal="center" wrapText="1"/>
    </xf>
    <xf numFmtId="0" fontId="15" fillId="0" borderId="23" xfId="0" applyFont="1" applyBorder="1" applyAlignment="1">
      <alignment horizontal="center"/>
    </xf>
    <xf numFmtId="0" fontId="15" fillId="0" borderId="24" xfId="0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15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20" fillId="0" borderId="30" xfId="0" applyFont="1" applyBorder="1" applyAlignment="1">
      <alignment horizontal="center" vertical="center" textRotation="90"/>
    </xf>
    <xf numFmtId="0" fontId="11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8" fillId="0" borderId="25" xfId="0" applyFont="1" applyBorder="1" applyAlignment="1">
      <alignment horizontal="center"/>
    </xf>
    <xf numFmtId="0" fontId="43" fillId="0" borderId="26" xfId="0" applyFont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5" fillId="0" borderId="43" xfId="0" applyFont="1" applyBorder="1" applyAlignment="1">
      <alignment horizontal="center"/>
    </xf>
    <xf numFmtId="0" fontId="43" fillId="19" borderId="6" xfId="0" applyFont="1" applyFill="1" applyBorder="1" applyAlignment="1">
      <alignment horizontal="center"/>
    </xf>
    <xf numFmtId="0" fontId="11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1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1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1" fillId="0" borderId="0" xfId="0" applyNumberFormat="1" applyFont="1" applyAlignment="1">
      <alignment horizontal="center"/>
    </xf>
    <xf numFmtId="169" fontId="11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5" fillId="0" borderId="22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/>
    </xf>
    <xf numFmtId="2" fontId="11" fillId="0" borderId="23" xfId="0" applyNumberFormat="1" applyFont="1" applyBorder="1" applyAlignment="1">
      <alignment horizontal="center"/>
    </xf>
    <xf numFmtId="169" fontId="11" fillId="0" borderId="1" xfId="0" applyNumberFormat="1" applyFont="1" applyBorder="1" applyAlignment="1">
      <alignment horizontal="center"/>
    </xf>
    <xf numFmtId="2" fontId="11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5" fillId="0" borderId="0" xfId="0" applyFont="1" applyAlignment="1">
      <alignment horizontal="center"/>
    </xf>
    <xf numFmtId="0" fontId="15" fillId="0" borderId="44" xfId="0" applyFont="1" applyBorder="1" applyAlignment="1">
      <alignment horizontal="center"/>
    </xf>
    <xf numFmtId="0" fontId="38" fillId="0" borderId="45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6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170" fontId="15" fillId="0" borderId="2" xfId="0" applyNumberFormat="1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8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1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1" fillId="0" borderId="0" xfId="0" applyFont="1" applyAlignment="1">
      <alignment horizontal="center" textRotation="90"/>
    </xf>
    <xf numFmtId="0" fontId="15" fillId="0" borderId="0" xfId="0" applyFont="1" applyAlignment="1">
      <alignment horizontal="center" textRotation="90"/>
    </xf>
    <xf numFmtId="0" fontId="32" fillId="0" borderId="0" xfId="0" applyFont="1" applyAlignment="1">
      <alignment horizontal="center" vertical="center"/>
    </xf>
    <xf numFmtId="0" fontId="59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1" fillId="0" borderId="0" xfId="0" applyFont="1"/>
    <xf numFmtId="0" fontId="61" fillId="23" borderId="7" xfId="0" applyFont="1" applyFill="1" applyBorder="1" applyAlignment="1">
      <alignment horizontal="center"/>
    </xf>
    <xf numFmtId="0" fontId="61" fillId="23" borderId="38" xfId="0" applyFont="1" applyFill="1" applyBorder="1" applyAlignment="1">
      <alignment horizontal="center"/>
    </xf>
    <xf numFmtId="0" fontId="61" fillId="23" borderId="36" xfId="0" applyFont="1" applyFill="1" applyBorder="1" applyAlignment="1">
      <alignment horizontal="center"/>
    </xf>
    <xf numFmtId="0" fontId="61" fillId="21" borderId="43" xfId="0" applyFont="1" applyFill="1" applyBorder="1" applyAlignment="1">
      <alignment horizontal="center"/>
    </xf>
    <xf numFmtId="0" fontId="61" fillId="21" borderId="39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22" xfId="0" applyFont="1" applyFill="1" applyBorder="1" applyAlignment="1">
      <alignment horizontal="center"/>
    </xf>
    <xf numFmtId="0" fontId="53" fillId="0" borderId="0" xfId="0" applyFont="1" applyAlignment="1">
      <alignment horizontal="center"/>
    </xf>
    <xf numFmtId="0" fontId="0" fillId="24" borderId="0" xfId="0" applyFill="1"/>
    <xf numFmtId="0" fontId="25" fillId="21" borderId="0" xfId="0" applyFont="1" applyFill="1" applyAlignment="1">
      <alignment horizontal="center" vertical="center"/>
    </xf>
    <xf numFmtId="0" fontId="25" fillId="9" borderId="0" xfId="0" applyFont="1" applyFill="1" applyAlignment="1">
      <alignment horizontal="center" vertical="center"/>
    </xf>
    <xf numFmtId="0" fontId="25" fillId="16" borderId="0" xfId="0" applyFont="1" applyFill="1" applyAlignment="1">
      <alignment horizontal="center" vertical="center"/>
    </xf>
    <xf numFmtId="0" fontId="25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8" fillId="0" borderId="0" xfId="0" applyFont="1" applyAlignment="1">
      <alignment horizontal="center" textRotation="90"/>
    </xf>
    <xf numFmtId="0" fontId="32" fillId="0" borderId="0" xfId="0" applyFont="1" applyAlignment="1">
      <alignment horizontal="center"/>
    </xf>
    <xf numFmtId="0" fontId="32" fillId="0" borderId="0" xfId="0" applyFont="1"/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5" fillId="0" borderId="0" xfId="0" applyFont="1"/>
    <xf numFmtId="0" fontId="24" fillId="0" borderId="0" xfId="0" applyFont="1" applyAlignment="1">
      <alignment horizontal="right"/>
    </xf>
    <xf numFmtId="0" fontId="25" fillId="24" borderId="0" xfId="0" applyFont="1" applyFill="1" applyAlignment="1">
      <alignment horizontal="center"/>
    </xf>
    <xf numFmtId="0" fontId="25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7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8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9" fillId="0" borderId="0" xfId="0" applyFont="1" applyAlignment="1">
      <alignment horizontal="center"/>
    </xf>
    <xf numFmtId="0" fontId="70" fillId="0" borderId="0" xfId="0" applyFont="1" applyAlignment="1">
      <alignment horizontal="center"/>
    </xf>
    <xf numFmtId="0" fontId="38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2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2" fillId="0" borderId="18" xfId="0" applyFont="1" applyBorder="1" applyAlignment="1">
      <alignment horizontal="center"/>
    </xf>
    <xf numFmtId="0" fontId="52" fillId="0" borderId="6" xfId="0" applyFont="1" applyBorder="1" applyAlignment="1">
      <alignment horizontal="center"/>
    </xf>
    <xf numFmtId="0" fontId="52" fillId="0" borderId="46" xfId="0" applyFont="1" applyBorder="1" applyAlignment="1">
      <alignment horizontal="center"/>
    </xf>
    <xf numFmtId="0" fontId="53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16" xfId="0" applyFont="1" applyBorder="1" applyAlignment="1">
      <alignment horizontal="center"/>
    </xf>
    <xf numFmtId="0" fontId="18" fillId="0" borderId="46" xfId="0" applyFont="1" applyBorder="1" applyAlignment="1">
      <alignment horizontal="center"/>
    </xf>
    <xf numFmtId="0" fontId="15" fillId="0" borderId="0" xfId="0" applyFont="1"/>
    <xf numFmtId="0" fontId="19" fillId="0" borderId="17" xfId="0" applyFont="1" applyBorder="1" applyAlignment="1">
      <alignment horizontal="center"/>
    </xf>
    <xf numFmtId="0" fontId="61" fillId="23" borderId="8" xfId="0" applyFont="1" applyFill="1" applyBorder="1" applyAlignment="1">
      <alignment horizontal="center"/>
    </xf>
    <xf numFmtId="0" fontId="61" fillId="21" borderId="0" xfId="0" applyFont="1" applyFill="1" applyAlignment="1">
      <alignment horizontal="center"/>
    </xf>
    <xf numFmtId="0" fontId="61" fillId="18" borderId="23" xfId="0" applyFont="1" applyFill="1" applyBorder="1" applyAlignment="1">
      <alignment horizontal="center"/>
    </xf>
    <xf numFmtId="0" fontId="61" fillId="18" borderId="6" xfId="0" applyFont="1" applyFill="1" applyBorder="1" applyAlignment="1">
      <alignment horizontal="center"/>
    </xf>
    <xf numFmtId="0" fontId="63" fillId="21" borderId="6" xfId="0" applyFont="1" applyFill="1" applyBorder="1" applyAlignment="1">
      <alignment horizontal="center"/>
    </xf>
    <xf numFmtId="0" fontId="63" fillId="18" borderId="37" xfId="0" applyFont="1" applyFill="1" applyBorder="1" applyAlignment="1">
      <alignment horizontal="center"/>
    </xf>
    <xf numFmtId="0" fontId="61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5" fillId="0" borderId="5" xfId="0" applyNumberFormat="1" applyFont="1" applyBorder="1" applyAlignment="1">
      <alignment horizontal="center"/>
    </xf>
    <xf numFmtId="0" fontId="53" fillId="0" borderId="0" xfId="0" applyFont="1" applyAlignment="1">
      <alignment horizontal="right"/>
    </xf>
    <xf numFmtId="0" fontId="54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4" fillId="0" borderId="0" xfId="0" applyFont="1" applyAlignment="1">
      <alignment horizontal="center" vertical="center"/>
    </xf>
    <xf numFmtId="0" fontId="15" fillId="11" borderId="0" xfId="0" applyFont="1" applyFill="1" applyAlignment="1">
      <alignment horizontal="center"/>
    </xf>
    <xf numFmtId="0" fontId="54" fillId="11" borderId="0" xfId="0" applyFont="1" applyFill="1" applyAlignment="1">
      <alignment horizontal="center"/>
    </xf>
    <xf numFmtId="0" fontId="11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1" fillId="0" borderId="0" xfId="0" applyFont="1" applyAlignment="1">
      <alignment horizontal="center" wrapText="1"/>
    </xf>
    <xf numFmtId="0" fontId="38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52" fillId="0" borderId="13" xfId="0" applyFont="1" applyBorder="1" applyAlignment="1">
      <alignment horizontal="center"/>
    </xf>
    <xf numFmtId="0" fontId="39" fillId="0" borderId="0" xfId="0" applyFont="1" applyAlignment="1">
      <alignment horizontal="center" vertical="center"/>
    </xf>
    <xf numFmtId="0" fontId="38" fillId="0" borderId="0" xfId="0" applyFont="1" applyAlignment="1">
      <alignment horizontal="right"/>
    </xf>
    <xf numFmtId="0" fontId="38" fillId="27" borderId="0" xfId="0" applyFont="1" applyFill="1" applyAlignment="1">
      <alignment horizontal="center"/>
    </xf>
    <xf numFmtId="0" fontId="75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4" fillId="0" borderId="2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textRotation="90" wrapText="1"/>
    </xf>
    <xf numFmtId="0" fontId="53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71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5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4" fillId="0" borderId="6" xfId="0" applyFont="1" applyBorder="1" applyAlignment="1">
      <alignment horizontal="center"/>
    </xf>
    <xf numFmtId="0" fontId="27" fillId="0" borderId="18" xfId="0" applyFont="1" applyBorder="1" applyAlignment="1">
      <alignment horizontal="center"/>
    </xf>
    <xf numFmtId="0" fontId="24" fillId="0" borderId="13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5" fillId="0" borderId="43" xfId="0" applyFont="1" applyBorder="1" applyAlignment="1">
      <alignment horizontal="center"/>
    </xf>
    <xf numFmtId="0" fontId="65" fillId="0" borderId="1" xfId="0" applyFont="1" applyBorder="1" applyAlignment="1">
      <alignment horizontal="center"/>
    </xf>
    <xf numFmtId="0" fontId="23" fillId="0" borderId="12" xfId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10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7" fillId="0" borderId="13" xfId="0" applyFont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5" fillId="0" borderId="0" xfId="0" applyFont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57" fillId="0" borderId="43" xfId="0" applyFont="1" applyBorder="1" applyAlignment="1">
      <alignment horizontal="center" vertical="center"/>
    </xf>
    <xf numFmtId="0" fontId="71" fillId="26" borderId="0" xfId="0" applyFont="1" applyFill="1" applyAlignment="1">
      <alignment horizontal="center" vertical="center"/>
    </xf>
    <xf numFmtId="0" fontId="53" fillId="0" borderId="0" xfId="0" applyFont="1" applyAlignment="1">
      <alignment horizontal="center" vertical="center" textRotation="90" wrapText="1"/>
    </xf>
    <xf numFmtId="0" fontId="53" fillId="0" borderId="0" xfId="0" applyFont="1" applyAlignment="1">
      <alignment horizontal="center" vertical="center" textRotation="90"/>
    </xf>
    <xf numFmtId="0" fontId="71" fillId="26" borderId="1" xfId="0" applyFont="1" applyFill="1" applyBorder="1" applyAlignment="1">
      <alignment horizontal="center" vertical="center"/>
    </xf>
    <xf numFmtId="0" fontId="39" fillId="15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12" fillId="17" borderId="0" xfId="0" applyFont="1" applyFill="1" applyAlignment="1">
      <alignment horizontal="center" vertical="center"/>
    </xf>
    <xf numFmtId="0" fontId="39" fillId="13" borderId="0" xfId="0" applyFont="1" applyFill="1" applyAlignment="1">
      <alignment horizontal="center" vertical="center"/>
    </xf>
    <xf numFmtId="0" fontId="18" fillId="12" borderId="19" xfId="0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53" fillId="0" borderId="0" xfId="0" applyFont="1" applyAlignment="1">
      <alignment horizontal="center" vertical="center" wrapText="1"/>
    </xf>
    <xf numFmtId="0" fontId="39" fillId="13" borderId="30" xfId="0" applyFont="1" applyFill="1" applyBorder="1" applyAlignment="1">
      <alignment horizontal="center" vertical="center"/>
    </xf>
    <xf numFmtId="0" fontId="50" fillId="9" borderId="0" xfId="0" applyFont="1" applyFill="1" applyAlignment="1">
      <alignment horizontal="center" vertical="center"/>
    </xf>
    <xf numFmtId="0" fontId="50" fillId="9" borderId="30" xfId="0" applyFont="1" applyFill="1" applyBorder="1" applyAlignment="1">
      <alignment horizontal="center" vertical="center"/>
    </xf>
    <xf numFmtId="0" fontId="41" fillId="14" borderId="0" xfId="0" applyFont="1" applyFill="1" applyAlignment="1">
      <alignment horizontal="center" vertical="center"/>
    </xf>
    <xf numFmtId="0" fontId="41" fillId="14" borderId="30" xfId="0" applyFont="1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/>
    </xf>
    <xf numFmtId="0" fontId="11" fillId="0" borderId="47" xfId="0" applyFont="1" applyBorder="1" applyAlignment="1">
      <alignment horizontal="center" vertical="center" wrapText="1"/>
    </xf>
    <xf numFmtId="0" fontId="50" fillId="16" borderId="0" xfId="0" applyFont="1" applyFill="1" applyAlignment="1">
      <alignment horizontal="center" vertical="center"/>
    </xf>
    <xf numFmtId="0" fontId="50" fillId="16" borderId="30" xfId="0" applyFont="1" applyFill="1" applyBorder="1" applyAlignment="1">
      <alignment horizontal="center" vertical="center"/>
    </xf>
    <xf numFmtId="0" fontId="11" fillId="0" borderId="22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52" fillId="17" borderId="0" xfId="0" applyFont="1" applyFill="1" applyAlignment="1">
      <alignment horizontal="center" vertical="center"/>
    </xf>
    <xf numFmtId="0" fontId="52" fillId="0" borderId="18" xfId="0" applyFont="1" applyBorder="1" applyAlignment="1">
      <alignment horizontal="center"/>
    </xf>
    <xf numFmtId="0" fontId="52" fillId="0" borderId="15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32" fillId="0" borderId="0" xfId="0" applyFont="1" applyAlignment="1">
      <alignment horizontal="center" vertical="center" textRotation="90"/>
    </xf>
    <xf numFmtId="0" fontId="57" fillId="19" borderId="0" xfId="0" applyFont="1" applyFill="1" applyAlignment="1">
      <alignment horizontal="center" vertical="center"/>
    </xf>
    <xf numFmtId="0" fontId="57" fillId="19" borderId="30" xfId="0" applyFont="1" applyFill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53" fillId="0" borderId="0" xfId="0" applyFont="1" applyAlignment="1">
      <alignment horizontal="center" textRotation="90" wrapText="1"/>
    </xf>
    <xf numFmtId="0" fontId="66" fillId="17" borderId="0" xfId="0" applyFont="1" applyFill="1" applyAlignment="1">
      <alignment horizontal="center" vertical="center"/>
    </xf>
    <xf numFmtId="0" fontId="67" fillId="17" borderId="0" xfId="0" applyFont="1" applyFill="1" applyAlignment="1">
      <alignment horizontal="center" vertical="center"/>
    </xf>
    <xf numFmtId="0" fontId="12" fillId="18" borderId="0" xfId="0" applyFont="1" applyFill="1" applyAlignment="1">
      <alignment horizontal="center" vertical="center"/>
    </xf>
    <xf numFmtId="0" fontId="39" fillId="15" borderId="30" xfId="0" applyFont="1" applyFill="1" applyBorder="1" applyAlignment="1">
      <alignment horizontal="center" vertical="center"/>
    </xf>
    <xf numFmtId="0" fontId="62" fillId="9" borderId="7" xfId="0" applyFont="1" applyFill="1" applyBorder="1" applyAlignment="1">
      <alignment horizontal="center" vertical="center"/>
    </xf>
    <xf numFmtId="0" fontId="62" fillId="9" borderId="9" xfId="0" applyFont="1" applyFill="1" applyBorder="1" applyAlignment="1">
      <alignment horizontal="center" vertical="center"/>
    </xf>
    <xf numFmtId="0" fontId="62" fillId="16" borderId="7" xfId="0" applyFont="1" applyFill="1" applyBorder="1" applyAlignment="1">
      <alignment horizontal="center" vertical="center"/>
    </xf>
    <xf numFmtId="0" fontId="62" fillId="16" borderId="8" xfId="0" applyFont="1" applyFill="1" applyBorder="1" applyAlignment="1">
      <alignment horizontal="center" vertical="center"/>
    </xf>
    <xf numFmtId="0" fontId="62" fillId="16" borderId="9" xfId="0" applyFont="1" applyFill="1" applyBorder="1" applyAlignment="1">
      <alignment horizontal="center" vertical="center"/>
    </xf>
    <xf numFmtId="0" fontId="62" fillId="20" borderId="7" xfId="0" applyFont="1" applyFill="1" applyBorder="1" applyAlignment="1">
      <alignment horizontal="center" vertical="center"/>
    </xf>
    <xf numFmtId="0" fontId="62" fillId="20" borderId="8" xfId="0" applyFont="1" applyFill="1" applyBorder="1" applyAlignment="1">
      <alignment horizontal="center" vertical="center"/>
    </xf>
    <xf numFmtId="0" fontId="62" fillId="20" borderId="9" xfId="0" applyFont="1" applyFill="1" applyBorder="1" applyAlignment="1">
      <alignment horizontal="center" vertical="center"/>
    </xf>
    <xf numFmtId="0" fontId="62" fillId="22" borderId="4" xfId="0" applyFont="1" applyFill="1" applyBorder="1" applyAlignment="1">
      <alignment horizontal="center" vertical="center"/>
    </xf>
    <xf numFmtId="0" fontId="62" fillId="22" borderId="5" xfId="0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25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5" fillId="19" borderId="0" xfId="0" applyFont="1" applyFill="1" applyAlignment="1">
      <alignment horizontal="center" vertical="center" textRotation="90"/>
    </xf>
    <xf numFmtId="0" fontId="10" fillId="0" borderId="6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25" fillId="16" borderId="0" xfId="0" applyFont="1" applyFill="1" applyAlignment="1">
      <alignment horizontal="center" vertical="center" textRotation="90"/>
    </xf>
    <xf numFmtId="0" fontId="25" fillId="9" borderId="0" xfId="0" applyFont="1" applyFill="1" applyAlignment="1">
      <alignment horizontal="center" vertical="center" textRotation="90"/>
    </xf>
    <xf numFmtId="0" fontId="49" fillId="3" borderId="34" xfId="0" applyFont="1" applyFill="1" applyBorder="1" applyAlignment="1">
      <alignment horizontal="center" vertical="center"/>
    </xf>
    <xf numFmtId="0" fontId="49" fillId="3" borderId="35" xfId="0" applyFont="1" applyFill="1" applyBorder="1" applyAlignment="1">
      <alignment horizontal="center" vertical="center"/>
    </xf>
    <xf numFmtId="0" fontId="49" fillId="3" borderId="6" xfId="0" applyFont="1" applyFill="1" applyBorder="1" applyAlignment="1">
      <alignment horizontal="center" vertical="center"/>
    </xf>
    <xf numFmtId="0" fontId="49" fillId="3" borderId="37" xfId="0" applyFont="1" applyFill="1" applyBorder="1" applyAlignment="1">
      <alignment horizontal="center" vertical="center"/>
    </xf>
    <xf numFmtId="0" fontId="49" fillId="8" borderId="6" xfId="0" applyFont="1" applyFill="1" applyBorder="1" applyAlignment="1">
      <alignment horizontal="center" vertical="center"/>
    </xf>
    <xf numFmtId="0" fontId="49" fillId="8" borderId="37" xfId="0" applyFont="1" applyFill="1" applyBorder="1" applyAlignment="1">
      <alignment horizontal="center" vertical="center"/>
    </xf>
    <xf numFmtId="0" fontId="49" fillId="8" borderId="39" xfId="0" applyFont="1" applyFill="1" applyBorder="1" applyAlignment="1">
      <alignment horizontal="center" vertical="center"/>
    </xf>
    <xf numFmtId="0" fontId="49" fillId="8" borderId="40" xfId="0" applyFont="1" applyFill="1" applyBorder="1" applyAlignment="1">
      <alignment horizontal="center" vertical="center"/>
    </xf>
    <xf numFmtId="0" fontId="49" fillId="0" borderId="36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49" fillId="0" borderId="38" xfId="0" applyFont="1" applyBorder="1" applyAlignment="1">
      <alignment horizontal="center" vertical="center"/>
    </xf>
    <xf numFmtId="0" fontId="49" fillId="0" borderId="39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49" fillId="11" borderId="33" xfId="0" applyFont="1" applyFill="1" applyBorder="1" applyAlignment="1">
      <alignment horizontal="center" vertical="center"/>
    </xf>
    <xf numFmtId="0" fontId="49" fillId="11" borderId="34" xfId="0" applyFont="1" applyFill="1" applyBorder="1" applyAlignment="1">
      <alignment horizontal="center" vertical="center"/>
    </xf>
    <xf numFmtId="0" fontId="49" fillId="11" borderId="36" xfId="0" applyFont="1" applyFill="1" applyBorder="1" applyAlignment="1">
      <alignment horizontal="center" vertical="center"/>
    </xf>
    <xf numFmtId="0" fontId="49" fillId="11" borderId="6" xfId="0" applyFont="1" applyFill="1" applyBorder="1" applyAlignment="1">
      <alignment horizontal="center" vertical="center"/>
    </xf>
    <xf numFmtId="0" fontId="52" fillId="0" borderId="0" xfId="0" applyFont="1" applyAlignment="1">
      <alignment horizontal="center"/>
    </xf>
    <xf numFmtId="0" fontId="35" fillId="10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7" fillId="7" borderId="0" xfId="0" applyFont="1" applyFill="1" applyAlignment="1">
      <alignment horizontal="center" vertical="center" textRotation="90"/>
    </xf>
    <xf numFmtId="0" fontId="14" fillId="6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 textRotation="90"/>
    </xf>
    <xf numFmtId="0" fontId="35" fillId="8" borderId="0" xfId="0" applyFont="1" applyFill="1" applyAlignment="1">
      <alignment horizontal="center"/>
    </xf>
    <xf numFmtId="0" fontId="34" fillId="8" borderId="0" xfId="0" applyFont="1" applyFill="1" applyAlignment="1">
      <alignment horizontal="center"/>
    </xf>
    <xf numFmtId="0" fontId="20" fillId="3" borderId="0" xfId="0" applyFont="1" applyFill="1" applyAlignment="1">
      <alignment horizontal="center" vertical="center" textRotation="90" wrapText="1"/>
    </xf>
    <xf numFmtId="0" fontId="8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15</xdr:col>
      <xdr:colOff>533086</xdr:colOff>
      <xdr:row>86</xdr:row>
      <xdr:rowOff>153758</xdr:rowOff>
    </xdr:from>
    <xdr:to>
      <xdr:col>21</xdr:col>
      <xdr:colOff>607302</xdr:colOff>
      <xdr:row>98</xdr:row>
      <xdr:rowOff>106271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27777" y="18027832"/>
          <a:ext cx="4668167" cy="251886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409662</xdr:colOff>
      <xdr:row>70</xdr:row>
      <xdr:rowOff>20553</xdr:rowOff>
    </xdr:from>
    <xdr:to>
      <xdr:col>12</xdr:col>
      <xdr:colOff>264358</xdr:colOff>
      <xdr:row>83</xdr:row>
      <xdr:rowOff>16161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3736" y="14460923"/>
          <a:ext cx="4742849" cy="2748395"/>
        </a:xfrm>
        <a:prstGeom prst="rect">
          <a:avLst/>
        </a:prstGeom>
      </xdr:spPr>
    </xdr:pic>
    <xdr:clientData/>
  </xdr:twoCellAnchor>
  <xdr:twoCellAnchor editAs="oneCell">
    <xdr:from>
      <xdr:col>0</xdr:col>
      <xdr:colOff>610025</xdr:colOff>
      <xdr:row>144</xdr:row>
      <xdr:rowOff>125945</xdr:rowOff>
    </xdr:from>
    <xdr:to>
      <xdr:col>8</xdr:col>
      <xdr:colOff>718879</xdr:colOff>
      <xdr:row>152</xdr:row>
      <xdr:rowOff>148381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0025" y="29656113"/>
          <a:ext cx="7408686" cy="1559242"/>
        </a:xfrm>
        <a:prstGeom prst="rect">
          <a:avLst/>
        </a:prstGeom>
      </xdr:spPr>
    </xdr:pic>
    <xdr:clientData/>
  </xdr:twoCellAnchor>
  <xdr:twoCellAnchor editAs="oneCell">
    <xdr:from>
      <xdr:col>7</xdr:col>
      <xdr:colOff>344939</xdr:colOff>
      <xdr:row>120</xdr:row>
      <xdr:rowOff>62715</xdr:rowOff>
    </xdr:from>
    <xdr:to>
      <xdr:col>13</xdr:col>
      <xdr:colOff>1020971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9013" y="25290246"/>
          <a:ext cx="6832600" cy="279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862347</xdr:colOff>
      <xdr:row>78</xdr:row>
      <xdr:rowOff>56042</xdr:rowOff>
    </xdr:from>
    <xdr:to>
      <xdr:col>5</xdr:col>
      <xdr:colOff>972099</xdr:colOff>
      <xdr:row>87</xdr:row>
      <xdr:rowOff>90600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347" y="16174067"/>
          <a:ext cx="4797777" cy="1961758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376297</xdr:colOff>
      <xdr:row>120</xdr:row>
      <xdr:rowOff>62716</xdr:rowOff>
    </xdr:from>
    <xdr:to>
      <xdr:col>20</xdr:col>
      <xdr:colOff>7004</xdr:colOff>
      <xdr:row>137</xdr:row>
      <xdr:rowOff>121512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75927" y="25290247"/>
          <a:ext cx="5400582" cy="3320030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35</xdr:col>
      <xdr:colOff>64033</xdr:colOff>
      <xdr:row>69</xdr:row>
      <xdr:rowOff>164889</xdr:rowOff>
    </xdr:from>
    <xdr:to>
      <xdr:col>44</xdr:col>
      <xdr:colOff>522942</xdr:colOff>
      <xdr:row>92</xdr:row>
      <xdr:rowOff>4255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871680" y="14326990"/>
          <a:ext cx="6531429" cy="4631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270</xdr:row>
      <xdr:rowOff>209297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575381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188209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44937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226962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222</xdr:row>
      <xdr:rowOff>1672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585527</xdr:colOff>
      <xdr:row>265</xdr:row>
      <xdr:rowOff>29217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2" Type="http://schemas.openxmlformats.org/officeDocument/2006/relationships/hyperlink" Target="https://www.ispatguru.com/calcination-of-limestone/" TargetMode="External"/><Relationship Id="rId1" Type="http://schemas.openxmlformats.org/officeDocument/2006/relationships/hyperlink" Target="https://www.economics.utoronto.ca/munro5/BlastFurnaceHydraulic.pdf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www.ispatguru.com/coke-oven-gas-generation-and-usag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www.kanadevia-inova.com/renewable-gas/liquefaction/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dmre.gov.za/Portals/0/Energy_Website/files/media/explained/statistics_energyoutlook_2002.pdf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ispatguru.com/calcination-of-limestone/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H70"/>
  <sheetViews>
    <sheetView topLeftCell="A16" zoomScale="173" workbookViewId="0">
      <selection activeCell="F42" sqref="F42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22" t="s">
        <v>102</v>
      </c>
      <c r="S2" s="323"/>
      <c r="T2" s="322" t="s">
        <v>108</v>
      </c>
      <c r="U2" s="323"/>
      <c r="W2" s="324" t="s">
        <v>233</v>
      </c>
      <c r="X2" s="324"/>
      <c r="Y2" s="13" t="s">
        <v>52</v>
      </c>
      <c r="AB2" s="3" t="s">
        <v>342</v>
      </c>
      <c r="AH2" s="3" t="s">
        <v>418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343</v>
      </c>
      <c r="AG3" s="13" t="s">
        <v>65</v>
      </c>
      <c r="AH3" s="209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343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445</v>
      </c>
      <c r="AA5" s="61" t="s">
        <v>470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487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471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308</v>
      </c>
      <c r="J12" s="13">
        <v>794.3</v>
      </c>
      <c r="Q12" s="325" t="s">
        <v>382</v>
      </c>
      <c r="R12" s="325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311</v>
      </c>
      <c r="J13" s="13">
        <v>124.2</v>
      </c>
      <c r="Q13" s="128" t="s">
        <v>319</v>
      </c>
      <c r="R13" s="13" t="s">
        <v>383</v>
      </c>
      <c r="S13" s="13" t="s">
        <v>33</v>
      </c>
      <c r="T13" s="13" t="s">
        <v>34</v>
      </c>
      <c r="U13" s="13" t="s">
        <v>35</v>
      </c>
      <c r="V13" s="13" t="s">
        <v>390</v>
      </c>
      <c r="W13" s="13" t="s">
        <v>36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309</v>
      </c>
      <c r="J14" s="13">
        <v>629.6</v>
      </c>
      <c r="Q14" s="13" t="s">
        <v>98</v>
      </c>
      <c r="R14" s="13" t="s">
        <v>343</v>
      </c>
      <c r="S14" s="13" t="s">
        <v>98</v>
      </c>
      <c r="T14" s="13" t="s">
        <v>98</v>
      </c>
      <c r="U14" s="13" t="s">
        <v>98</v>
      </c>
      <c r="V14" s="13" t="s">
        <v>343</v>
      </c>
      <c r="W14" s="13" t="s">
        <v>98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310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  <c r="W15" s="13">
        <v>9417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  <c r="Q16" s="326" t="s">
        <v>680</v>
      </c>
      <c r="R16" s="326"/>
    </row>
    <row r="17" spans="2:17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315</v>
      </c>
      <c r="J17" s="13">
        <v>366.5</v>
      </c>
      <c r="Q17" s="13" t="s">
        <v>383</v>
      </c>
    </row>
    <row r="18" spans="2:17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  <c r="Q18" s="13" t="s">
        <v>343</v>
      </c>
    </row>
    <row r="19" spans="2:17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  <c r="Q19" s="13">
        <v>33412</v>
      </c>
    </row>
    <row r="20" spans="2:17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7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7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7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7" ht="17" x14ac:dyDescent="0.25">
      <c r="B24" s="4" t="s">
        <v>306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7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7" ht="17" x14ac:dyDescent="0.25">
      <c r="B26" s="4" t="s">
        <v>307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7" ht="17" x14ac:dyDescent="0.25">
      <c r="B27" s="4" t="s">
        <v>312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7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7" ht="17" x14ac:dyDescent="0.25">
      <c r="B29" s="4" t="s">
        <v>320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7" ht="16" x14ac:dyDescent="0.2">
      <c r="B30" s="4" t="s">
        <v>360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7" ht="17" x14ac:dyDescent="0.25">
      <c r="B31" s="4" t="s">
        <v>364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7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1:7" ht="17" x14ac:dyDescent="0.25">
      <c r="B33" s="3" t="s">
        <v>365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1:7" ht="17" x14ac:dyDescent="0.25">
      <c r="B34" s="4" t="s">
        <v>366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1:7" ht="17" x14ac:dyDescent="0.25">
      <c r="B35" s="3" t="s">
        <v>367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1:7" ht="17" x14ac:dyDescent="0.25">
      <c r="B36" s="4" t="s">
        <v>368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1:7" ht="16" x14ac:dyDescent="0.2">
      <c r="B37" s="4" t="s">
        <v>369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1:7" ht="17" x14ac:dyDescent="0.25">
      <c r="B38" s="4" t="s">
        <v>370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1:7" ht="17" x14ac:dyDescent="0.25">
      <c r="B39" s="4" t="s">
        <v>470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1:7" ht="17" x14ac:dyDescent="0.25">
      <c r="B40" s="4" t="s">
        <v>471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1:7" ht="17" x14ac:dyDescent="0.25">
      <c r="B41" s="4" t="s">
        <v>487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1:7" ht="17" x14ac:dyDescent="0.25">
      <c r="A42" s="3" t="s">
        <v>667</v>
      </c>
      <c r="B42" s="3" t="s">
        <v>654</v>
      </c>
      <c r="C42" s="13">
        <v>223.7</v>
      </c>
      <c r="D42" s="13">
        <f>MW_C*10 + MW_H*8</f>
        <v>0.12817351999999999</v>
      </c>
      <c r="E42" s="13">
        <f>C42+(8*b_ch_H2)+(10*J5)</f>
        <v>6215.5</v>
      </c>
      <c r="F42" s="13">
        <v>78.5</v>
      </c>
      <c r="G42" s="19">
        <f>F42/D42</f>
        <v>612.45099611838714</v>
      </c>
    </row>
    <row r="43" spans="1:7" ht="17" x14ac:dyDescent="0.25">
      <c r="A43" s="3" t="s">
        <v>670</v>
      </c>
      <c r="B43" s="3" t="s">
        <v>655</v>
      </c>
      <c r="C43" s="13">
        <v>383.08</v>
      </c>
      <c r="D43" s="13">
        <f>MW_C*14 + MW_H*10</f>
        <v>0.17823339999999999</v>
      </c>
      <c r="E43" s="13">
        <f>C43+(10*b_ch_H2)+(14*$J$5)</f>
        <v>8488.2799999999988</v>
      </c>
      <c r="F43" s="13">
        <v>207</v>
      </c>
      <c r="G43" s="19">
        <f t="shared" ref="G43:G49" si="0">F43/D43</f>
        <v>1161.3984808683447</v>
      </c>
    </row>
    <row r="44" spans="1:7" ht="17" x14ac:dyDescent="0.25">
      <c r="A44" s="3" t="s">
        <v>671</v>
      </c>
      <c r="B44" s="3" t="s">
        <v>656</v>
      </c>
      <c r="C44" s="13">
        <v>491.18</v>
      </c>
      <c r="D44" s="13">
        <f>MW_C*16 + MW_H*10</f>
        <v>0.20225539999999997</v>
      </c>
      <c r="E44" s="13">
        <f>C44+(10*b_ch_H2)+(16*$J$5)</f>
        <v>9416.98</v>
      </c>
      <c r="F44" s="13">
        <v>-7917.8</v>
      </c>
      <c r="G44" s="19">
        <f t="shared" si="0"/>
        <v>-39147.533267344166</v>
      </c>
    </row>
    <row r="45" spans="1:7" ht="17" x14ac:dyDescent="0.25">
      <c r="A45" s="3" t="s">
        <v>669</v>
      </c>
      <c r="B45" s="3" t="s">
        <v>668</v>
      </c>
      <c r="C45" s="13">
        <v>544.96</v>
      </c>
      <c r="D45" s="13">
        <f>MW_C*24 + MW_H*26</f>
        <v>0.31447043999999996</v>
      </c>
      <c r="E45" s="13">
        <f>C45+(26*b_ch_H2)+(24*$J$5)</f>
        <v>16530.760000000002</v>
      </c>
      <c r="F45" s="13">
        <v>162.21</v>
      </c>
      <c r="G45" s="19">
        <f t="shared" si="0"/>
        <v>515.81954729989889</v>
      </c>
    </row>
    <row r="46" spans="1:7" ht="17" x14ac:dyDescent="0.25">
      <c r="A46" s="3" t="s">
        <v>672</v>
      </c>
      <c r="B46" s="3" t="s">
        <v>675</v>
      </c>
      <c r="C46" s="13">
        <v>330.52</v>
      </c>
      <c r="D46" s="13">
        <f>MW_C*12 + MW_H*10</f>
        <v>0.1542114</v>
      </c>
      <c r="E46" s="13">
        <f>C46+(10*b_ch_H2)+(12*$J$5)</f>
        <v>7615.1200000000008</v>
      </c>
      <c r="F46" s="13">
        <v>71</v>
      </c>
      <c r="G46" s="19">
        <f t="shared" si="0"/>
        <v>460.40694786507356</v>
      </c>
    </row>
    <row r="47" spans="1:7" ht="17" x14ac:dyDescent="0.25">
      <c r="A47" s="3" t="s">
        <v>673</v>
      </c>
      <c r="B47" s="3" t="s">
        <v>677</v>
      </c>
      <c r="C47" s="13">
        <v>356.8</v>
      </c>
      <c r="D47" s="13">
        <f>MW_C*13 + MW_H*10</f>
        <v>0.16622239999999999</v>
      </c>
      <c r="E47" s="13">
        <f>C47+(10*b_ch_H2)+(13*$J$5)</f>
        <v>8051.7000000000007</v>
      </c>
      <c r="F47" s="13">
        <v>166.9</v>
      </c>
      <c r="G47" s="19">
        <f t="shared" si="0"/>
        <v>1004.0764662283784</v>
      </c>
    </row>
    <row r="48" spans="1:7" ht="17" x14ac:dyDescent="0.25">
      <c r="A48" s="3" t="s">
        <v>674</v>
      </c>
      <c r="B48" s="4" t="s">
        <v>678</v>
      </c>
      <c r="C48" s="13">
        <v>513.78</v>
      </c>
      <c r="D48" s="13">
        <f>MW_C*18 + MW_H*12</f>
        <v>0.22829327999999999</v>
      </c>
      <c r="E48" s="13">
        <f>C48+(12*b_ch_H2)+(18*$J$5)</f>
        <v>10732.380000000001</v>
      </c>
      <c r="F48" s="13">
        <v>268.7</v>
      </c>
      <c r="G48" s="19">
        <f t="shared" si="0"/>
        <v>1176.9947849538103</v>
      </c>
    </row>
    <row r="49" spans="2:7" ht="18" x14ac:dyDescent="0.25">
      <c r="B49" s="1" t="s">
        <v>695</v>
      </c>
      <c r="C49" s="13">
        <v>-300.10000000000002</v>
      </c>
      <c r="D49" s="13">
        <f>MW_S+MW_O2</f>
        <v>6.4064800000000005E-2</v>
      </c>
      <c r="E49" s="13">
        <f>C49+(J16+J9)</f>
        <v>311.19999999999993</v>
      </c>
      <c r="F49" s="13">
        <v>-296.8</v>
      </c>
      <c r="G49" s="19">
        <f t="shared" si="0"/>
        <v>-4632.8092806033892</v>
      </c>
    </row>
    <row r="50" spans="2:7" ht="16" x14ac:dyDescent="0.2">
      <c r="G50" s="1"/>
    </row>
    <row r="51" spans="2:7" ht="16" x14ac:dyDescent="0.2">
      <c r="G51" s="1"/>
    </row>
    <row r="52" spans="2:7" ht="16" x14ac:dyDescent="0.2">
      <c r="G52" s="1"/>
    </row>
    <row r="53" spans="2:7" ht="16" x14ac:dyDescent="0.2">
      <c r="G53" s="1"/>
    </row>
    <row r="54" spans="2:7" x14ac:dyDescent="0.2">
      <c r="B54" s="4"/>
    </row>
    <row r="55" spans="2:7" x14ac:dyDescent="0.2">
      <c r="B55" s="3" t="s">
        <v>107</v>
      </c>
    </row>
    <row r="56" spans="2:7" ht="17" x14ac:dyDescent="0.25">
      <c r="B56" s="13" t="s">
        <v>54</v>
      </c>
      <c r="C56" s="3" t="s">
        <v>124</v>
      </c>
    </row>
    <row r="57" spans="2:7" ht="17" x14ac:dyDescent="0.25">
      <c r="B57" s="13" t="s">
        <v>54</v>
      </c>
      <c r="C57" s="16" t="s">
        <v>371</v>
      </c>
    </row>
    <row r="58" spans="2:7" ht="18" x14ac:dyDescent="0.25">
      <c r="B58" s="19" t="s">
        <v>6</v>
      </c>
      <c r="C58" s="16" t="s">
        <v>359</v>
      </c>
    </row>
    <row r="59" spans="2:7" ht="18" x14ac:dyDescent="0.25">
      <c r="B59" s="19" t="s">
        <v>6</v>
      </c>
      <c r="C59" s="3" t="s">
        <v>128</v>
      </c>
    </row>
    <row r="60" spans="2:7" ht="17" x14ac:dyDescent="0.25">
      <c r="B60" s="13" t="s">
        <v>172</v>
      </c>
      <c r="C60" s="3" t="s">
        <v>173</v>
      </c>
    </row>
    <row r="61" spans="2:7" x14ac:dyDescent="0.2">
      <c r="B61" s="13" t="s">
        <v>342</v>
      </c>
      <c r="C61" s="16" t="s">
        <v>344</v>
      </c>
    </row>
    <row r="62" spans="2:7" x14ac:dyDescent="0.2">
      <c r="B62" s="13" t="s">
        <v>5</v>
      </c>
      <c r="C62" s="16" t="s">
        <v>356</v>
      </c>
    </row>
    <row r="63" spans="2:7" x14ac:dyDescent="0.2">
      <c r="B63" s="13" t="s">
        <v>383</v>
      </c>
      <c r="C63" s="16" t="s">
        <v>641</v>
      </c>
    </row>
    <row r="64" spans="2:7" x14ac:dyDescent="0.2">
      <c r="B64" s="128" t="s">
        <v>388</v>
      </c>
      <c r="C64" s="3" t="s">
        <v>391</v>
      </c>
    </row>
    <row r="65" spans="2:3" x14ac:dyDescent="0.2">
      <c r="B65" s="13" t="s">
        <v>398</v>
      </c>
      <c r="C65" s="3" t="s">
        <v>335</v>
      </c>
    </row>
    <row r="66" spans="2:3" x14ac:dyDescent="0.2">
      <c r="B66" s="13" t="s">
        <v>481</v>
      </c>
      <c r="C66" s="3" t="s">
        <v>482</v>
      </c>
    </row>
    <row r="67" spans="2:3" ht="17" x14ac:dyDescent="0.25">
      <c r="B67" s="13" t="s">
        <v>473</v>
      </c>
      <c r="C67" s="3" t="s">
        <v>472</v>
      </c>
    </row>
    <row r="68" spans="2:3" x14ac:dyDescent="0.2">
      <c r="B68" s="13" t="s">
        <v>40</v>
      </c>
      <c r="C68" s="3" t="s">
        <v>635</v>
      </c>
    </row>
    <row r="69" spans="2:3" x14ac:dyDescent="0.2">
      <c r="B69" s="13" t="s">
        <v>639</v>
      </c>
      <c r="C69" s="3" t="s">
        <v>638</v>
      </c>
    </row>
    <row r="70" spans="2:3" x14ac:dyDescent="0.2">
      <c r="B70" s="3" t="s">
        <v>653</v>
      </c>
      <c r="C70" s="3" t="s">
        <v>676</v>
      </c>
    </row>
  </sheetData>
  <sortState xmlns:xlrd2="http://schemas.microsoft.com/office/spreadsheetml/2017/richdata2" ref="I6:I10">
    <sortCondition ref="I5:I10"/>
  </sortState>
  <mergeCells count="5">
    <mergeCell ref="R2:S2"/>
    <mergeCell ref="T2:U2"/>
    <mergeCell ref="W2:X2"/>
    <mergeCell ref="Q12:R12"/>
    <mergeCell ref="Q16:R16"/>
  </mergeCells>
  <hyperlinks>
    <hyperlink ref="C58" r:id="rId1" xr:uid="{EFF8D2A8-239F-2043-B8CA-C9000BCE2862}"/>
    <hyperlink ref="C62" r:id="rId2" xr:uid="{A42C34EB-8A73-004F-8263-89538BA10B3D}"/>
    <hyperlink ref="C57" r:id="rId3" xr:uid="{12EAAE34-9BE8-0946-91A8-7A77554A47C1}"/>
    <hyperlink ref="C61" r:id="rId4" xr:uid="{86248BC1-AC01-E24C-A388-A2BFA867ED1B}"/>
    <hyperlink ref="C63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602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88" t="s">
        <v>592</v>
      </c>
      <c r="E3" s="3" t="s">
        <v>591</v>
      </c>
      <c r="F3" s="288" t="s">
        <v>586</v>
      </c>
      <c r="G3" s="288" t="s">
        <v>594</v>
      </c>
      <c r="H3" s="3" t="s">
        <v>595</v>
      </c>
      <c r="I3" s="288" t="s">
        <v>596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603</v>
      </c>
      <c r="V3" s="3" t="s">
        <v>604</v>
      </c>
    </row>
    <row r="4" spans="2:22" x14ac:dyDescent="0.2">
      <c r="B4" s="3"/>
      <c r="C4" s="169" t="s">
        <v>575</v>
      </c>
      <c r="D4" s="13" t="s">
        <v>593</v>
      </c>
      <c r="E4" s="13" t="s">
        <v>63</v>
      </c>
      <c r="F4" s="13" t="s">
        <v>343</v>
      </c>
      <c r="G4" s="13" t="s">
        <v>593</v>
      </c>
      <c r="H4" s="13" t="s">
        <v>98</v>
      </c>
      <c r="I4" s="13" t="s">
        <v>593</v>
      </c>
      <c r="J4" s="13" t="s">
        <v>343</v>
      </c>
      <c r="K4" s="13" t="s">
        <v>58</v>
      </c>
      <c r="L4" s="3"/>
      <c r="M4" s="3"/>
      <c r="N4" s="3"/>
      <c r="O4" s="3"/>
      <c r="P4" s="3"/>
      <c r="Q4" s="3"/>
      <c r="T4" s="169" t="s">
        <v>575</v>
      </c>
      <c r="U4" s="13" t="s">
        <v>58</v>
      </c>
      <c r="V4" s="13" t="s">
        <v>58</v>
      </c>
    </row>
    <row r="5" spans="2:22" ht="15" customHeight="1" x14ac:dyDescent="0.2">
      <c r="B5" s="327" t="s">
        <v>569</v>
      </c>
      <c r="C5" s="3" t="s">
        <v>574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574</v>
      </c>
      <c r="U5" s="3">
        <f>K5</f>
        <v>-9.8484726160779719</v>
      </c>
      <c r="V5">
        <f>K15</f>
        <v>880.83108552905367</v>
      </c>
    </row>
    <row r="6" spans="2:22" ht="18" x14ac:dyDescent="0.25">
      <c r="B6" s="327"/>
      <c r="C6" s="3"/>
      <c r="D6" s="3" t="s">
        <v>54</v>
      </c>
      <c r="E6" s="1" t="s">
        <v>579</v>
      </c>
      <c r="F6" s="1" t="s">
        <v>580</v>
      </c>
      <c r="G6" s="1" t="s">
        <v>581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577</v>
      </c>
      <c r="U6" s="3">
        <f>H8</f>
        <v>831.8</v>
      </c>
      <c r="V6" s="3">
        <f>H18</f>
        <v>831.8</v>
      </c>
    </row>
    <row r="7" spans="2:22" ht="16" x14ac:dyDescent="0.2">
      <c r="B7" s="327"/>
      <c r="C7" s="3"/>
      <c r="D7" s="13" t="s">
        <v>58</v>
      </c>
      <c r="E7" s="292" t="s">
        <v>58</v>
      </c>
      <c r="F7" s="292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576</v>
      </c>
      <c r="U7" s="3">
        <f>Q11</f>
        <v>-293.51452993154498</v>
      </c>
      <c r="V7">
        <f>P21</f>
        <v>-2123.0450060933322</v>
      </c>
    </row>
    <row r="8" spans="2:22" x14ac:dyDescent="0.2">
      <c r="B8" s="327"/>
      <c r="C8" s="3" t="s">
        <v>577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7"/>
      <c r="C9" s="3"/>
      <c r="D9" s="3" t="s">
        <v>40</v>
      </c>
      <c r="E9" s="3" t="s">
        <v>571</v>
      </c>
      <c r="F9" s="3" t="s">
        <v>572</v>
      </c>
      <c r="G9" s="288" t="s">
        <v>583</v>
      </c>
      <c r="H9" s="288" t="s">
        <v>584</v>
      </c>
      <c r="I9" s="3" t="s">
        <v>585</v>
      </c>
      <c r="J9" s="288" t="s">
        <v>586</v>
      </c>
      <c r="K9" s="288" t="s">
        <v>587</v>
      </c>
      <c r="L9" s="288" t="s">
        <v>101</v>
      </c>
      <c r="M9" s="288" t="s">
        <v>588</v>
      </c>
      <c r="N9" s="288" t="s">
        <v>589</v>
      </c>
      <c r="O9" s="3" t="s">
        <v>54</v>
      </c>
      <c r="P9" s="288" t="s">
        <v>590</v>
      </c>
      <c r="Q9" s="288" t="s">
        <v>34</v>
      </c>
    </row>
    <row r="10" spans="2:22" ht="17" x14ac:dyDescent="0.25">
      <c r="B10" s="327"/>
      <c r="C10" s="3"/>
      <c r="D10" s="13" t="s">
        <v>605</v>
      </c>
      <c r="E10" s="13" t="s">
        <v>240</v>
      </c>
      <c r="F10" s="13" t="s">
        <v>240</v>
      </c>
      <c r="G10" s="13" t="s">
        <v>479</v>
      </c>
      <c r="H10" s="13" t="s">
        <v>479</v>
      </c>
      <c r="I10" s="13" t="s">
        <v>240</v>
      </c>
      <c r="J10" s="13" t="s">
        <v>479</v>
      </c>
      <c r="K10" s="13" t="s">
        <v>480</v>
      </c>
      <c r="L10" s="13" t="s">
        <v>480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603</v>
      </c>
      <c r="V10" s="3" t="s">
        <v>604</v>
      </c>
    </row>
    <row r="11" spans="2:22" x14ac:dyDescent="0.2">
      <c r="B11" s="327"/>
      <c r="C11" s="3" t="s">
        <v>576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69" t="s">
        <v>575</v>
      </c>
      <c r="U11" s="13" t="s">
        <v>58</v>
      </c>
      <c r="V11" s="13" t="s">
        <v>58</v>
      </c>
    </row>
    <row r="12" spans="2:22" x14ac:dyDescent="0.2">
      <c r="S12" s="328" t="s">
        <v>606</v>
      </c>
      <c r="T12" s="13" t="s">
        <v>574</v>
      </c>
      <c r="U12" s="236" t="s">
        <v>460</v>
      </c>
      <c r="V12" s="236">
        <v>880.83</v>
      </c>
    </row>
    <row r="13" spans="2:22" x14ac:dyDescent="0.2">
      <c r="B13" s="236"/>
      <c r="C13" s="236"/>
      <c r="D13" s="236" t="s">
        <v>573</v>
      </c>
      <c r="E13" s="236" t="s">
        <v>571</v>
      </c>
      <c r="F13" s="236" t="s">
        <v>572</v>
      </c>
      <c r="G13" s="236" t="s">
        <v>33</v>
      </c>
      <c r="H13" s="236" t="s">
        <v>34</v>
      </c>
      <c r="I13" s="289" t="s">
        <v>319</v>
      </c>
      <c r="J13" s="289" t="s">
        <v>342</v>
      </c>
      <c r="K13" s="289" t="s">
        <v>34</v>
      </c>
      <c r="L13" s="236"/>
      <c r="M13" s="236"/>
      <c r="N13" s="236"/>
      <c r="O13" s="236"/>
      <c r="P13" s="236"/>
      <c r="S13" s="328"/>
      <c r="T13" s="13" t="s">
        <v>577</v>
      </c>
      <c r="U13" s="236">
        <v>831.8</v>
      </c>
      <c r="V13" s="236">
        <f>U13</f>
        <v>831.8</v>
      </c>
    </row>
    <row r="14" spans="2:22" x14ac:dyDescent="0.2">
      <c r="B14" s="236"/>
      <c r="C14" s="236"/>
      <c r="D14" s="290" t="s">
        <v>11</v>
      </c>
      <c r="E14" s="290" t="s">
        <v>240</v>
      </c>
      <c r="F14" s="290" t="s">
        <v>240</v>
      </c>
      <c r="G14" s="290" t="s">
        <v>578</v>
      </c>
      <c r="H14" s="290" t="s">
        <v>578</v>
      </c>
      <c r="I14" s="290" t="s">
        <v>98</v>
      </c>
      <c r="J14" s="290" t="s">
        <v>343</v>
      </c>
      <c r="K14" s="290" t="s">
        <v>58</v>
      </c>
      <c r="L14" s="236"/>
      <c r="M14" s="236"/>
      <c r="N14" s="236"/>
      <c r="O14" s="236"/>
      <c r="P14" s="236"/>
      <c r="S14" s="328"/>
      <c r="T14" s="13" t="s">
        <v>576</v>
      </c>
      <c r="U14" s="236">
        <v>869.44899999999996</v>
      </c>
      <c r="V14" s="236">
        <v>858.81600000000003</v>
      </c>
    </row>
    <row r="15" spans="2:22" x14ac:dyDescent="0.2">
      <c r="B15" s="327" t="s">
        <v>570</v>
      </c>
      <c r="C15" s="236" t="s">
        <v>574</v>
      </c>
      <c r="D15" s="236">
        <f>Ore_to_PI!BR156</f>
        <v>20798.316475388398</v>
      </c>
      <c r="E15" s="236">
        <f>((MW_C*D15)/MW_CH4)/D15</f>
        <v>0.74868663496804777</v>
      </c>
      <c r="F15" s="236">
        <f>1-E15</f>
        <v>0.25131336503195223</v>
      </c>
      <c r="G15" s="236">
        <v>1.0401</v>
      </c>
      <c r="H15" s="236">
        <v>0.17280000000000001</v>
      </c>
      <c r="I15" s="236">
        <f>G15+(H15*(F15/E15))</f>
        <v>1.098104173507618</v>
      </c>
      <c r="J15" s="236">
        <f>LHV_CH4</f>
        <v>50000</v>
      </c>
      <c r="K15" s="236">
        <f>I15*J15*MW_CH4</f>
        <v>880.83108552905367</v>
      </c>
      <c r="L15" s="236"/>
      <c r="M15" s="236"/>
      <c r="N15" s="236"/>
      <c r="O15" s="236"/>
      <c r="P15" s="236"/>
    </row>
    <row r="16" spans="2:22" ht="18" x14ac:dyDescent="0.2">
      <c r="B16" s="327"/>
      <c r="C16" s="236"/>
      <c r="D16" s="236" t="s">
        <v>54</v>
      </c>
      <c r="E16" s="291" t="s">
        <v>579</v>
      </c>
      <c r="F16" s="291" t="s">
        <v>580</v>
      </c>
      <c r="G16" s="291" t="s">
        <v>581</v>
      </c>
      <c r="H16" s="236" t="s">
        <v>34</v>
      </c>
      <c r="I16" s="236"/>
      <c r="J16" s="236"/>
      <c r="K16" s="236"/>
      <c r="L16" s="236"/>
      <c r="M16" s="236"/>
      <c r="N16" s="236"/>
      <c r="O16" s="236"/>
      <c r="P16" s="236"/>
    </row>
    <row r="17" spans="2:16" ht="16" x14ac:dyDescent="0.2">
      <c r="B17" s="327"/>
      <c r="C17" s="236"/>
      <c r="D17" s="290" t="s">
        <v>58</v>
      </c>
      <c r="E17" s="292" t="s">
        <v>58</v>
      </c>
      <c r="F17" s="292" t="s">
        <v>58</v>
      </c>
      <c r="G17" s="292" t="s">
        <v>58</v>
      </c>
      <c r="H17" s="292" t="s">
        <v>58</v>
      </c>
      <c r="I17" s="236"/>
      <c r="J17" s="236"/>
      <c r="K17" s="236"/>
      <c r="L17" s="236"/>
      <c r="M17" s="236"/>
      <c r="N17" s="236"/>
      <c r="O17" s="236"/>
      <c r="P17" s="236"/>
    </row>
    <row r="18" spans="2:16" x14ac:dyDescent="0.2">
      <c r="B18" s="327"/>
      <c r="C18" s="236" t="s">
        <v>577</v>
      </c>
      <c r="D18" s="236">
        <f>D8</f>
        <v>-50.7</v>
      </c>
      <c r="E18" s="236">
        <f>b_ch_H2</f>
        <v>236.1</v>
      </c>
      <c r="F18" s="236">
        <f>F8</f>
        <v>410.3</v>
      </c>
      <c r="G18" s="236">
        <f>D18+(2*E18)+F18</f>
        <v>831.8</v>
      </c>
      <c r="H18" s="236">
        <f>G18</f>
        <v>831.8</v>
      </c>
      <c r="I18" s="236"/>
      <c r="J18" s="236"/>
      <c r="K18" s="236"/>
      <c r="L18" s="236"/>
      <c r="M18" s="236"/>
      <c r="N18" s="236"/>
      <c r="O18" s="236"/>
      <c r="P18" s="236"/>
    </row>
    <row r="19" spans="2:16" ht="19" x14ac:dyDescent="0.2">
      <c r="B19" s="327"/>
      <c r="C19" s="236"/>
      <c r="D19" s="236" t="s">
        <v>478</v>
      </c>
      <c r="E19" s="236" t="s">
        <v>478</v>
      </c>
      <c r="F19" s="293" t="s">
        <v>598</v>
      </c>
      <c r="G19" s="293" t="s">
        <v>599</v>
      </c>
      <c r="H19" s="293" t="s">
        <v>586</v>
      </c>
      <c r="I19" s="293" t="s">
        <v>596</v>
      </c>
      <c r="J19" s="293" t="s">
        <v>596</v>
      </c>
      <c r="K19" s="236" t="s">
        <v>40</v>
      </c>
      <c r="L19" s="293" t="s">
        <v>588</v>
      </c>
      <c r="M19" s="293" t="s">
        <v>589</v>
      </c>
      <c r="N19" s="293" t="s">
        <v>600</v>
      </c>
      <c r="O19" s="293" t="s">
        <v>601</v>
      </c>
      <c r="P19" s="293" t="s">
        <v>34</v>
      </c>
    </row>
    <row r="20" spans="2:16" x14ac:dyDescent="0.2">
      <c r="B20" s="327"/>
      <c r="C20" s="236"/>
      <c r="D20" s="290" t="s">
        <v>479</v>
      </c>
      <c r="E20" s="290" t="s">
        <v>58</v>
      </c>
      <c r="F20" s="290" t="s">
        <v>58</v>
      </c>
      <c r="G20" s="290" t="s">
        <v>58</v>
      </c>
      <c r="H20" s="290" t="s">
        <v>58</v>
      </c>
      <c r="I20" s="290" t="s">
        <v>480</v>
      </c>
      <c r="J20" s="290" t="s">
        <v>597</v>
      </c>
      <c r="K20" s="290" t="s">
        <v>582</v>
      </c>
      <c r="L20" s="290" t="s">
        <v>98</v>
      </c>
      <c r="M20" s="290" t="s">
        <v>98</v>
      </c>
      <c r="N20" s="290" t="s">
        <v>58</v>
      </c>
      <c r="O20" s="290" t="s">
        <v>58</v>
      </c>
      <c r="P20" s="290" t="s">
        <v>58</v>
      </c>
    </row>
    <row r="21" spans="2:16" x14ac:dyDescent="0.2">
      <c r="B21" s="327"/>
      <c r="C21" s="236" t="s">
        <v>576</v>
      </c>
      <c r="D21" s="236">
        <f>102720+(27360*D11)</f>
        <v>1406849.0553009105</v>
      </c>
      <c r="E21" s="236">
        <f>D21*cal_to_kJ</f>
        <v>5886.2564473790098</v>
      </c>
      <c r="F21" s="236">
        <f>-393.52</f>
        <v>-393.52</v>
      </c>
      <c r="G21" s="236">
        <f>-285830/1000</f>
        <v>-285.83</v>
      </c>
      <c r="H21" s="236">
        <f>E21+F21+((D11/2)*G21)</f>
        <v>-1319.3835796067215</v>
      </c>
      <c r="I21" s="236">
        <f>1.12+(4.4*D11)</f>
        <v>210.84835684663767</v>
      </c>
      <c r="J21" s="236">
        <f>I21*cal_to_kJ</f>
        <v>0.88218952504633208</v>
      </c>
      <c r="K21" s="236">
        <f>(12.011*4)/1.008</f>
        <v>47.662698412698411</v>
      </c>
      <c r="L21" s="236">
        <f>(4*F11)/E11</f>
        <v>1.3426892015652319</v>
      </c>
      <c r="M21" s="236">
        <f>(1*D21)/D21</f>
        <v>1</v>
      </c>
      <c r="N21" s="236">
        <f>((28898-(C2*10.3))+(1.987*C2*LN(4)))*cal_to_kJ</f>
        <v>111.49660903769009</v>
      </c>
      <c r="O21" s="236">
        <f>(94052-(C2*2.07))*cal_to_kJ</f>
        <v>390.93132662800002</v>
      </c>
      <c r="P21" s="236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548</v>
      </c>
    </row>
    <row r="33" spans="3:3" x14ac:dyDescent="0.2">
      <c r="C33" s="3" t="s">
        <v>549</v>
      </c>
    </row>
    <row r="34" spans="3:3" x14ac:dyDescent="0.2">
      <c r="C34" s="3" t="s">
        <v>533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4"/>
  <sheetViews>
    <sheetView topLeftCell="A72" zoomScale="138" zoomScaleNormal="83" workbookViewId="0">
      <selection activeCell="N92" sqref="N92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24" t="s">
        <v>125</v>
      </c>
      <c r="P10" s="324"/>
      <c r="Q10" s="324"/>
      <c r="R10" s="324"/>
      <c r="S10" s="324"/>
      <c r="T10" s="324"/>
      <c r="U10" s="324"/>
      <c r="V10" s="324" t="s">
        <v>125</v>
      </c>
      <c r="W10" s="324"/>
      <c r="X10" s="324"/>
      <c r="Y10" s="324"/>
      <c r="Z10" s="324"/>
      <c r="AA10" s="324"/>
      <c r="AB10" s="324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24" t="s">
        <v>305</v>
      </c>
      <c r="P11" s="324"/>
      <c r="Q11" s="324"/>
      <c r="R11" s="322"/>
      <c r="S11" s="323"/>
      <c r="T11" s="342" t="s">
        <v>304</v>
      </c>
      <c r="U11" s="343"/>
      <c r="V11" s="324" t="str">
        <f>_xlfn.CONCAT(E19," ",C19," ","+"," ",E21," ",C21," ","--&gt;"," ",E22," ",C22," ","+"," ",E20*E21," ",C20)</f>
        <v>1.5 C + 1.5 O2 --&gt; 1.5 CO2 + 5.64 N2</v>
      </c>
      <c r="W11" s="324"/>
      <c r="X11" s="324"/>
      <c r="Y11" s="324"/>
      <c r="Z11" s="324"/>
      <c r="AA11" s="324"/>
      <c r="AB11" s="324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24" t="s">
        <v>225</v>
      </c>
      <c r="P12" s="324"/>
      <c r="Q12" s="324"/>
      <c r="R12" s="322"/>
      <c r="S12" s="323"/>
      <c r="T12" s="324" t="s">
        <v>224</v>
      </c>
      <c r="U12" s="324"/>
      <c r="V12" s="324" t="str">
        <f>_xlfn.CONCAT(E25," ",C25," ","+"," ",E26," ",C26," ","--&gt;"," ",E27," ",C27)</f>
        <v>1.5 CO2 + 1.5 C --&gt; 3 CO</v>
      </c>
      <c r="W12" s="324"/>
      <c r="X12" s="324"/>
      <c r="Y12" s="324"/>
      <c r="Z12" s="324"/>
      <c r="AA12" s="324"/>
      <c r="AB12" s="324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24" t="s">
        <v>226</v>
      </c>
      <c r="P13" s="324"/>
      <c r="Q13" s="324"/>
      <c r="R13" s="322"/>
      <c r="S13" s="323"/>
      <c r="T13" s="342" t="s">
        <v>227</v>
      </c>
      <c r="U13" s="343"/>
      <c r="V13" s="324" t="str">
        <f>_xlfn.CONCAT(E29," ",C29," ","+"," ",E30," ",C30," ","--&gt;"," ",E31," ",C31," ","+"," ",E32," ",C32)</f>
        <v>1 Fe2O3 + 3 CO --&gt; 2 Fe + 3 CO2</v>
      </c>
      <c r="W13" s="324"/>
      <c r="X13" s="324"/>
      <c r="Y13" s="324"/>
      <c r="Z13" s="324"/>
      <c r="AA13" s="324"/>
      <c r="AB13" s="324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24"/>
      <c r="P14" s="324"/>
      <c r="Q14" s="324"/>
      <c r="R14" s="322"/>
      <c r="S14" s="323"/>
      <c r="T14" s="324"/>
      <c r="U14" s="324"/>
      <c r="V14" s="324" t="str">
        <f>_xlfn.CONCAT(E36," ",C36," ","--&gt;"," ",E37," ",C37," ","+"," ",E39," ",C39)</f>
        <v>1 CaCO3 --&gt; 1 CaO + 0.0624775822865075 MgO</v>
      </c>
      <c r="W14" s="324"/>
      <c r="X14" s="324"/>
      <c r="Y14" s="324"/>
      <c r="Z14" s="324"/>
      <c r="AA14" s="324"/>
      <c r="AB14" s="324"/>
    </row>
    <row r="15" spans="1:28" ht="17" x14ac:dyDescent="0.25">
      <c r="O15" s="324" t="s">
        <v>228</v>
      </c>
      <c r="P15" s="324"/>
      <c r="Q15" s="324"/>
      <c r="R15" s="322"/>
      <c r="S15" s="323"/>
      <c r="T15" s="324" t="s">
        <v>229</v>
      </c>
      <c r="U15" s="324"/>
      <c r="V15" s="324" t="str">
        <f>_xlfn.CONCAT(E41," ",C41," ","+"," ",E42," ",C42," ","--&gt;"," ",E43," ",C43)</f>
        <v>1 CaO + 1 SiO2 --&gt; 1 CaSiO3</v>
      </c>
      <c r="W15" s="324"/>
      <c r="X15" s="324"/>
      <c r="Y15" s="324"/>
      <c r="Z15" s="324"/>
      <c r="AA15" s="324"/>
      <c r="AB15" s="324"/>
    </row>
    <row r="16" spans="1:28" x14ac:dyDescent="0.2">
      <c r="L16" s="77" t="s">
        <v>403</v>
      </c>
      <c r="M16" s="83" t="s">
        <v>404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24" t="s">
        <v>331</v>
      </c>
      <c r="P17" s="324"/>
      <c r="Q17" s="324"/>
      <c r="R17" s="324"/>
      <c r="S17" s="324"/>
      <c r="T17" s="324"/>
      <c r="U17" s="324"/>
      <c r="V17" s="324" t="s">
        <v>125</v>
      </c>
      <c r="W17" s="324"/>
      <c r="X17" s="324"/>
      <c r="Y17" s="324"/>
      <c r="Z17" s="324"/>
      <c r="AA17" s="324"/>
      <c r="AB17" s="324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24" t="s">
        <v>332</v>
      </c>
      <c r="P18" s="324"/>
      <c r="Q18" s="324"/>
      <c r="R18" s="324"/>
      <c r="S18" s="324"/>
      <c r="T18" s="324" t="s">
        <v>333</v>
      </c>
      <c r="U18" s="322"/>
      <c r="V18" s="347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7"/>
      <c r="X18" s="347"/>
      <c r="Y18" s="347"/>
      <c r="Z18" s="347"/>
      <c r="AA18" s="347"/>
      <c r="AB18" s="347"/>
    </row>
    <row r="19" spans="1:28" ht="16" x14ac:dyDescent="0.2">
      <c r="B19" s="337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47"/>
      <c r="W19" s="347"/>
      <c r="X19" s="347"/>
      <c r="Y19" s="347"/>
      <c r="Z19" s="347"/>
      <c r="AA19" s="347"/>
      <c r="AB19" s="347"/>
    </row>
    <row r="20" spans="1:28" ht="18" x14ac:dyDescent="0.25">
      <c r="A20" s="1"/>
      <c r="B20" s="338"/>
      <c r="C20" s="91" t="s">
        <v>303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39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286</v>
      </c>
      <c r="M21" s="83" t="s">
        <v>23</v>
      </c>
    </row>
    <row r="22" spans="1:28" ht="17" x14ac:dyDescent="0.25">
      <c r="B22" s="340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41"/>
      <c r="C23" s="93" t="s">
        <v>303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44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285</v>
      </c>
    </row>
    <row r="26" spans="1:28" x14ac:dyDescent="0.2">
      <c r="B26" s="344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44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44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45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46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401</v>
      </c>
      <c r="O32" s="3" t="s">
        <v>402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31" t="s">
        <v>400</v>
      </c>
      <c r="C35" s="15" t="s">
        <v>327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309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32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44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37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37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44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44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26" t="s">
        <v>19</v>
      </c>
      <c r="C44" s="326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33" t="s">
        <v>348</v>
      </c>
      <c r="D47" s="333"/>
      <c r="E47" s="333"/>
      <c r="F47" s="333"/>
    </row>
    <row r="48" spans="2:23" x14ac:dyDescent="0.2">
      <c r="C48" s="334"/>
      <c r="D48" s="334"/>
      <c r="E48" s="334"/>
      <c r="F48" s="334"/>
      <c r="H48" s="324" t="s">
        <v>70</v>
      </c>
      <c r="I48" s="324"/>
      <c r="J48" s="324"/>
      <c r="K48" s="324"/>
      <c r="L48" s="324"/>
      <c r="M48" s="324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24" t="s">
        <v>74</v>
      </c>
      <c r="I49" s="324"/>
      <c r="J49" s="324"/>
      <c r="K49" s="13"/>
      <c r="L49" s="342" t="s">
        <v>355</v>
      </c>
      <c r="M49" s="343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30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30"/>
      <c r="J51" s="330"/>
      <c r="K51" s="330"/>
      <c r="L51" s="330"/>
      <c r="M51" s="330"/>
    </row>
    <row r="52" spans="1:17" ht="16.25" customHeight="1" x14ac:dyDescent="0.2">
      <c r="C52" s="7"/>
      <c r="H52" s="330"/>
      <c r="I52" s="330"/>
      <c r="J52" s="330"/>
      <c r="K52" s="330"/>
      <c r="L52" s="330"/>
      <c r="M52" s="330"/>
    </row>
    <row r="53" spans="1:17" ht="16.25" customHeight="1" x14ac:dyDescent="0.2"/>
    <row r="54" spans="1:17" ht="15.5" customHeight="1" x14ac:dyDescent="0.2"/>
    <row r="55" spans="1:17" ht="15.5" customHeight="1" x14ac:dyDescent="0.2">
      <c r="D55" s="304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419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419</v>
      </c>
    </row>
    <row r="59" spans="1:17" ht="17" x14ac:dyDescent="0.25">
      <c r="A59" s="116" t="s">
        <v>318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9.5057034220532327E-2</v>
      </c>
      <c r="G59" s="30" t="s">
        <v>33</v>
      </c>
      <c r="H59" s="52">
        <v>1</v>
      </c>
      <c r="J59" s="335" t="s">
        <v>628</v>
      </c>
      <c r="K59" s="31" t="s">
        <v>23</v>
      </c>
      <c r="L59" s="3">
        <f>M59*N59</f>
        <v>57055.628110035206</v>
      </c>
      <c r="M59" s="3">
        <f>MW_CO2</f>
        <v>4.4009800000000002E-2</v>
      </c>
      <c r="N59" s="3">
        <f>E59</f>
        <v>1296430.0703487678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29" t="s">
        <v>629</v>
      </c>
      <c r="B60" s="20" t="s">
        <v>24</v>
      </c>
      <c r="C60" s="3">
        <f>E60*D60</f>
        <v>82968.41307015231</v>
      </c>
      <c r="D60" s="3">
        <f>MW_O2</f>
        <v>3.1998800000000001E-2</v>
      </c>
      <c r="E60" s="3">
        <f>N59+(N60/2)</f>
        <v>2592860.1406975356</v>
      </c>
      <c r="F60" s="3">
        <f>E60/E62</f>
        <v>0.19011406844106465</v>
      </c>
      <c r="G60" s="30" t="s">
        <v>34</v>
      </c>
      <c r="H60" s="3">
        <v>1</v>
      </c>
      <c r="J60" s="336"/>
      <c r="K60" s="297" t="s">
        <v>627</v>
      </c>
      <c r="L60" s="3">
        <f>M60*N60</f>
        <v>46711.101435505501</v>
      </c>
      <c r="M60" s="3">
        <f>MW_H2O</f>
        <v>1.8015280000000002E-2</v>
      </c>
      <c r="N60" s="3">
        <f>2*E59</f>
        <v>2592860.1406975356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29"/>
      <c r="B61" s="39" t="s">
        <v>67</v>
      </c>
      <c r="C61" s="3">
        <f>D61*E61</f>
        <v>273107.73421029572</v>
      </c>
      <c r="D61" s="3">
        <f>MW_N2</f>
        <v>2.801348E-2</v>
      </c>
      <c r="E61" s="3">
        <f>E60*N2_molcoeff</f>
        <v>9749154.1290227324</v>
      </c>
      <c r="F61" s="3">
        <f>E61/E62</f>
        <v>0.71482889733840294</v>
      </c>
      <c r="G61" s="30" t="s">
        <v>206</v>
      </c>
      <c r="H61" s="71">
        <f>H60*3.76</f>
        <v>3.76</v>
      </c>
      <c r="J61" s="336"/>
      <c r="K61" s="39" t="s">
        <v>67</v>
      </c>
      <c r="L61" s="3">
        <f>C61</f>
        <v>273107.73421029572</v>
      </c>
      <c r="M61" s="3">
        <f>MW_N2</f>
        <v>2.801348E-2</v>
      </c>
      <c r="N61" s="3">
        <f>E61</f>
        <v>9749154.1290227324</v>
      </c>
      <c r="O61" s="3">
        <f>N61/N62</f>
        <v>0.71482889733840294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376874.46375583642</v>
      </c>
      <c r="D62" s="41">
        <f>SUM(D59:D61)</f>
        <v>7.605503999999999E-2</v>
      </c>
      <c r="E62" s="41">
        <f>SUM(E59:E61)</f>
        <v>13638444.340069037</v>
      </c>
      <c r="F62" s="40">
        <f>SUM(F59:F61)</f>
        <v>0.99999999999999989</v>
      </c>
      <c r="G62" s="17"/>
      <c r="H62" s="17"/>
      <c r="J62" s="336"/>
      <c r="K62" s="17" t="s">
        <v>19</v>
      </c>
      <c r="L62" s="40">
        <f>SUM(L59:L61)</f>
        <v>376874.46375583642</v>
      </c>
      <c r="M62" s="41">
        <f>SUM(M59:M61)</f>
        <v>9.0038560000000004E-2</v>
      </c>
      <c r="N62" s="41">
        <f>SUM(N59:N61)</f>
        <v>13638444.340069037</v>
      </c>
      <c r="O62" s="40">
        <f>SUM(O59:O61)</f>
        <v>0.99999999999999989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327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2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</row>
    <row r="69" spans="2:45" x14ac:dyDescent="0.2">
      <c r="B69" s="333" t="s">
        <v>372</v>
      </c>
      <c r="C69" s="333"/>
      <c r="D69" s="333"/>
      <c r="E69" s="333"/>
      <c r="F69" s="333"/>
      <c r="G69" s="333"/>
      <c r="Y69" s="348" t="s">
        <v>642</v>
      </c>
      <c r="Z69" s="349"/>
      <c r="AA69" s="349"/>
      <c r="AB69" s="349"/>
      <c r="AC69" s="349"/>
      <c r="AD69" s="349"/>
      <c r="AE69" s="349"/>
      <c r="AF69" s="349"/>
    </row>
    <row r="70" spans="2:45" x14ac:dyDescent="0.2">
      <c r="B70" s="351"/>
      <c r="C70" s="351"/>
      <c r="D70" s="351"/>
      <c r="E70" s="351"/>
      <c r="F70" s="351"/>
      <c r="G70" s="351"/>
      <c r="K70" s="3" t="s">
        <v>652</v>
      </c>
      <c r="Y70" s="348"/>
      <c r="Z70" s="349"/>
      <c r="AA70" s="349"/>
      <c r="AB70" s="349"/>
      <c r="AC70" s="349"/>
      <c r="AD70" s="349"/>
      <c r="AE70" s="349"/>
      <c r="AF70" s="349"/>
    </row>
    <row r="71" spans="2:45" x14ac:dyDescent="0.2">
      <c r="E71" s="13"/>
      <c r="F71" s="13" t="s">
        <v>374</v>
      </c>
      <c r="G71" s="13" t="s">
        <v>374</v>
      </c>
      <c r="Y71" s="348"/>
      <c r="Z71" s="349"/>
      <c r="AA71" s="349"/>
      <c r="AB71" s="349"/>
      <c r="AC71" s="349"/>
      <c r="AD71" s="349"/>
      <c r="AE71" s="349"/>
      <c r="AF71" s="349"/>
    </row>
    <row r="72" spans="2:45" x14ac:dyDescent="0.2">
      <c r="B72" s="13" t="s">
        <v>18</v>
      </c>
      <c r="C72" s="13" t="s">
        <v>5</v>
      </c>
      <c r="D72" s="34" t="s">
        <v>362</v>
      </c>
      <c r="E72" s="13"/>
      <c r="F72" s="13" t="s">
        <v>650</v>
      </c>
      <c r="G72" s="13" t="s">
        <v>651</v>
      </c>
      <c r="Y72" s="24"/>
    </row>
    <row r="73" spans="2:45" ht="17" x14ac:dyDescent="0.25">
      <c r="B73" s="13" t="s">
        <v>11</v>
      </c>
      <c r="C73" s="13" t="s">
        <v>12</v>
      </c>
      <c r="D73" s="34" t="s">
        <v>363</v>
      </c>
      <c r="E73" s="13" t="s">
        <v>350</v>
      </c>
      <c r="F73" s="13">
        <v>18625</v>
      </c>
      <c r="G73" s="13">
        <f>(F73*G74)/F74</f>
        <v>315.66502308395394</v>
      </c>
      <c r="Y73" s="169" t="s">
        <v>113</v>
      </c>
      <c r="Z73" s="3" t="s">
        <v>1</v>
      </c>
      <c r="AA73" s="3" t="s">
        <v>47</v>
      </c>
      <c r="AB73" s="3" t="s">
        <v>5</v>
      </c>
      <c r="AC73" s="198" t="s">
        <v>399</v>
      </c>
      <c r="AG73" s="169"/>
      <c r="AH73" s="198"/>
      <c r="AJ73" s="198"/>
      <c r="AL73" s="169"/>
      <c r="AM73" s="198"/>
      <c r="AO73" s="198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648</v>
      </c>
      <c r="F74" s="13">
        <v>11994</v>
      </c>
      <c r="G74" s="13">
        <f>C94</f>
        <v>203.27980063725872</v>
      </c>
      <c r="Q74" s="198"/>
      <c r="S74" s="198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24"/>
      <c r="AI74" s="1"/>
      <c r="AN74" s="1"/>
    </row>
    <row r="75" spans="2:45" ht="17" x14ac:dyDescent="0.25">
      <c r="E75" s="13" t="s">
        <v>649</v>
      </c>
      <c r="F75" s="13">
        <v>2720</v>
      </c>
      <c r="G75" s="13">
        <f>(G74*F75)/F74</f>
        <v>46.099804713468707</v>
      </c>
      <c r="R75" s="1"/>
      <c r="Y75" s="13" t="s">
        <v>66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373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365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381</v>
      </c>
      <c r="AG76" s="4" t="s">
        <v>380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681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18</v>
      </c>
      <c r="AF77" s="3">
        <f>(AC77+AC78+AC79)</f>
        <v>897.50495218664253</v>
      </c>
      <c r="AG77" s="4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653</v>
      </c>
      <c r="F78" s="13">
        <v>1415</v>
      </c>
      <c r="G78" s="13">
        <f>(G74*F78)/F74</f>
        <v>23.982067525572877</v>
      </c>
      <c r="H78" s="325"/>
      <c r="I78" s="325"/>
      <c r="J78" s="325"/>
      <c r="K78" s="325"/>
      <c r="L78" s="325"/>
      <c r="P78" s="4"/>
      <c r="Q78" s="1"/>
      <c r="R78" s="4"/>
      <c r="S78" s="1"/>
      <c r="Y78" s="20" t="s">
        <v>64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182</v>
      </c>
      <c r="AF78" s="3">
        <f>(2*AC75)+(2*AC76)+(4*AC79)</f>
        <v>31404.116564962875</v>
      </c>
      <c r="AG78" s="4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8"/>
      <c r="I79" s="198"/>
      <c r="J79" s="198"/>
      <c r="K79" s="198"/>
      <c r="L79" s="198"/>
      <c r="M79" s="4"/>
      <c r="N79" s="4"/>
      <c r="O79" s="4"/>
      <c r="P79" s="4"/>
      <c r="Q79" s="1"/>
      <c r="R79" s="1"/>
      <c r="S79" s="6"/>
      <c r="Y79" s="13" t="s">
        <v>65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180</v>
      </c>
      <c r="AF79" s="3">
        <f>AC76</f>
        <v>40.578575518840545</v>
      </c>
      <c r="AG79" s="1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P80" s="1"/>
      <c r="Q80" s="6"/>
      <c r="R80" s="6"/>
      <c r="S80" s="1"/>
      <c r="W80"/>
      <c r="X80"/>
      <c r="Y80" s="31" t="s">
        <v>19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29</v>
      </c>
      <c r="AF80" s="3">
        <f>AC77+(2*AC78)</f>
        <v>147.83147366020734</v>
      </c>
      <c r="AG80" s="3">
        <f>2*AC90</f>
        <v>147.83147366020734</v>
      </c>
      <c r="AH80" s="1">
        <f t="shared" si="11"/>
        <v>0</v>
      </c>
      <c r="AI80" s="1"/>
      <c r="AL80" s="1"/>
      <c r="AN80" s="1"/>
    </row>
    <row r="81" spans="1:38" ht="16" x14ac:dyDescent="0.2">
      <c r="G81" s="1"/>
      <c r="O81" s="1"/>
      <c r="P81" s="1"/>
    </row>
    <row r="82" spans="1:38" ht="16" x14ac:dyDescent="0.2">
      <c r="G82" s="1"/>
      <c r="O82" s="6"/>
      <c r="AG82" s="6"/>
      <c r="AL82" s="6"/>
    </row>
    <row r="83" spans="1:38" ht="16" x14ac:dyDescent="0.2">
      <c r="A83" t="s">
        <v>689</v>
      </c>
      <c r="G83" s="1"/>
      <c r="O83" s="6"/>
      <c r="P83" s="6"/>
      <c r="Y83" s="24"/>
    </row>
    <row r="84" spans="1:38" ht="16" x14ac:dyDescent="0.2">
      <c r="G84" s="1"/>
      <c r="Y84" s="24"/>
      <c r="AG84" s="1"/>
      <c r="AI84" s="245"/>
    </row>
    <row r="85" spans="1:38" ht="16" x14ac:dyDescent="0.2">
      <c r="G85" s="4"/>
      <c r="P85" s="1"/>
      <c r="Y85" s="24"/>
      <c r="AG85" s="7"/>
      <c r="AI85" s="7"/>
      <c r="AL85" s="235"/>
    </row>
    <row r="86" spans="1:38" ht="17" x14ac:dyDescent="0.25">
      <c r="H86"/>
      <c r="I86"/>
      <c r="J86"/>
      <c r="K86"/>
      <c r="L86"/>
      <c r="M86"/>
      <c r="N86"/>
      <c r="O86"/>
      <c r="P86"/>
      <c r="Q86"/>
      <c r="R86"/>
      <c r="S86"/>
      <c r="T86" t="s">
        <v>691</v>
      </c>
      <c r="U86"/>
      <c r="V86"/>
      <c r="Y86" s="298" t="s">
        <v>114</v>
      </c>
      <c r="Z86" s="3" t="s">
        <v>1</v>
      </c>
      <c r="AA86" s="3" t="s">
        <v>47</v>
      </c>
      <c r="AB86" s="3" t="s">
        <v>5</v>
      </c>
      <c r="AC86" s="198" t="s">
        <v>399</v>
      </c>
      <c r="AD86" s="3" t="s">
        <v>39</v>
      </c>
    </row>
    <row r="87" spans="1:38" ht="18" x14ac:dyDescent="0.25">
      <c r="G87" s="1"/>
      <c r="H87" s="1"/>
      <c r="I87" s="1"/>
      <c r="J87" s="1"/>
      <c r="K87" s="6"/>
      <c r="Y87" s="13" t="s">
        <v>41</v>
      </c>
      <c r="Z87" s="31" t="s">
        <v>11</v>
      </c>
      <c r="AA87" s="31" t="s">
        <v>240</v>
      </c>
      <c r="AB87" s="79" t="s">
        <v>84</v>
      </c>
      <c r="AC87" s="31" t="s">
        <v>42</v>
      </c>
      <c r="AD87" s="31" t="s">
        <v>43</v>
      </c>
    </row>
    <row r="88" spans="1:38" ht="17" customHeight="1" x14ac:dyDescent="0.25">
      <c r="B88" s="169" t="s">
        <v>665</v>
      </c>
      <c r="E88" s="281"/>
      <c r="F88" s="7"/>
      <c r="G88" s="132" t="s">
        <v>319</v>
      </c>
      <c r="H88" s="3" t="s">
        <v>383</v>
      </c>
      <c r="I88" s="3" t="s">
        <v>384</v>
      </c>
      <c r="J88" s="4" t="s">
        <v>385</v>
      </c>
      <c r="K88" s="3" t="s">
        <v>386</v>
      </c>
      <c r="L88" s="3" t="s">
        <v>659</v>
      </c>
      <c r="M88" s="132" t="s">
        <v>387</v>
      </c>
      <c r="N88" s="132" t="s">
        <v>466</v>
      </c>
      <c r="X88" s="336" t="s">
        <v>632</v>
      </c>
      <c r="Y88" s="34" t="s">
        <v>66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3">
        <f>AC88/$AC$92</f>
        <v>0.93198229871837579</v>
      </c>
      <c r="AG88" s="1"/>
    </row>
    <row r="89" spans="1:38" ht="16" customHeight="1" x14ac:dyDescent="0.25">
      <c r="A89" s="354" t="s">
        <v>686</v>
      </c>
      <c r="B89" s="13" t="s">
        <v>18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13" t="s">
        <v>98</v>
      </c>
      <c r="H89" s="13" t="s">
        <v>343</v>
      </c>
      <c r="I89" s="13" t="s">
        <v>240</v>
      </c>
      <c r="J89" s="13" t="s">
        <v>240</v>
      </c>
      <c r="K89" s="13" t="s">
        <v>240</v>
      </c>
      <c r="L89" s="13" t="s">
        <v>240</v>
      </c>
      <c r="M89" s="13" t="s">
        <v>98</v>
      </c>
      <c r="N89" s="13" t="s">
        <v>343</v>
      </c>
      <c r="X89" s="336"/>
      <c r="Y89" s="34" t="s">
        <v>65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3">
        <f>AC89/$AC$92</f>
        <v>6.0322399309869018E-2</v>
      </c>
      <c r="AG89" s="1"/>
    </row>
    <row r="90" spans="1:38" ht="18" x14ac:dyDescent="0.25">
      <c r="A90" s="354"/>
      <c r="B90" s="13" t="s">
        <v>182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3">
        <f>phi_anthrocite</f>
        <v>1.0437000000000001</v>
      </c>
      <c r="H90" s="3">
        <f>NCV_dry_anthrocite</f>
        <v>30080</v>
      </c>
      <c r="I90" s="3">
        <f>C90/C89</f>
        <v>5.1124744376278121E-3</v>
      </c>
      <c r="J90" s="3">
        <f>C91/C89</f>
        <v>7.1574642126789375E-3</v>
      </c>
      <c r="K90" s="3">
        <f>C92/C89</f>
        <v>1.0224948875255625E-3</v>
      </c>
      <c r="L90" s="3">
        <f>C93/C89</f>
        <v>9.2024539877300603E-3</v>
      </c>
      <c r="M90" s="3">
        <f>G90+(phi_dry_constant_a_*(I90))+(phi_dry_constant_b*(J90))+(phi_dry_constant_c*(K90))</f>
        <v>1.0451400817995911</v>
      </c>
      <c r="N90" s="3">
        <f>(H90*M90) + (phi_constant_dry_anthracite_d*L90)</f>
        <v>31524.473169734152</v>
      </c>
      <c r="X90" s="336"/>
      <c r="Y90" s="234" t="s">
        <v>24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3">
        <f>AC90/$AC$92</f>
        <v>4.967966562730978E-3</v>
      </c>
      <c r="AG90" s="1"/>
    </row>
    <row r="91" spans="1:38" ht="17" x14ac:dyDescent="0.25">
      <c r="A91" s="354"/>
      <c r="B91" s="13" t="s">
        <v>29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13" t="s">
        <v>375</v>
      </c>
      <c r="I91" s="13" t="s">
        <v>363</v>
      </c>
      <c r="J91" s="61" t="s">
        <v>376</v>
      </c>
      <c r="K91" s="61" t="s">
        <v>377</v>
      </c>
      <c r="L91" s="13" t="s">
        <v>682</v>
      </c>
      <c r="M91" s="19" t="s">
        <v>683</v>
      </c>
      <c r="N91" s="3" t="s">
        <v>693</v>
      </c>
      <c r="X91" s="336"/>
      <c r="Y91" s="13" t="s">
        <v>365</v>
      </c>
      <c r="Z91" s="163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32">
        <f>AC91/$AC$92</f>
        <v>2.72733540902417E-3</v>
      </c>
      <c r="AG91" s="1"/>
    </row>
    <row r="92" spans="1:38" ht="16" x14ac:dyDescent="0.2">
      <c r="A92" s="354"/>
      <c r="B92" s="13" t="s">
        <v>360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">
        <f>F90</f>
        <v>1008.3923677860722</v>
      </c>
      <c r="I92" s="3">
        <f>F89</f>
        <v>16552.130965218472</v>
      </c>
      <c r="J92" s="4">
        <f>F91</f>
        <v>88.938247963099329</v>
      </c>
      <c r="K92" s="4">
        <f>F92</f>
        <v>14.512998787530771</v>
      </c>
      <c r="L92" s="3">
        <f>F93</f>
        <v>57.054768469261155</v>
      </c>
      <c r="M92" s="1">
        <f>SUM(H92:L92)</f>
        <v>17721.029348224434</v>
      </c>
      <c r="N92" s="3">
        <f>((MW_C)+(MW_H*mol_H_coke)+(MW_O*mol_O_coke)+(MW_N2/2 *mol_N_coke)+(MW_S*mol_S_coke))*M92</f>
        <v>217.63525920401193</v>
      </c>
      <c r="X92" s="315"/>
      <c r="Y92" s="24" t="s">
        <v>19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</row>
    <row r="93" spans="1:38" ht="16" x14ac:dyDescent="0.2">
      <c r="A93" s="354"/>
      <c r="B93" s="13" t="s">
        <v>180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688</v>
      </c>
      <c r="H93" s="3">
        <f>mol_Coke/H92</f>
        <v>17.573545689492867</v>
      </c>
      <c r="I93" s="3">
        <f>mol_Coke/I92</f>
        <v>1.0706192082132631</v>
      </c>
      <c r="J93" s="3">
        <f>mol_Coke/J92</f>
        <v>199.25093819676914</v>
      </c>
      <c r="K93" s="3">
        <f>mol_Coke/K92</f>
        <v>1221.0453268589761</v>
      </c>
      <c r="L93" s="3">
        <f>mol_Coke/L92</f>
        <v>310.59681466890572</v>
      </c>
      <c r="X93" s="315"/>
      <c r="Y93" s="24"/>
      <c r="AG93" s="1"/>
      <c r="AK93" s="16" t="s">
        <v>439</v>
      </c>
    </row>
    <row r="94" spans="1:38" ht="16" x14ac:dyDescent="0.2">
      <c r="A94" s="314"/>
      <c r="C94" s="17">
        <f>SUM(C89:C93)</f>
        <v>203.27980063725872</v>
      </c>
      <c r="D94" s="17">
        <f>SUM(D89:D93)</f>
        <v>1</v>
      </c>
      <c r="E94" s="307"/>
      <c r="F94" s="17">
        <f>SUM(F89:F93)</f>
        <v>17721.029348224434</v>
      </c>
      <c r="G94" s="6"/>
      <c r="H94" s="6">
        <f>(H92*$I$93)/mol_Coke</f>
        <v>6.0922208137734024E-2</v>
      </c>
      <c r="I94" s="6">
        <v>1</v>
      </c>
      <c r="J94" s="6">
        <f>(J92*$I$93)/mol_Coke</f>
        <v>5.3732204119208661E-3</v>
      </c>
      <c r="K94" s="6">
        <f>(K92*$I$93)/mol_Coke</f>
        <v>8.7680545894830127E-4</v>
      </c>
      <c r="L94" s="6">
        <f>(L92*$I$93)/mol_Coke</f>
        <v>3.4469742046599429E-3</v>
      </c>
      <c r="X94" s="315"/>
      <c r="Y94" s="24"/>
      <c r="AG94" s="1"/>
    </row>
    <row r="95" spans="1:38" ht="16" x14ac:dyDescent="0.2">
      <c r="F95" s="1"/>
      <c r="G95" s="6"/>
      <c r="H95" s="6"/>
      <c r="I95" s="6"/>
      <c r="J95" s="6"/>
      <c r="O95" s="3" t="s">
        <v>392</v>
      </c>
      <c r="X95" s="315"/>
      <c r="AG95" s="132"/>
    </row>
    <row r="96" spans="1:38" ht="17" x14ac:dyDescent="0.25">
      <c r="B96" s="169" t="s">
        <v>381</v>
      </c>
      <c r="C96" s="3" t="s">
        <v>1</v>
      </c>
      <c r="D96" s="3" t="s">
        <v>47</v>
      </c>
      <c r="E96" s="3" t="s">
        <v>5</v>
      </c>
      <c r="F96" s="198" t="s">
        <v>399</v>
      </c>
      <c r="G96" s="132" t="s">
        <v>319</v>
      </c>
      <c r="H96" s="3" t="s">
        <v>383</v>
      </c>
      <c r="I96" s="3" t="s">
        <v>384</v>
      </c>
      <c r="J96" s="4" t="s">
        <v>385</v>
      </c>
      <c r="K96" s="3" t="s">
        <v>386</v>
      </c>
      <c r="L96" s="3" t="s">
        <v>658</v>
      </c>
      <c r="M96" s="3" t="s">
        <v>659</v>
      </c>
      <c r="N96" s="132" t="s">
        <v>387</v>
      </c>
      <c r="O96" s="132" t="s">
        <v>389</v>
      </c>
      <c r="P96" s="132"/>
      <c r="X96" s="315"/>
    </row>
    <row r="97" spans="1:38" ht="18" x14ac:dyDescent="0.25">
      <c r="B97" s="13" t="s">
        <v>41</v>
      </c>
      <c r="C97" s="13" t="s">
        <v>11</v>
      </c>
      <c r="D97" s="13" t="s">
        <v>240</v>
      </c>
      <c r="E97" s="19" t="s">
        <v>84</v>
      </c>
      <c r="F97" s="13" t="s">
        <v>42</v>
      </c>
      <c r="G97" s="13" t="s">
        <v>98</v>
      </c>
      <c r="H97" s="13" t="s">
        <v>343</v>
      </c>
      <c r="I97" s="13" t="s">
        <v>240</v>
      </c>
      <c r="J97" s="13" t="s">
        <v>240</v>
      </c>
      <c r="K97" s="13" t="s">
        <v>240</v>
      </c>
      <c r="L97" s="13" t="s">
        <v>240</v>
      </c>
      <c r="M97" s="13" t="s">
        <v>240</v>
      </c>
      <c r="N97" s="13" t="s">
        <v>98</v>
      </c>
      <c r="O97" s="13" t="s">
        <v>343</v>
      </c>
      <c r="X97" s="315"/>
    </row>
    <row r="98" spans="1:38" x14ac:dyDescent="0.2">
      <c r="A98" s="329" t="s">
        <v>630</v>
      </c>
      <c r="B98" s="13" t="s">
        <v>18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3">
        <f>phi_anthrocite</f>
        <v>1.0437000000000001</v>
      </c>
      <c r="H98" s="3">
        <f>NCV_bituminous</f>
        <v>33412</v>
      </c>
      <c r="I98" s="3">
        <f>C99/C98</f>
        <v>0.14584005581192777</v>
      </c>
      <c r="J98" s="3">
        <f>C100/C98</f>
        <v>1.7710452920337294E-2</v>
      </c>
      <c r="K98" s="3">
        <f>C101/C98</f>
        <v>1.3365265485640865E-3</v>
      </c>
      <c r="L98" s="3">
        <f>K114/C98</f>
        <v>0.10885920401367521</v>
      </c>
      <c r="M98" s="3">
        <f>C102/C98</f>
        <v>1.3495583200088705E-2</v>
      </c>
      <c r="N98" s="3">
        <f>G98+(phi_dry_constant_a_*(I98))+(phi_dry_constant_b*(J98))+(phi_dry_constant_c*(K98))</f>
        <v>1.0722814318045075</v>
      </c>
      <c r="O98" s="3">
        <f>(NCV_dry_anthrocite*N98) + (phi_constant_dry_anthracite_d*M98)</f>
        <v>32381.313375674821</v>
      </c>
    </row>
    <row r="99" spans="1:38" ht="16" x14ac:dyDescent="0.2">
      <c r="A99" s="329"/>
      <c r="B99" s="13" t="s">
        <v>182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13" t="s">
        <v>375</v>
      </c>
      <c r="I99" s="13" t="s">
        <v>363</v>
      </c>
      <c r="J99" s="61" t="s">
        <v>376</v>
      </c>
      <c r="K99" s="61" t="s">
        <v>377</v>
      </c>
      <c r="L99" s="13" t="s">
        <v>682</v>
      </c>
      <c r="M99" s="19" t="s">
        <v>378</v>
      </c>
      <c r="N99" s="1"/>
      <c r="Y99" s="24"/>
    </row>
    <row r="100" spans="1:38" ht="16" x14ac:dyDescent="0.2">
      <c r="A100" s="329"/>
      <c r="B100" s="13" t="s">
        <v>29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">
        <f>F99</f>
        <v>33565.524428231089</v>
      </c>
      <c r="I100" s="3">
        <f>F98</f>
        <v>19313.995623388062</v>
      </c>
      <c r="J100" s="4">
        <f>F100</f>
        <v>256.78950323208898</v>
      </c>
      <c r="K100" s="4">
        <f>F101</f>
        <v>22.135626509888038</v>
      </c>
      <c r="L100" s="3">
        <f>F102</f>
        <v>97.6333439881017</v>
      </c>
      <c r="M100" s="1">
        <f>SUM(H100:L100)</f>
        <v>53256.078525349229</v>
      </c>
      <c r="N100" s="1"/>
      <c r="Y100" s="24"/>
    </row>
    <row r="101" spans="1:38" ht="16" x14ac:dyDescent="0.2">
      <c r="A101" s="329"/>
      <c r="B101" s="13" t="s">
        <v>360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687</v>
      </c>
      <c r="H101" s="3">
        <f>mol_Coal/H100</f>
        <v>1.5866303128741504</v>
      </c>
      <c r="I101" s="3">
        <f>mol_Coal/mol_C_Coal</f>
        <v>2.7573827582760448</v>
      </c>
      <c r="J101" s="3">
        <f>mol_Coal/J100</f>
        <v>207.39196055539639</v>
      </c>
      <c r="K101" s="3">
        <f>mol_Coal/K100</f>
        <v>2405.8988572814783</v>
      </c>
      <c r="L101" s="3">
        <f>mol_Coal/L100</f>
        <v>545.47018825698933</v>
      </c>
      <c r="M101" s="6" t="s">
        <v>614</v>
      </c>
      <c r="N101" s="6"/>
      <c r="Y101" s="298" t="s">
        <v>440</v>
      </c>
      <c r="AG101" s="169" t="s">
        <v>692</v>
      </c>
    </row>
    <row r="102" spans="1:38" x14ac:dyDescent="0.2">
      <c r="A102" s="305"/>
      <c r="B102" s="13" t="s">
        <v>180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3">
        <f>(H100*coal_C_coeff)/mol_Coal</f>
        <v>1.7378860947646328</v>
      </c>
      <c r="I102" s="3">
        <v>1</v>
      </c>
      <c r="J102" s="3">
        <f>(J100*coal_C_coeff)/mol_Coal</f>
        <v>1.3295514208418516E-2</v>
      </c>
      <c r="K102" s="3">
        <f>(K100*coal_C_coeff)/mol_Coal</f>
        <v>1.1460925507864959E-3</v>
      </c>
      <c r="L102" s="3">
        <f>(L100*coal_C_coeff)/mol_Coal</f>
        <v>5.0550567522068676E-3</v>
      </c>
      <c r="M102" s="3">
        <f>(MW_C+(MW_H*mol_H_Coal)+((MW_N2/2)*mol_N_Coal)+(MW_O*mol_O_Coal)+(MW_S*mol_S_coal))*mol_Coal</f>
        <v>753.76276356260666</v>
      </c>
      <c r="Y102" s="298"/>
      <c r="AG102" s="169"/>
    </row>
    <row r="103" spans="1:38" x14ac:dyDescent="0.2">
      <c r="B103" s="13" t="s">
        <v>373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52" t="s">
        <v>631</v>
      </c>
      <c r="I103" s="352"/>
      <c r="J103" s="352"/>
      <c r="K103" s="352"/>
      <c r="Y103" s="24">
        <v>0.7</v>
      </c>
      <c r="AG103" s="3">
        <v>0.3</v>
      </c>
    </row>
    <row r="104" spans="1:38" ht="17" x14ac:dyDescent="0.25">
      <c r="B104" s="3" t="s">
        <v>19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98" t="s">
        <v>114</v>
      </c>
      <c r="Z104" s="3" t="s">
        <v>1</v>
      </c>
      <c r="AA104" s="3" t="s">
        <v>47</v>
      </c>
      <c r="AB104" s="3" t="s">
        <v>5</v>
      </c>
      <c r="AC104" s="198" t="s">
        <v>399</v>
      </c>
      <c r="AD104" s="3" t="s">
        <v>39</v>
      </c>
      <c r="AG104" s="169" t="s">
        <v>114</v>
      </c>
      <c r="AH104" s="3" t="s">
        <v>1</v>
      </c>
      <c r="AI104" s="3" t="s">
        <v>47</v>
      </c>
      <c r="AJ104" s="3" t="s">
        <v>5</v>
      </c>
      <c r="AK104" s="198" t="s">
        <v>399</v>
      </c>
      <c r="AL104" s="3" t="s">
        <v>39</v>
      </c>
    </row>
    <row r="105" spans="1:38" ht="18" x14ac:dyDescent="0.25">
      <c r="C105" s="3" t="s">
        <v>360</v>
      </c>
      <c r="D105" s="3" t="s">
        <v>5</v>
      </c>
      <c r="E105" s="3" t="s">
        <v>1</v>
      </c>
      <c r="F105" s="3" t="s">
        <v>47</v>
      </c>
      <c r="I105" s="3" t="s">
        <v>360</v>
      </c>
      <c r="J105" s="3" t="s">
        <v>5</v>
      </c>
      <c r="K105" s="3" t="s">
        <v>1</v>
      </c>
      <c r="L105" s="3" t="s">
        <v>47</v>
      </c>
      <c r="P105" s="3" t="s">
        <v>1</v>
      </c>
      <c r="Q105" s="3" t="s">
        <v>47</v>
      </c>
      <c r="R105" s="3" t="s">
        <v>5</v>
      </c>
      <c r="S105" s="198" t="s">
        <v>399</v>
      </c>
      <c r="Y105" s="13" t="s">
        <v>41</v>
      </c>
      <c r="Z105" s="31" t="s">
        <v>11</v>
      </c>
      <c r="AA105" s="31" t="s">
        <v>240</v>
      </c>
      <c r="AB105" s="79" t="s">
        <v>84</v>
      </c>
      <c r="AC105" s="31" t="s">
        <v>42</v>
      </c>
      <c r="AD105" s="31" t="s">
        <v>43</v>
      </c>
      <c r="AG105" s="13" t="s">
        <v>41</v>
      </c>
      <c r="AH105" s="31" t="s">
        <v>11</v>
      </c>
      <c r="AI105" s="31" t="s">
        <v>240</v>
      </c>
      <c r="AJ105" s="79" t="s">
        <v>84</v>
      </c>
      <c r="AK105" s="31" t="s">
        <v>42</v>
      </c>
      <c r="AL105" s="31" t="s">
        <v>43</v>
      </c>
    </row>
    <row r="106" spans="1:38" ht="18" x14ac:dyDescent="0.25">
      <c r="B106" s="169" t="s">
        <v>663</v>
      </c>
      <c r="C106" s="13" t="s">
        <v>13</v>
      </c>
      <c r="D106" s="19" t="s">
        <v>84</v>
      </c>
      <c r="E106" s="13" t="s">
        <v>11</v>
      </c>
      <c r="F106" s="13" t="s">
        <v>240</v>
      </c>
      <c r="H106" s="169" t="s">
        <v>664</v>
      </c>
      <c r="I106" s="13" t="s">
        <v>13</v>
      </c>
      <c r="J106" s="19" t="s">
        <v>84</v>
      </c>
      <c r="K106" s="13" t="s">
        <v>11</v>
      </c>
      <c r="L106" s="13" t="s">
        <v>240</v>
      </c>
      <c r="N106" s="25" t="s">
        <v>666</v>
      </c>
      <c r="O106" s="13" t="s">
        <v>41</v>
      </c>
      <c r="P106" s="13" t="s">
        <v>11</v>
      </c>
      <c r="Q106" s="13" t="s">
        <v>240</v>
      </c>
      <c r="R106" s="19" t="s">
        <v>84</v>
      </c>
      <c r="S106" s="13" t="s">
        <v>42</v>
      </c>
      <c r="Y106" s="34" t="s">
        <v>66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3">
        <f>AC106/$AC$110</f>
        <v>0.9319822987183759</v>
      </c>
      <c r="AG106" s="34" t="s">
        <v>66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3">
        <f>AK106/$AK$110</f>
        <v>0.93198229871837568</v>
      </c>
    </row>
    <row r="107" spans="1:38" ht="17" x14ac:dyDescent="0.25">
      <c r="A107" s="3" t="s">
        <v>667</v>
      </c>
      <c r="B107" s="13" t="s">
        <v>654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53">
        <f>SUM(F107:F113)</f>
        <v>0.3640000000000001</v>
      </c>
      <c r="H107" s="61" t="s">
        <v>306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54" t="s">
        <v>685</v>
      </c>
      <c r="O107" s="13" t="s">
        <v>66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65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3">
        <f>AC107/$AC$110</f>
        <v>6.0322399309869025E-2</v>
      </c>
      <c r="AG107" s="34" t="s">
        <v>65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3">
        <f>AK107/$AK$110</f>
        <v>6.0322399309869004E-2</v>
      </c>
    </row>
    <row r="108" spans="1:38" ht="18" x14ac:dyDescent="0.25">
      <c r="A108" s="3" t="s">
        <v>670</v>
      </c>
      <c r="B108" s="13" t="s">
        <v>655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53"/>
      <c r="H108" s="61" t="s">
        <v>123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54"/>
      <c r="O108" s="13" t="s">
        <v>365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34" t="s">
        <v>24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3">
        <f>AC108/$AC$110</f>
        <v>4.967966562730978E-3</v>
      </c>
      <c r="AG108" s="234" t="s">
        <v>24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3">
        <f>AK108/$AK$110</f>
        <v>4.9679665627309771E-3</v>
      </c>
    </row>
    <row r="109" spans="1:38" ht="17" x14ac:dyDescent="0.25">
      <c r="A109" s="3" t="s">
        <v>671</v>
      </c>
      <c r="B109" s="13" t="s">
        <v>656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53"/>
      <c r="H109" s="61" t="s">
        <v>179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54"/>
      <c r="O109" s="13" t="s">
        <v>122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365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3">
        <f>AC109/$AC$110</f>
        <v>2.7273354090241704E-3</v>
      </c>
      <c r="AG109" s="13" t="s">
        <v>365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3">
        <f>AK109/$AK$110</f>
        <v>2.7273354090241691E-3</v>
      </c>
    </row>
    <row r="110" spans="1:38" ht="18" x14ac:dyDescent="0.25">
      <c r="A110" s="3" t="s">
        <v>669</v>
      </c>
      <c r="B110" s="13" t="s">
        <v>668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53"/>
      <c r="H110" s="61" t="s">
        <v>307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54"/>
      <c r="O110" s="20" t="s">
        <v>64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19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19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672</v>
      </c>
      <c r="B111" s="13" t="s">
        <v>675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53"/>
      <c r="H111" s="19" t="s">
        <v>15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54"/>
      <c r="O111" s="13" t="s">
        <v>65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673</v>
      </c>
      <c r="B112" s="13" t="s">
        <v>677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53"/>
      <c r="H112" s="19" t="s">
        <v>17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54"/>
      <c r="O112" s="13" t="s">
        <v>19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674</v>
      </c>
      <c r="B113" s="61" t="s">
        <v>678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53"/>
      <c r="H113" s="19" t="s">
        <v>657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53" t="s">
        <v>679</v>
      </c>
      <c r="B114" s="13" t="s">
        <v>18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53"/>
      <c r="B115" s="13" t="s">
        <v>66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53"/>
      <c r="B116" s="20" t="s">
        <v>67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53"/>
      <c r="B117" s="306" t="s">
        <v>24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9"/>
      <c r="E119" s="198"/>
      <c r="H119" s="169"/>
      <c r="K119" s="198"/>
    </row>
    <row r="120" spans="1:31" ht="16" x14ac:dyDescent="0.2">
      <c r="D120" s="1"/>
      <c r="J120" s="1"/>
      <c r="O120" s="258"/>
    </row>
    <row r="121" spans="1:31" ht="16" x14ac:dyDescent="0.2">
      <c r="H121" s="7"/>
      <c r="I121" s="258"/>
      <c r="J121" s="258"/>
      <c r="K121" s="258"/>
    </row>
    <row r="122" spans="1:31" ht="16" x14ac:dyDescent="0.2">
      <c r="B122" s="235"/>
      <c r="I122" s="258"/>
      <c r="J122" s="258"/>
      <c r="K122" s="258"/>
    </row>
    <row r="123" spans="1:31" ht="16" x14ac:dyDescent="0.2">
      <c r="B123" s="7"/>
      <c r="H123" s="7"/>
      <c r="I123" s="258"/>
      <c r="J123" s="258"/>
      <c r="K123" s="258"/>
    </row>
    <row r="127" spans="1:31" ht="16" x14ac:dyDescent="0.2">
      <c r="D127" s="235"/>
      <c r="AE127" s="16"/>
    </row>
    <row r="136" spans="4:19" x14ac:dyDescent="0.2">
      <c r="M136" s="16"/>
    </row>
    <row r="143" spans="4:19" x14ac:dyDescent="0.2">
      <c r="D143" s="325" t="s">
        <v>689</v>
      </c>
      <c r="E143" s="325"/>
      <c r="F143" s="325"/>
      <c r="G143" s="325"/>
      <c r="H143" s="325"/>
      <c r="I143" s="325"/>
      <c r="J143" s="325"/>
      <c r="K143" s="325"/>
      <c r="L143" s="325"/>
      <c r="M143" s="325"/>
      <c r="N143" s="325"/>
      <c r="O143" s="325"/>
      <c r="P143" s="325"/>
      <c r="Q143" s="325"/>
      <c r="R143" s="325"/>
      <c r="S143" s="325"/>
    </row>
    <row r="155" spans="1:30" x14ac:dyDescent="0.2">
      <c r="D155" s="3" t="s">
        <v>690</v>
      </c>
    </row>
    <row r="157" spans="1:30" ht="16" thickBot="1" x14ac:dyDescent="0.25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</row>
    <row r="158" spans="1:30" x14ac:dyDescent="0.2">
      <c r="C158" s="355" t="s">
        <v>633</v>
      </c>
      <c r="D158" s="355"/>
      <c r="E158" s="355"/>
      <c r="F158" s="355"/>
      <c r="G158" s="355"/>
    </row>
    <row r="159" spans="1:30" x14ac:dyDescent="0.2">
      <c r="B159" s="169" t="s">
        <v>440</v>
      </c>
      <c r="C159" s="349"/>
      <c r="D159" s="349"/>
      <c r="E159" s="349"/>
      <c r="F159" s="349"/>
      <c r="G159" s="349"/>
    </row>
    <row r="160" spans="1:30" x14ac:dyDescent="0.2">
      <c r="B160" s="3">
        <v>0.7</v>
      </c>
      <c r="I160" s="128" t="s">
        <v>334</v>
      </c>
    </row>
    <row r="161" spans="2:14" ht="18" x14ac:dyDescent="0.25">
      <c r="B161" s="169" t="s">
        <v>113</v>
      </c>
      <c r="C161" s="3" t="s">
        <v>1</v>
      </c>
      <c r="D161" s="3" t="s">
        <v>47</v>
      </c>
      <c r="E161" s="3" t="s">
        <v>5</v>
      </c>
      <c r="F161" s="198" t="s">
        <v>399</v>
      </c>
      <c r="I161" s="19" t="s">
        <v>89</v>
      </c>
      <c r="K161" s="169" t="s">
        <v>114</v>
      </c>
      <c r="L161" s="3" t="s">
        <v>1</v>
      </c>
      <c r="M161" s="3" t="s">
        <v>5</v>
      </c>
      <c r="N161" s="198" t="s">
        <v>399</v>
      </c>
    </row>
    <row r="162" spans="2:14" ht="18" x14ac:dyDescent="0.25">
      <c r="B162" s="13" t="s">
        <v>41</v>
      </c>
      <c r="C162" s="31" t="s">
        <v>11</v>
      </c>
      <c r="D162" s="31" t="s">
        <v>240</v>
      </c>
      <c r="E162" s="79" t="s">
        <v>84</v>
      </c>
      <c r="F162" s="26" t="s">
        <v>42</v>
      </c>
      <c r="I162" s="13">
        <f>L167-(C167+C172)</f>
        <v>0</v>
      </c>
      <c r="K162" s="13" t="s">
        <v>41</v>
      </c>
      <c r="L162" s="31" t="s">
        <v>11</v>
      </c>
      <c r="M162" s="79" t="s">
        <v>84</v>
      </c>
      <c r="N162" s="26" t="s">
        <v>42</v>
      </c>
    </row>
    <row r="163" spans="2:14" ht="17" x14ac:dyDescent="0.25">
      <c r="B163" s="34" t="s">
        <v>66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68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65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38" t="s">
        <v>64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34" t="s">
        <v>24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17" t="s">
        <v>694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365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67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19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19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9" t="s">
        <v>113</v>
      </c>
    </row>
    <row r="170" spans="2:14" ht="18" x14ac:dyDescent="0.25">
      <c r="B170" s="234" t="s">
        <v>24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113</v>
      </c>
      <c r="J170" s="3" t="s">
        <v>114</v>
      </c>
    </row>
    <row r="171" spans="2:14" ht="18" x14ac:dyDescent="0.25">
      <c r="B171" s="20" t="s">
        <v>67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18</v>
      </c>
      <c r="I171" s="3">
        <f>F164</f>
        <v>628.25346653064969</v>
      </c>
      <c r="J171" s="3">
        <f>N164</f>
        <v>628.25346653064969</v>
      </c>
      <c r="K171" s="3">
        <f>I171-J171</f>
        <v>0</v>
      </c>
    </row>
    <row r="172" spans="2:14" x14ac:dyDescent="0.2">
      <c r="B172" s="3" t="s">
        <v>19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182</v>
      </c>
      <c r="I172" s="3">
        <f>(2*F163)+(4*F164)+(2*F166)</f>
        <v>21982.881595474006</v>
      </c>
      <c r="J172" s="3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29</v>
      </c>
      <c r="I173" s="3">
        <f>2*F165 +2*F170</f>
        <v>12304.757736524678</v>
      </c>
      <c r="J173" s="3">
        <f>N163+(2*N164)+(2*N165)</f>
        <v>12304.757736524678</v>
      </c>
      <c r="K173" s="3">
        <f t="shared" si="25"/>
        <v>0</v>
      </c>
    </row>
    <row r="174" spans="2:14" x14ac:dyDescent="0.2">
      <c r="H174" s="3" t="s">
        <v>360</v>
      </c>
      <c r="I174" s="3">
        <f>F171*2</f>
        <v>45876.796650659118</v>
      </c>
      <c r="J174" s="3">
        <f>2*N166</f>
        <v>45876.796650659118</v>
      </c>
      <c r="K174" s="3">
        <f t="shared" si="25"/>
        <v>0</v>
      </c>
    </row>
    <row r="175" spans="2:14" x14ac:dyDescent="0.2">
      <c r="H175" s="3" t="s">
        <v>180</v>
      </c>
      <c r="I175" s="3">
        <f>F166</f>
        <v>28.405002863188379</v>
      </c>
      <c r="J175" s="3">
        <f>N165</f>
        <v>28.405002863188379</v>
      </c>
      <c r="K175" s="3">
        <f t="shared" si="25"/>
        <v>0</v>
      </c>
    </row>
    <row r="176" spans="2:14" x14ac:dyDescent="0.2">
      <c r="I176" s="3">
        <f>SUM(I171:I175)</f>
        <v>80821.094452051635</v>
      </c>
      <c r="J176" s="3">
        <f>SUM(J171:J175)</f>
        <v>80821.094452051635</v>
      </c>
    </row>
    <row r="178" spans="2:21" ht="16" thickBot="1" x14ac:dyDescent="0.25"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</row>
    <row r="180" spans="2:21" x14ac:dyDescent="0.2">
      <c r="B180" s="349" t="s">
        <v>696</v>
      </c>
      <c r="C180" s="349"/>
      <c r="D180" s="349"/>
      <c r="E180" s="349"/>
      <c r="F180" s="349"/>
      <c r="G180" s="349"/>
    </row>
    <row r="181" spans="2:21" x14ac:dyDescent="0.2">
      <c r="B181" s="349"/>
      <c r="C181" s="349"/>
      <c r="D181" s="349"/>
      <c r="E181" s="349"/>
      <c r="F181" s="349"/>
      <c r="G181" s="349"/>
    </row>
    <row r="182" spans="2:21" x14ac:dyDescent="0.2">
      <c r="B182" s="349"/>
      <c r="C182" s="349"/>
      <c r="D182" s="349"/>
      <c r="E182" s="349"/>
      <c r="F182" s="349"/>
      <c r="G182" s="349"/>
    </row>
    <row r="185" spans="2:21" x14ac:dyDescent="0.2">
      <c r="I185" s="128" t="s">
        <v>334</v>
      </c>
    </row>
    <row r="186" spans="2:21" ht="18" x14ac:dyDescent="0.25">
      <c r="B186" s="169"/>
      <c r="I186" s="19" t="s">
        <v>89</v>
      </c>
    </row>
    <row r="187" spans="2:21" x14ac:dyDescent="0.2">
      <c r="I187" s="13">
        <f>C195+C200-(H2O_out_BF_from_coke+SO2_out_BF_from_coke+N2_out_BF_from_coke)</f>
        <v>0</v>
      </c>
    </row>
    <row r="188" spans="2:21" ht="17" x14ac:dyDescent="0.25">
      <c r="B188" s="169" t="s">
        <v>113</v>
      </c>
      <c r="C188" s="3" t="s">
        <v>1</v>
      </c>
      <c r="D188" s="3" t="s">
        <v>47</v>
      </c>
      <c r="E188" s="3" t="s">
        <v>5</v>
      </c>
      <c r="F188" s="198" t="s">
        <v>399</v>
      </c>
      <c r="L188" s="169" t="s">
        <v>114</v>
      </c>
      <c r="M188" s="3" t="s">
        <v>1</v>
      </c>
      <c r="N188" s="3" t="s">
        <v>47</v>
      </c>
      <c r="O188" s="3" t="s">
        <v>5</v>
      </c>
      <c r="P188" s="198" t="s">
        <v>399</v>
      </c>
    </row>
    <row r="189" spans="2:21" ht="18" x14ac:dyDescent="0.25">
      <c r="B189" s="13" t="s">
        <v>41</v>
      </c>
      <c r="C189" s="13" t="s">
        <v>11</v>
      </c>
      <c r="D189" s="13" t="s">
        <v>240</v>
      </c>
      <c r="E189" s="19" t="s">
        <v>84</v>
      </c>
      <c r="F189" s="34" t="s">
        <v>42</v>
      </c>
      <c r="L189" s="13" t="s">
        <v>41</v>
      </c>
      <c r="M189" s="13" t="s">
        <v>11</v>
      </c>
      <c r="N189" s="13" t="s">
        <v>240</v>
      </c>
      <c r="O189" s="19" t="s">
        <v>84</v>
      </c>
      <c r="P189" s="34" t="s">
        <v>42</v>
      </c>
    </row>
    <row r="190" spans="2:21" ht="17" x14ac:dyDescent="0.25">
      <c r="B190" s="319" t="s">
        <v>18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68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2:21" ht="18" x14ac:dyDescent="0.25">
      <c r="B191" s="13" t="s">
        <v>182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698</v>
      </c>
      <c r="L191" s="320" t="s">
        <v>697</v>
      </c>
      <c r="M191" s="321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2:21" ht="18" x14ac:dyDescent="0.25">
      <c r="B192" s="13" t="s">
        <v>29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17" t="s">
        <v>694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2:101" ht="18" x14ac:dyDescent="0.25">
      <c r="B193" s="13" t="s">
        <v>360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67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2:101" x14ac:dyDescent="0.2">
      <c r="B194" s="13" t="s">
        <v>180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19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2:101" x14ac:dyDescent="0.2">
      <c r="B195" s="3" t="s">
        <v>19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2:101" x14ac:dyDescent="0.2">
      <c r="G197" s="3" t="s">
        <v>29</v>
      </c>
    </row>
    <row r="198" spans="2:101" ht="18" x14ac:dyDescent="0.25">
      <c r="B198" s="234" t="s">
        <v>24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113</v>
      </c>
      <c r="J198" s="3" t="s">
        <v>114</v>
      </c>
    </row>
    <row r="199" spans="2:101" ht="18" x14ac:dyDescent="0.25">
      <c r="B199" s="20" t="s">
        <v>67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18</v>
      </c>
      <c r="I199" s="3">
        <f>F190</f>
        <v>16552.130965218472</v>
      </c>
      <c r="J199" s="3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2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182</v>
      </c>
      <c r="I200" s="3">
        <f>F191</f>
        <v>1008.3923677860722</v>
      </c>
      <c r="J200" s="3">
        <f>(2*P190)</f>
        <v>1008.3923677860722</v>
      </c>
      <c r="K200" s="3">
        <f t="shared" ref="K200:K203" si="29">I200-J200</f>
        <v>0</v>
      </c>
    </row>
    <row r="201" spans="2:101" ht="21" customHeight="1" x14ac:dyDescent="0.2">
      <c r="H201" s="3" t="s">
        <v>29</v>
      </c>
      <c r="I201" s="3">
        <f>F192+(F198*2)</f>
        <v>618.30572083155846</v>
      </c>
      <c r="J201" s="3">
        <f>P190+(2*P191)+(2*P192)</f>
        <v>33722.567651268502</v>
      </c>
      <c r="K201" s="3">
        <f t="shared" si="29"/>
        <v>-33104.261930436944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25"/>
    </row>
    <row r="202" spans="2:101" x14ac:dyDescent="0.2">
      <c r="H202" s="3" t="s">
        <v>360</v>
      </c>
      <c r="I202" s="3">
        <f>F193+(2*F199)</f>
        <v>2004.9346967729368</v>
      </c>
      <c r="J202" s="3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25"/>
    </row>
    <row r="203" spans="2:101" x14ac:dyDescent="0.2">
      <c r="H203" s="3" t="s">
        <v>180</v>
      </c>
      <c r="I203" s="3">
        <f>F194</f>
        <v>57.054768469261155</v>
      </c>
      <c r="J203" s="3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25"/>
    </row>
    <row r="204" spans="2:101" x14ac:dyDescent="0.2">
      <c r="I204" s="3">
        <f>SUM(I199:I203)</f>
        <v>20240.818519078301</v>
      </c>
      <c r="J204" s="3">
        <f>SUM(J199:J203)</f>
        <v>53345.080449515248</v>
      </c>
      <c r="CG204" s="3">
        <f>CE204-CF204</f>
        <v>0</v>
      </c>
      <c r="CJ204" s="325"/>
    </row>
    <row r="205" spans="2:101" x14ac:dyDescent="0.2">
      <c r="CJ205" s="325"/>
    </row>
    <row r="206" spans="2:101" ht="16" thickBot="1" x14ac:dyDescent="0.25"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CJ206" s="325"/>
    </row>
    <row r="208" spans="2:101" ht="18" x14ac:dyDescent="0.25">
      <c r="B208" s="349" t="s">
        <v>474</v>
      </c>
      <c r="C208" s="349"/>
      <c r="D208" s="349"/>
      <c r="E208" s="349"/>
      <c r="G208" s="20" t="s">
        <v>67</v>
      </c>
      <c r="H208" s="233" t="s">
        <v>24</v>
      </c>
      <c r="J208" s="324" t="s">
        <v>70</v>
      </c>
      <c r="K208" s="324"/>
      <c r="L208" s="324"/>
      <c r="M208" s="324"/>
      <c r="N208" s="324"/>
      <c r="O208" s="324"/>
    </row>
    <row r="209" spans="2:88" ht="18" x14ac:dyDescent="0.25">
      <c r="B209" s="349"/>
      <c r="C209" s="349"/>
      <c r="D209" s="349"/>
      <c r="E209" s="349"/>
      <c r="G209" s="13">
        <v>3.76</v>
      </c>
      <c r="H209" s="13">
        <v>2</v>
      </c>
      <c r="J209" s="324" t="s">
        <v>476</v>
      </c>
      <c r="K209" s="324"/>
      <c r="L209" s="324"/>
      <c r="M209" s="13"/>
      <c r="N209" s="350" t="s">
        <v>75</v>
      </c>
      <c r="O209" s="343"/>
    </row>
    <row r="210" spans="2:88" x14ac:dyDescent="0.2">
      <c r="B210" s="349"/>
      <c r="C210" s="349"/>
      <c r="D210" s="349"/>
      <c r="E210" s="349"/>
      <c r="J210" s="324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4"/>
      <c r="L210" s="324"/>
      <c r="M210" s="324"/>
      <c r="N210" s="324"/>
      <c r="O210" s="324"/>
      <c r="CD210" s="3" t="s">
        <v>180</v>
      </c>
      <c r="CE210" s="83" t="e">
        <f>mol_S_coal*#REF!</f>
        <v>#REF!</v>
      </c>
      <c r="CF210" s="83">
        <f>(mol_S_coke*mol_C_to_BF)+CO218</f>
        <v>61.083931043351427</v>
      </c>
    </row>
    <row r="211" spans="2:88" x14ac:dyDescent="0.2">
      <c r="B211" s="325" t="s">
        <v>634</v>
      </c>
      <c r="C211" s="325"/>
      <c r="D211" s="325"/>
      <c r="E211" s="325"/>
    </row>
    <row r="213" spans="2:88" ht="17" x14ac:dyDescent="0.25">
      <c r="C213" s="3" t="s">
        <v>1</v>
      </c>
      <c r="D213" s="3" t="s">
        <v>5</v>
      </c>
      <c r="E213" s="198" t="s">
        <v>399</v>
      </c>
      <c r="H213" s="169" t="s">
        <v>380</v>
      </c>
      <c r="I213" s="3" t="s">
        <v>1</v>
      </c>
      <c r="J213" s="3" t="s">
        <v>5</v>
      </c>
      <c r="K213" s="198" t="s">
        <v>399</v>
      </c>
    </row>
    <row r="214" spans="2:88" ht="18" x14ac:dyDescent="0.25">
      <c r="B214" s="169" t="s">
        <v>475</v>
      </c>
      <c r="C214" s="13" t="s">
        <v>11</v>
      </c>
      <c r="D214" s="19" t="s">
        <v>84</v>
      </c>
      <c r="E214" s="13" t="s">
        <v>42</v>
      </c>
      <c r="F214" s="3" t="s">
        <v>44</v>
      </c>
      <c r="H214" s="13" t="s">
        <v>41</v>
      </c>
      <c r="I214" s="13" t="s">
        <v>11</v>
      </c>
      <c r="J214" s="19" t="s">
        <v>84</v>
      </c>
      <c r="K214" s="13" t="s">
        <v>42</v>
      </c>
      <c r="L214" s="3" t="s">
        <v>44</v>
      </c>
    </row>
    <row r="215" spans="2:88" ht="18" x14ac:dyDescent="0.25">
      <c r="B215" s="61" t="s">
        <v>471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33</v>
      </c>
      <c r="G215" s="3">
        <v>1</v>
      </c>
      <c r="H215" s="237" t="s">
        <v>64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35</v>
      </c>
      <c r="M215" s="3">
        <f>12*G215</f>
        <v>12</v>
      </c>
    </row>
    <row r="216" spans="2:88" ht="18" x14ac:dyDescent="0.25">
      <c r="B216" s="233" t="s">
        <v>24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34</v>
      </c>
      <c r="G216" s="3">
        <f>((2*M215)+M216)/2</f>
        <v>17.75</v>
      </c>
      <c r="H216" s="13" t="s">
        <v>68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36</v>
      </c>
      <c r="M216" s="3">
        <f>(23/2)*G215</f>
        <v>11.5</v>
      </c>
      <c r="BK216" s="325"/>
      <c r="BL216" s="325"/>
      <c r="BM216" s="325"/>
      <c r="BN216" s="325"/>
    </row>
    <row r="217" spans="2:88" ht="18" customHeight="1" x14ac:dyDescent="0.25">
      <c r="B217" s="20" t="s">
        <v>67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206</v>
      </c>
      <c r="G217" s="3">
        <v>3.76</v>
      </c>
      <c r="H217" s="20" t="s">
        <v>67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37</v>
      </c>
      <c r="M217" s="3">
        <f>G216*G217</f>
        <v>66.739999999999995</v>
      </c>
      <c r="BK217" s="325"/>
      <c r="BL217" s="325"/>
      <c r="BM217" s="325"/>
      <c r="BN217" s="325"/>
      <c r="CJ217" s="325"/>
    </row>
    <row r="218" spans="2:88" ht="22" customHeight="1" x14ac:dyDescent="0.2">
      <c r="B218" s="3" t="s">
        <v>19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25"/>
      <c r="BQ218" s="3" t="e">
        <f>BS218*BT218</f>
        <v>#DIV/0!</v>
      </c>
      <c r="BT218" s="3" t="e">
        <f>O2_Naturalgas_molcoeff*BT230</f>
        <v>#DIV/0!</v>
      </c>
      <c r="CJ218" s="325"/>
    </row>
    <row r="219" spans="2:88" x14ac:dyDescent="0.2">
      <c r="BO219" s="325"/>
      <c r="BQ219" s="3">
        <f>N2_for_coke_oven_comb</f>
        <v>0</v>
      </c>
      <c r="CJ219" s="325"/>
    </row>
    <row r="220" spans="2:88" x14ac:dyDescent="0.2">
      <c r="CJ220" s="325"/>
    </row>
    <row r="221" spans="2:88" x14ac:dyDescent="0.2">
      <c r="J221" s="132" t="s">
        <v>617</v>
      </c>
      <c r="K221" s="132" t="s">
        <v>620</v>
      </c>
      <c r="L221" s="3" t="s">
        <v>383</v>
      </c>
      <c r="M221" s="3" t="s">
        <v>40</v>
      </c>
      <c r="N221" s="4" t="s">
        <v>35</v>
      </c>
      <c r="O221" s="132" t="s">
        <v>618</v>
      </c>
      <c r="P221" s="132" t="s">
        <v>619</v>
      </c>
      <c r="CJ221" s="325"/>
    </row>
    <row r="222" spans="2:88" x14ac:dyDescent="0.2">
      <c r="C222" s="3" t="s">
        <v>616</v>
      </c>
      <c r="J222" s="13" t="s">
        <v>98</v>
      </c>
      <c r="K222" s="13" t="s">
        <v>98</v>
      </c>
      <c r="L222" s="13" t="s">
        <v>343</v>
      </c>
      <c r="M222" s="13" t="s">
        <v>240</v>
      </c>
      <c r="N222" s="13" t="s">
        <v>240</v>
      </c>
      <c r="O222" s="13" t="s">
        <v>98</v>
      </c>
      <c r="P222" s="13" t="s">
        <v>343</v>
      </c>
    </row>
    <row r="223" spans="2:88" ht="18" x14ac:dyDescent="0.25">
      <c r="B223" s="13" t="s">
        <v>182</v>
      </c>
      <c r="C223" s="3">
        <f>23*C225</f>
        <v>70.433751352617833</v>
      </c>
      <c r="D223" s="19" t="s">
        <v>302</v>
      </c>
      <c r="E223" s="3">
        <f>E225</f>
        <v>36.748044183974521</v>
      </c>
      <c r="F223" s="19" t="s">
        <v>302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2:88" x14ac:dyDescent="0.2">
      <c r="B224" s="13" t="s">
        <v>18</v>
      </c>
      <c r="C224" s="3">
        <f>12*C225</f>
        <v>36.748044183974521</v>
      </c>
      <c r="D224" s="13" t="s">
        <v>18</v>
      </c>
      <c r="E224" s="3">
        <f>E225</f>
        <v>36.748044183974521</v>
      </c>
      <c r="F224" s="3" t="s">
        <v>29</v>
      </c>
      <c r="G224" s="3">
        <f>G225</f>
        <v>35.216875676308916</v>
      </c>
    </row>
    <row r="225" spans="2:94" ht="18" x14ac:dyDescent="0.25">
      <c r="B225" s="61" t="s">
        <v>471</v>
      </c>
      <c r="C225" s="3">
        <f>E215</f>
        <v>3.0623370153312099</v>
      </c>
      <c r="D225" s="237" t="s">
        <v>64</v>
      </c>
      <c r="E225" s="3">
        <f>C224</f>
        <v>36.748044183974521</v>
      </c>
      <c r="F225" s="13" t="s">
        <v>68</v>
      </c>
      <c r="G225" s="3">
        <f>C223/2</f>
        <v>35.216875676308916</v>
      </c>
    </row>
    <row r="227" spans="2:94" x14ac:dyDescent="0.2">
      <c r="C227" s="3" t="s">
        <v>1</v>
      </c>
      <c r="N227" s="3" t="s">
        <v>621</v>
      </c>
    </row>
    <row r="228" spans="2:94" x14ac:dyDescent="0.2">
      <c r="C228" s="3" t="s">
        <v>564</v>
      </c>
      <c r="N228" s="3" t="s">
        <v>622</v>
      </c>
      <c r="BI228"/>
      <c r="BJ228"/>
      <c r="BK228" s="325" t="s">
        <v>458</v>
      </c>
      <c r="BL228" s="325"/>
      <c r="BM228" s="325"/>
      <c r="BN228" s="325"/>
      <c r="BO228"/>
    </row>
    <row r="229" spans="2:94" x14ac:dyDescent="0.2">
      <c r="B229" s="13" t="s">
        <v>182</v>
      </c>
      <c r="C229" s="3">
        <f>C223*MW_H</f>
        <v>7.0992995338357623E-2</v>
      </c>
      <c r="BI229"/>
      <c r="BJ229"/>
      <c r="BK229" s="325"/>
      <c r="BL229" s="325"/>
      <c r="BM229" s="325"/>
      <c r="BN229" s="325"/>
      <c r="BO229"/>
    </row>
    <row r="230" spans="2:94" x14ac:dyDescent="0.2">
      <c r="B230" s="13" t="s">
        <v>18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2:94" ht="18" thickBot="1" x14ac:dyDescent="0.3">
      <c r="B231" s="61" t="s">
        <v>471</v>
      </c>
      <c r="C231" s="98">
        <f>SUM(C229:C230)</f>
        <v>0.51237375403207563</v>
      </c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</row>
    <row r="233" spans="2:94" x14ac:dyDescent="0.2">
      <c r="B233" s="349" t="s">
        <v>484</v>
      </c>
      <c r="C233" s="349"/>
      <c r="D233" s="349"/>
      <c r="E233" s="349"/>
      <c r="J233" s="324" t="s">
        <v>70</v>
      </c>
      <c r="K233" s="324"/>
      <c r="L233" s="324"/>
      <c r="M233" s="324"/>
      <c r="N233" s="324"/>
      <c r="O233" s="324"/>
    </row>
    <row r="234" spans="2:94" ht="22" customHeight="1" x14ac:dyDescent="0.25">
      <c r="B234" s="349"/>
      <c r="C234" s="349"/>
      <c r="D234" s="349"/>
      <c r="E234" s="349"/>
      <c r="J234" s="324" t="s">
        <v>486</v>
      </c>
      <c r="K234" s="324"/>
      <c r="L234" s="324"/>
      <c r="M234" s="13"/>
      <c r="N234" s="350" t="s">
        <v>75</v>
      </c>
      <c r="O234" s="343"/>
      <c r="CJ234" s="325"/>
      <c r="CL234" s="3" t="e">
        <f>CO234*CN234</f>
        <v>#DIV/0!</v>
      </c>
      <c r="CO234" s="3" t="e">
        <f>H2O_Naturalgas_molcoeff*BT230</f>
        <v>#DIV/0!</v>
      </c>
    </row>
    <row r="235" spans="2:94" x14ac:dyDescent="0.2">
      <c r="B235" s="349"/>
      <c r="C235" s="349"/>
      <c r="D235" s="349"/>
      <c r="E235" s="349"/>
      <c r="J235" s="324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4"/>
      <c r="L235" s="324"/>
      <c r="M235" s="324"/>
      <c r="N235" s="324"/>
      <c r="O235" s="324"/>
      <c r="CJ235" s="325"/>
      <c r="CL235" s="3" t="e">
        <f>CN235*CO235</f>
        <v>#DIV/0!</v>
      </c>
      <c r="CO235" s="3" t="e">
        <f>BT230</f>
        <v>#DIV/0!</v>
      </c>
    </row>
    <row r="236" spans="2:94" ht="20" customHeight="1" x14ac:dyDescent="0.2">
      <c r="B236" s="325" t="s">
        <v>634</v>
      </c>
      <c r="C236" s="325"/>
      <c r="D236" s="325"/>
      <c r="E236" s="325"/>
      <c r="CJ236" s="325"/>
      <c r="CL236" s="3">
        <f>CO236*CN236</f>
        <v>0</v>
      </c>
    </row>
    <row r="237" spans="2:94" x14ac:dyDescent="0.2">
      <c r="CP237" s="3" t="e" cm="1">
        <f t="array" ref="CP237">SUM(CL234:CL236*CP234:CP236) / CL237</f>
        <v>#DIV/0!</v>
      </c>
    </row>
    <row r="238" spans="2:94" ht="17" x14ac:dyDescent="0.25">
      <c r="C238" s="3" t="s">
        <v>1</v>
      </c>
      <c r="D238" s="3" t="s">
        <v>5</v>
      </c>
      <c r="E238" s="198" t="s">
        <v>399</v>
      </c>
      <c r="H238" s="169" t="s">
        <v>380</v>
      </c>
      <c r="I238" s="3" t="s">
        <v>1</v>
      </c>
      <c r="J238" s="3" t="s">
        <v>5</v>
      </c>
      <c r="K238" s="198" t="s">
        <v>399</v>
      </c>
    </row>
    <row r="239" spans="2:94" ht="18" x14ac:dyDescent="0.25">
      <c r="B239" s="169" t="s">
        <v>485</v>
      </c>
      <c r="C239" s="13" t="s">
        <v>11</v>
      </c>
      <c r="D239" s="19" t="s">
        <v>84</v>
      </c>
      <c r="E239" s="13" t="s">
        <v>42</v>
      </c>
      <c r="F239" s="3" t="s">
        <v>44</v>
      </c>
      <c r="H239" s="13" t="s">
        <v>41</v>
      </c>
      <c r="I239" s="13" t="s">
        <v>11</v>
      </c>
      <c r="J239" s="19" t="s">
        <v>84</v>
      </c>
      <c r="K239" s="13" t="s">
        <v>42</v>
      </c>
      <c r="L239" s="3" t="s">
        <v>44</v>
      </c>
    </row>
    <row r="240" spans="2:94" ht="18" x14ac:dyDescent="0.25">
      <c r="B240" s="61" t="s">
        <v>470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33</v>
      </c>
      <c r="G240" s="3">
        <v>1</v>
      </c>
      <c r="H240" s="237" t="s">
        <v>64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35</v>
      </c>
      <c r="M240" s="3">
        <f>8*G240</f>
        <v>8</v>
      </c>
    </row>
    <row r="241" spans="2:88" ht="18" x14ac:dyDescent="0.25">
      <c r="B241" s="233" t="s">
        <v>24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34</v>
      </c>
      <c r="G241" s="3">
        <f>((2*M240)+(M241))/2</f>
        <v>12.5</v>
      </c>
      <c r="H241" s="13" t="s">
        <v>68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36</v>
      </c>
      <c r="M241" s="3">
        <f>9*G240</f>
        <v>9</v>
      </c>
    </row>
    <row r="242" spans="2:88" ht="18" x14ac:dyDescent="0.25">
      <c r="B242" s="20" t="s">
        <v>67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206</v>
      </c>
      <c r="G242" s="3">
        <v>3.76</v>
      </c>
      <c r="H242" s="20" t="s">
        <v>67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37</v>
      </c>
      <c r="M242" s="3">
        <f>G242*G241</f>
        <v>47</v>
      </c>
    </row>
    <row r="243" spans="2:88" x14ac:dyDescent="0.2">
      <c r="B243" s="3" t="s">
        <v>19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2:88" x14ac:dyDescent="0.2">
      <c r="B245" s="132" t="s">
        <v>617</v>
      </c>
      <c r="C245" s="132" t="s">
        <v>620</v>
      </c>
      <c r="D245" s="3" t="s">
        <v>383</v>
      </c>
      <c r="E245" s="3" t="s">
        <v>40</v>
      </c>
      <c r="F245" s="4" t="s">
        <v>35</v>
      </c>
      <c r="G245" s="132" t="s">
        <v>618</v>
      </c>
      <c r="H245" s="132" t="s">
        <v>623</v>
      </c>
    </row>
    <row r="246" spans="2:88" x14ac:dyDescent="0.2">
      <c r="B246" s="13" t="s">
        <v>98</v>
      </c>
      <c r="C246" s="13" t="s">
        <v>98</v>
      </c>
      <c r="D246" s="13" t="s">
        <v>343</v>
      </c>
      <c r="E246" s="13" t="s">
        <v>240</v>
      </c>
      <c r="F246" s="13" t="s">
        <v>240</v>
      </c>
      <c r="G246" s="13" t="s">
        <v>98</v>
      </c>
      <c r="H246" s="13" t="s">
        <v>343</v>
      </c>
    </row>
    <row r="247" spans="2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2:88" ht="16" thickBot="1" x14ac:dyDescent="0.25"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</row>
    <row r="250" spans="2:88" ht="18" customHeight="1" x14ac:dyDescent="0.2">
      <c r="B250" s="349" t="s">
        <v>489</v>
      </c>
      <c r="C250" s="349"/>
      <c r="D250" s="349"/>
      <c r="E250" s="349"/>
      <c r="J250" s="324" t="s">
        <v>70</v>
      </c>
      <c r="K250" s="324"/>
      <c r="L250" s="324"/>
      <c r="M250" s="324"/>
      <c r="N250" s="324"/>
      <c r="O250" s="324"/>
      <c r="CJ250" s="325"/>
    </row>
    <row r="251" spans="2:88" ht="18" x14ac:dyDescent="0.25">
      <c r="B251" s="349"/>
      <c r="C251" s="349"/>
      <c r="D251" s="349"/>
      <c r="E251" s="349"/>
      <c r="J251" s="324" t="s">
        <v>491</v>
      </c>
      <c r="K251" s="324"/>
      <c r="L251" s="324"/>
      <c r="M251" s="13"/>
      <c r="N251" s="350" t="s">
        <v>75</v>
      </c>
      <c r="O251" s="343"/>
      <c r="CJ251" s="325"/>
    </row>
    <row r="252" spans="2:88" x14ac:dyDescent="0.2">
      <c r="B252" s="349"/>
      <c r="C252" s="349"/>
      <c r="D252" s="349"/>
      <c r="E252" s="349"/>
      <c r="J252" s="324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4"/>
      <c r="L252" s="324"/>
      <c r="M252" s="324"/>
      <c r="N252" s="324"/>
      <c r="O252" s="324"/>
      <c r="CJ252" s="325"/>
    </row>
    <row r="253" spans="2:88" x14ac:dyDescent="0.2">
      <c r="B253" s="325" t="s">
        <v>634</v>
      </c>
      <c r="C253" s="325"/>
      <c r="D253" s="325"/>
      <c r="E253" s="325"/>
      <c r="CJ253" s="325"/>
    </row>
    <row r="254" spans="2:88" x14ac:dyDescent="0.2">
      <c r="CJ254" s="325"/>
    </row>
    <row r="255" spans="2:88" ht="17" x14ac:dyDescent="0.25">
      <c r="C255" s="3" t="s">
        <v>1</v>
      </c>
      <c r="D255" s="3" t="s">
        <v>5</v>
      </c>
      <c r="E255" s="198" t="s">
        <v>399</v>
      </c>
      <c r="H255" s="169" t="s">
        <v>380</v>
      </c>
      <c r="I255" s="3" t="s">
        <v>1</v>
      </c>
      <c r="J255" s="3" t="s">
        <v>5</v>
      </c>
      <c r="K255" s="198" t="s">
        <v>399</v>
      </c>
      <c r="CJ255" s="325"/>
    </row>
    <row r="256" spans="2:88" ht="18" x14ac:dyDescent="0.25">
      <c r="B256" s="169" t="s">
        <v>349</v>
      </c>
      <c r="C256" s="13" t="s">
        <v>11</v>
      </c>
      <c r="D256" s="19" t="s">
        <v>84</v>
      </c>
      <c r="E256" s="13" t="s">
        <v>42</v>
      </c>
      <c r="F256" s="3" t="s">
        <v>44</v>
      </c>
      <c r="H256" s="13" t="s">
        <v>41</v>
      </c>
      <c r="I256" s="13" t="s">
        <v>11</v>
      </c>
      <c r="J256" s="19" t="s">
        <v>84</v>
      </c>
      <c r="K256" s="13" t="s">
        <v>42</v>
      </c>
      <c r="L256" s="3" t="s">
        <v>44</v>
      </c>
      <c r="CJ256" s="325"/>
    </row>
    <row r="257" spans="2:88" ht="18" x14ac:dyDescent="0.25">
      <c r="B257" s="61" t="s">
        <v>487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33</v>
      </c>
      <c r="G257" s="3">
        <v>1</v>
      </c>
      <c r="H257" s="237" t="s">
        <v>64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35</v>
      </c>
      <c r="M257" s="3">
        <v>10</v>
      </c>
      <c r="CJ257" s="325"/>
    </row>
    <row r="258" spans="2:88" ht="18" x14ac:dyDescent="0.25">
      <c r="B258" s="233" t="s">
        <v>24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34</v>
      </c>
      <c r="G258" s="3">
        <f>((2*M257)+(M258))/2</f>
        <v>15</v>
      </c>
      <c r="H258" s="13" t="s">
        <v>68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36</v>
      </c>
      <c r="M258" s="3">
        <v>10</v>
      </c>
      <c r="CJ258" s="325"/>
    </row>
    <row r="259" spans="2:88" ht="18" x14ac:dyDescent="0.25">
      <c r="B259" s="20" t="s">
        <v>67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206</v>
      </c>
      <c r="G259" s="3">
        <v>3.76</v>
      </c>
      <c r="H259" s="20" t="s">
        <v>67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37</v>
      </c>
      <c r="M259" s="3">
        <f>G259*G258</f>
        <v>56.4</v>
      </c>
      <c r="CJ259" s="325"/>
    </row>
    <row r="260" spans="2:88" x14ac:dyDescent="0.2">
      <c r="B260" s="3" t="s">
        <v>19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25"/>
    </row>
    <row r="262" spans="2:88" x14ac:dyDescent="0.2">
      <c r="B262" s="132" t="s">
        <v>617</v>
      </c>
      <c r="C262" s="132" t="s">
        <v>620</v>
      </c>
      <c r="D262" s="3" t="s">
        <v>383</v>
      </c>
      <c r="E262" s="3" t="s">
        <v>40</v>
      </c>
      <c r="F262" s="4" t="s">
        <v>35</v>
      </c>
      <c r="G262" s="132" t="s">
        <v>618</v>
      </c>
      <c r="H262" s="132" t="s">
        <v>624</v>
      </c>
    </row>
    <row r="263" spans="2:88" x14ac:dyDescent="0.2">
      <c r="B263" s="13" t="s">
        <v>98</v>
      </c>
      <c r="C263" s="13" t="s">
        <v>98</v>
      </c>
      <c r="D263" s="13" t="s">
        <v>343</v>
      </c>
      <c r="E263" s="13" t="s">
        <v>240</v>
      </c>
      <c r="F263" s="13" t="s">
        <v>240</v>
      </c>
      <c r="G263" s="13" t="s">
        <v>98</v>
      </c>
      <c r="H263" s="13" t="s">
        <v>343</v>
      </c>
    </row>
    <row r="264" spans="2:88" ht="16" thickBot="1" x14ac:dyDescent="0.25">
      <c r="B264" s="296">
        <v>1.0401</v>
      </c>
      <c r="C264" s="296">
        <v>0.17280000000000001</v>
      </c>
      <c r="D264" s="296">
        <f>LHV_Oil</f>
        <v>39500</v>
      </c>
      <c r="E264" s="296">
        <f>(MW_H*20)/(MW_Oil)</f>
        <v>0.14371549482137158</v>
      </c>
      <c r="F264" s="296">
        <f>1-E264</f>
        <v>0.85628450517862842</v>
      </c>
      <c r="G264" s="296">
        <f>B264+(0.1728*(E264/F264))</f>
        <v>1.069102086753809</v>
      </c>
      <c r="H264" s="296">
        <f>G264*D264</f>
        <v>42229.532426775455</v>
      </c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</row>
    <row r="266" spans="2:88" x14ac:dyDescent="0.2">
      <c r="B266" s="349" t="s">
        <v>488</v>
      </c>
      <c r="C266" s="349"/>
      <c r="D266" s="349"/>
      <c r="E266" s="349"/>
      <c r="J266" s="324" t="s">
        <v>70</v>
      </c>
      <c r="K266" s="324"/>
      <c r="L266" s="324"/>
      <c r="M266" s="324"/>
      <c r="N266" s="324"/>
      <c r="O266" s="324"/>
    </row>
    <row r="267" spans="2:88" ht="18" x14ac:dyDescent="0.25">
      <c r="B267" s="349"/>
      <c r="C267" s="349"/>
      <c r="D267" s="349"/>
      <c r="E267" s="349"/>
      <c r="J267" s="324" t="s">
        <v>74</v>
      </c>
      <c r="K267" s="324"/>
      <c r="L267" s="324"/>
      <c r="M267" s="13"/>
      <c r="N267" s="350" t="s">
        <v>75</v>
      </c>
      <c r="O267" s="343"/>
    </row>
    <row r="268" spans="2:88" x14ac:dyDescent="0.2">
      <c r="B268" s="349"/>
      <c r="C268" s="349"/>
      <c r="D268" s="349"/>
      <c r="E268" s="349"/>
      <c r="J268" s="324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4"/>
      <c r="L268" s="324"/>
      <c r="M268" s="324"/>
      <c r="N268" s="324"/>
      <c r="O268" s="324"/>
    </row>
    <row r="269" spans="2:88" x14ac:dyDescent="0.2">
      <c r="B269" s="325" t="s">
        <v>634</v>
      </c>
      <c r="C269" s="325"/>
      <c r="D269" s="325"/>
      <c r="E269" s="325"/>
    </row>
    <row r="271" spans="2:88" ht="17" x14ac:dyDescent="0.25">
      <c r="C271" s="3" t="s">
        <v>1</v>
      </c>
      <c r="D271" s="3" t="s">
        <v>5</v>
      </c>
      <c r="E271" s="198" t="s">
        <v>399</v>
      </c>
      <c r="H271" s="169" t="s">
        <v>380</v>
      </c>
      <c r="I271" s="3" t="s">
        <v>1</v>
      </c>
      <c r="J271" s="3" t="s">
        <v>5</v>
      </c>
      <c r="K271" s="198" t="s">
        <v>399</v>
      </c>
    </row>
    <row r="272" spans="2:88" ht="18" x14ac:dyDescent="0.25">
      <c r="B272" s="169" t="s">
        <v>490</v>
      </c>
      <c r="C272" s="13" t="s">
        <v>11</v>
      </c>
      <c r="D272" s="19" t="s">
        <v>84</v>
      </c>
      <c r="E272" s="13" t="s">
        <v>42</v>
      </c>
      <c r="F272" s="3" t="s">
        <v>44</v>
      </c>
      <c r="H272" s="13" t="s">
        <v>41</v>
      </c>
      <c r="I272" s="13" t="s">
        <v>11</v>
      </c>
      <c r="J272" s="19" t="s">
        <v>84</v>
      </c>
      <c r="K272" s="13" t="s">
        <v>42</v>
      </c>
      <c r="L272" s="3" t="s">
        <v>44</v>
      </c>
    </row>
    <row r="273" spans="2:13" ht="18" x14ac:dyDescent="0.25">
      <c r="B273" s="13" t="s">
        <v>65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33</v>
      </c>
      <c r="G273" s="3">
        <v>1</v>
      </c>
      <c r="H273" s="237" t="s">
        <v>64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35</v>
      </c>
      <c r="M273" s="3">
        <v>1</v>
      </c>
    </row>
    <row r="274" spans="2:13" ht="18" x14ac:dyDescent="0.25">
      <c r="B274" s="233" t="s">
        <v>24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34</v>
      </c>
      <c r="G274" s="3">
        <f>E274/E273</f>
        <v>2</v>
      </c>
      <c r="H274" s="13" t="s">
        <v>68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36</v>
      </c>
      <c r="M274" s="3">
        <v>2</v>
      </c>
    </row>
    <row r="275" spans="2:13" ht="18" x14ac:dyDescent="0.25">
      <c r="B275" s="20" t="s">
        <v>67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206</v>
      </c>
      <c r="G275" s="3">
        <v>3.76</v>
      </c>
      <c r="H275" s="20" t="s">
        <v>67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37</v>
      </c>
      <c r="M275" s="3">
        <f>G275*G274</f>
        <v>7.52</v>
      </c>
    </row>
    <row r="276" spans="2:13" x14ac:dyDescent="0.2">
      <c r="B276" s="3" t="s">
        <v>19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2:13" x14ac:dyDescent="0.2">
      <c r="C278" s="3" t="s">
        <v>1</v>
      </c>
      <c r="D278" s="3" t="s">
        <v>5</v>
      </c>
      <c r="E278" s="132" t="s">
        <v>319</v>
      </c>
      <c r="F278" s="3" t="s">
        <v>383</v>
      </c>
      <c r="G278" s="3" t="s">
        <v>568</v>
      </c>
      <c r="H278" s="3" t="s">
        <v>568</v>
      </c>
    </row>
    <row r="279" spans="2:13" ht="18" x14ac:dyDescent="0.25">
      <c r="C279" s="13" t="s">
        <v>11</v>
      </c>
      <c r="D279" s="19" t="s">
        <v>84</v>
      </c>
      <c r="E279" s="13" t="s">
        <v>98</v>
      </c>
      <c r="F279" s="13" t="s">
        <v>343</v>
      </c>
      <c r="G279" s="13" t="s">
        <v>343</v>
      </c>
      <c r="H279" s="13" t="s">
        <v>58</v>
      </c>
    </row>
    <row r="280" spans="2:13" x14ac:dyDescent="0.2">
      <c r="B280" s="13" t="s">
        <v>182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2:13" ht="17" x14ac:dyDescent="0.25">
      <c r="B281" s="13" t="s">
        <v>65</v>
      </c>
      <c r="C281" s="3">
        <f>C273</f>
        <v>44.927545117863247</v>
      </c>
      <c r="D281" s="3">
        <f>MW_C</f>
        <v>1.2010999999999999E-2</v>
      </c>
    </row>
    <row r="283" spans="2:13" x14ac:dyDescent="0.2">
      <c r="B283" s="3" t="s">
        <v>566</v>
      </c>
      <c r="C283" s="3">
        <f>C280/C281</f>
        <v>0.33567230039130802</v>
      </c>
    </row>
    <row r="284" spans="2:13" x14ac:dyDescent="0.2">
      <c r="B284" s="3" t="s">
        <v>567</v>
      </c>
      <c r="C284" s="3">
        <f>(1-C283)</f>
        <v>0.66432769960869198</v>
      </c>
    </row>
  </sheetData>
  <mergeCells count="88">
    <mergeCell ref="B211:E211"/>
    <mergeCell ref="B233:E235"/>
    <mergeCell ref="A114:A117"/>
    <mergeCell ref="J233:O233"/>
    <mergeCell ref="J234:L234"/>
    <mergeCell ref="B236:E236"/>
    <mergeCell ref="N234:O234"/>
    <mergeCell ref="J235:O235"/>
    <mergeCell ref="A89:A93"/>
    <mergeCell ref="D143:S143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N107:N112"/>
    <mergeCell ref="A98:A101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A59" r:id="rId2" xr:uid="{C6620225-6BCE-FC43-9B7E-6F33F87D9C91}"/>
    <hyperlink ref="J59" r:id="rId3" display="https://chem.libretexts.org/Bookshelves/Organic_Chemistry/Supplemental_Modules_(Organic_Chemistry)/Alkanes/Reactivity_of_Alkanes/Complete_vs._Incomplete_Combustion_of_Alkanes " xr:uid="{83FA2892-2277-B54B-BAA2-8CF8844F592B}"/>
    <hyperlink ref="AK93" r:id="rId4" xr:uid="{816AF03E-4724-254A-A9BB-64A411931216}"/>
  </hyperlinks>
  <pageMargins left="0.7" right="0.7" top="0.75" bottom="0.75" header="0.3" footer="0.3"/>
  <pageSetup paperSize="9" orientation="portrait" horizontalDpi="0" verticalDpi="0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J122" zoomScale="137" zoomScaleNormal="120" workbookViewId="0">
      <selection activeCell="ED134" sqref="ED134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71" t="s">
        <v>361</v>
      </c>
      <c r="Q23" s="371"/>
      <c r="BG23" s="16" t="s">
        <v>191</v>
      </c>
      <c r="BH23" s="3" t="s">
        <v>299</v>
      </c>
      <c r="BI23" s="3" t="s">
        <v>300</v>
      </c>
    </row>
    <row r="24" spans="14:66" ht="16" customHeight="1" thickBot="1" x14ac:dyDescent="0.25">
      <c r="P24" s="372"/>
      <c r="Q24" s="372"/>
    </row>
    <row r="25" spans="14:66" ht="16" x14ac:dyDescent="0.2">
      <c r="P25" s="367" t="s">
        <v>341</v>
      </c>
      <c r="Q25" s="138" t="s">
        <v>314</v>
      </c>
      <c r="AO25" s="375" t="s">
        <v>427</v>
      </c>
      <c r="AP25" s="375"/>
      <c r="AQ25" s="375"/>
      <c r="AR25" s="375"/>
      <c r="AS25" s="375"/>
      <c r="AT25" s="375"/>
      <c r="AU25" s="375"/>
      <c r="BH25" s="375" t="s">
        <v>431</v>
      </c>
      <c r="BI25" s="375"/>
      <c r="BJ25" s="375"/>
      <c r="BK25" s="375"/>
      <c r="BL25" s="375"/>
      <c r="BM25" s="375"/>
      <c r="BN25" s="375"/>
    </row>
    <row r="26" spans="14:66" x14ac:dyDescent="0.2">
      <c r="P26" s="368"/>
      <c r="Q26" s="136" t="s">
        <v>48</v>
      </c>
      <c r="AO26" s="13" t="s">
        <v>288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319</v>
      </c>
      <c r="AU26" s="13" t="s">
        <v>313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319</v>
      </c>
      <c r="BN26" s="13" t="s">
        <v>313</v>
      </c>
    </row>
    <row r="27" spans="14:66" ht="17" x14ac:dyDescent="0.25">
      <c r="P27" s="139" t="s">
        <v>338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612</v>
      </c>
      <c r="Q28" s="136">
        <f>V42/V59</f>
        <v>1.1602561161065021</v>
      </c>
      <c r="AO28" s="13" t="s">
        <v>265</v>
      </c>
      <c r="AP28" s="13" t="s">
        <v>292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293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340</v>
      </c>
      <c r="Q29" s="137">
        <f>V46/V59</f>
        <v>0.97422228752096129</v>
      </c>
      <c r="BH29" s="13" t="s">
        <v>265</v>
      </c>
      <c r="BI29" s="13" t="s">
        <v>294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295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296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297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298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7"/>
      <c r="R41" s="267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81" t="s">
        <v>412</v>
      </c>
      <c r="F42" s="381"/>
      <c r="G42" s="381"/>
      <c r="H42" s="381"/>
      <c r="J42" s="4"/>
      <c r="K42" s="4"/>
      <c r="L42" s="4"/>
      <c r="M42" s="4"/>
      <c r="N42" s="4"/>
      <c r="O42" s="4"/>
      <c r="P42" s="267"/>
      <c r="Q42" s="267" t="s">
        <v>413</v>
      </c>
      <c r="R42" s="267"/>
      <c r="S42" s="4"/>
      <c r="T42" s="4"/>
      <c r="U42" s="50">
        <f>K52</f>
        <v>1011.7674660019052</v>
      </c>
      <c r="V42" s="48">
        <f>V52</f>
        <v>109233.7126431732</v>
      </c>
      <c r="W42" s="364" t="s">
        <v>405</v>
      </c>
      <c r="X42" s="364"/>
      <c r="Y42" s="364"/>
      <c r="Z42" s="364"/>
      <c r="AA42" s="364"/>
      <c r="AB42" s="4"/>
      <c r="AC42" s="4"/>
      <c r="AD42" s="4"/>
      <c r="AE42" s="4"/>
      <c r="AF42" s="4"/>
      <c r="AG42" s="4"/>
      <c r="AH42" s="4"/>
      <c r="AI42" s="97"/>
      <c r="AJ42" s="4" t="s">
        <v>527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64" t="s">
        <v>541</v>
      </c>
      <c r="AQ42" s="364"/>
      <c r="AR42" s="364"/>
      <c r="AS42" s="364"/>
      <c r="AT42" s="364"/>
      <c r="AV42" s="4"/>
      <c r="AW42" s="4"/>
      <c r="AX42" s="4"/>
      <c r="AY42" s="4"/>
      <c r="AZ42" s="4"/>
      <c r="BA42" s="4"/>
      <c r="BB42" s="4"/>
      <c r="BC42" s="4" t="s">
        <v>526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64" t="s">
        <v>432</v>
      </c>
      <c r="BJ42" s="364"/>
      <c r="BK42" s="364"/>
      <c r="BL42" s="364"/>
      <c r="BM42" s="364"/>
      <c r="BV42" s="3" t="s">
        <v>524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81"/>
      <c r="F43" s="381"/>
      <c r="G43" s="381"/>
      <c r="H43" s="381"/>
      <c r="J43" s="4"/>
      <c r="K43" s="4"/>
      <c r="L43" s="4"/>
      <c r="M43" s="4"/>
      <c r="N43" s="4"/>
      <c r="O43" s="4"/>
      <c r="P43" s="4"/>
      <c r="Q43" s="4"/>
      <c r="R43" s="4"/>
      <c r="S43" s="4"/>
      <c r="W43" s="370"/>
      <c r="X43" s="370"/>
      <c r="Y43" s="370"/>
      <c r="Z43" s="370"/>
      <c r="AA43" s="370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64"/>
      <c r="AQ43" s="364"/>
      <c r="AR43" s="364"/>
      <c r="AS43" s="364"/>
      <c r="AT43" s="36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64"/>
      <c r="BJ43" s="364"/>
      <c r="BK43" s="364"/>
      <c r="BL43" s="364"/>
      <c r="BM43" s="364"/>
    </row>
    <row r="44" spans="5:80" ht="19.25" customHeight="1" x14ac:dyDescent="0.25">
      <c r="J44" s="4"/>
      <c r="K44" s="1" t="s">
        <v>534</v>
      </c>
      <c r="L44" s="1" t="s">
        <v>535</v>
      </c>
      <c r="M44" s="1" t="s">
        <v>537</v>
      </c>
      <c r="N44" s="1" t="s">
        <v>85</v>
      </c>
      <c r="O44" s="1" t="s">
        <v>636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536</v>
      </c>
      <c r="V44" s="1" t="s">
        <v>50</v>
      </c>
      <c r="W44" s="22" t="s">
        <v>420</v>
      </c>
      <c r="X44" s="100" t="s">
        <v>461</v>
      </c>
      <c r="Y44" s="189" t="s">
        <v>334</v>
      </c>
      <c r="Z44" s="379" t="s">
        <v>341</v>
      </c>
      <c r="AA44" s="138" t="s">
        <v>314</v>
      </c>
      <c r="AB44" s="4"/>
      <c r="AC44" s="4"/>
      <c r="AD44" s="1" t="s">
        <v>534</v>
      </c>
      <c r="AE44" s="1" t="s">
        <v>535</v>
      </c>
      <c r="AF44" s="1" t="s">
        <v>537</v>
      </c>
      <c r="AG44" s="1" t="s">
        <v>85</v>
      </c>
      <c r="AH44" s="1" t="s">
        <v>636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536</v>
      </c>
      <c r="AO44" s="1" t="s">
        <v>50</v>
      </c>
      <c r="AP44" s="22" t="s">
        <v>420</v>
      </c>
      <c r="AQ44" s="22" t="s">
        <v>461</v>
      </c>
      <c r="AR44" s="159" t="s">
        <v>334</v>
      </c>
      <c r="AS44" s="367" t="s">
        <v>341</v>
      </c>
      <c r="AT44" s="138" t="s">
        <v>314</v>
      </c>
      <c r="AU44" s="4"/>
      <c r="AV44" s="4"/>
      <c r="AW44" s="1" t="s">
        <v>534</v>
      </c>
      <c r="AX44" s="1" t="s">
        <v>535</v>
      </c>
      <c r="AY44" s="1" t="s">
        <v>537</v>
      </c>
      <c r="AZ44" s="1" t="s">
        <v>85</v>
      </c>
      <c r="BA44" s="1" t="s">
        <v>636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536</v>
      </c>
      <c r="BH44" s="1" t="s">
        <v>50</v>
      </c>
      <c r="BI44" s="22" t="s">
        <v>420</v>
      </c>
      <c r="BJ44" s="22" t="s">
        <v>461</v>
      </c>
      <c r="BK44" s="189" t="s">
        <v>334</v>
      </c>
      <c r="BL44" s="367" t="s">
        <v>341</v>
      </c>
      <c r="BM44" s="138" t="s">
        <v>314</v>
      </c>
      <c r="BN44" s="1"/>
      <c r="BO44" s="4"/>
      <c r="BP44" s="1" t="s">
        <v>534</v>
      </c>
      <c r="BQ44" s="1" t="s">
        <v>535</v>
      </c>
      <c r="BR44" s="1" t="s">
        <v>537</v>
      </c>
      <c r="BS44" s="1" t="s">
        <v>85</v>
      </c>
      <c r="BT44" s="1" t="s">
        <v>636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536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282</v>
      </c>
      <c r="M45" s="1" t="s">
        <v>90</v>
      </c>
      <c r="N45" s="1" t="s">
        <v>86</v>
      </c>
      <c r="O45" s="1" t="s">
        <v>95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0" t="s">
        <v>48</v>
      </c>
      <c r="X45" s="75" t="s">
        <v>48</v>
      </c>
      <c r="Y45" s="190" t="s">
        <v>89</v>
      </c>
      <c r="Z45" s="380"/>
      <c r="AA45" s="136" t="s">
        <v>82</v>
      </c>
      <c r="AB45" s="4"/>
      <c r="AC45" s="4"/>
      <c r="AD45" s="1" t="s">
        <v>88</v>
      </c>
      <c r="AE45" s="4" t="s">
        <v>282</v>
      </c>
      <c r="AF45" s="1" t="s">
        <v>90</v>
      </c>
      <c r="AG45" s="1" t="s">
        <v>86</v>
      </c>
      <c r="AH45" s="1" t="s">
        <v>95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0" t="s">
        <v>48</v>
      </c>
      <c r="AQ45" s="9" t="s">
        <v>48</v>
      </c>
      <c r="AR45" s="1" t="s">
        <v>89</v>
      </c>
      <c r="AS45" s="368"/>
      <c r="AT45" s="136" t="s">
        <v>82</v>
      </c>
      <c r="AU45" s="4"/>
      <c r="AV45" s="4"/>
      <c r="AW45" s="1" t="s">
        <v>88</v>
      </c>
      <c r="AX45" s="4" t="s">
        <v>282</v>
      </c>
      <c r="AY45" s="1" t="s">
        <v>90</v>
      </c>
      <c r="AZ45" s="1" t="s">
        <v>86</v>
      </c>
      <c r="BA45" s="1" t="s">
        <v>95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0" t="s">
        <v>48</v>
      </c>
      <c r="BJ45" s="9" t="s">
        <v>48</v>
      </c>
      <c r="BK45" s="9" t="s">
        <v>89</v>
      </c>
      <c r="BL45" s="368"/>
      <c r="BM45" s="136" t="s">
        <v>82</v>
      </c>
      <c r="BN45" s="4"/>
      <c r="BO45" s="4" t="s">
        <v>41</v>
      </c>
      <c r="BP45" s="1" t="s">
        <v>88</v>
      </c>
      <c r="BQ45" s="4" t="s">
        <v>282</v>
      </c>
      <c r="BR45" s="2" t="s">
        <v>90</v>
      </c>
      <c r="BS45" s="2" t="s">
        <v>86</v>
      </c>
      <c r="BT45" s="1" t="s">
        <v>95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57" t="s">
        <v>413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1">
        <f>ROUND(U42+U59+U72-AN42-AN63, 10)</f>
        <v>0</v>
      </c>
      <c r="Z46" s="188" t="s">
        <v>338</v>
      </c>
      <c r="AA46" s="136">
        <f>(($AG$46*($AN$46-$U$46))/V59)</f>
        <v>0</v>
      </c>
      <c r="AB46" s="357" t="s">
        <v>527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338</v>
      </c>
      <c r="AT46" s="136">
        <f>((AZ46*(BG46-AN46))/AU28)</f>
        <v>0</v>
      </c>
      <c r="AU46" s="357" t="s">
        <v>526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1">
        <f>BZ42+BZ55-BG42</f>
        <v>0</v>
      </c>
      <c r="BL46" s="139" t="s">
        <v>338</v>
      </c>
      <c r="BM46" s="136">
        <f>((BS46*(BZ46-BG46))/BN35)</f>
        <v>0.10204303400670409</v>
      </c>
      <c r="BN46" s="357" t="s">
        <v>524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57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612</v>
      </c>
      <c r="AA47" s="136">
        <f>($AO$42+AO63)/(V59+V72+$V$42)</f>
        <v>0.54834789034775577</v>
      </c>
      <c r="AB47" s="357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612</v>
      </c>
      <c r="AT47" s="136">
        <f>BH42/(AU28+AO42)</f>
        <v>0.15191900995389168</v>
      </c>
      <c r="AU47" s="357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612</v>
      </c>
      <c r="BM47" s="136">
        <f>(CA42+CA55)/(BN35+BH42)</f>
        <v>0.9084965360427989</v>
      </c>
      <c r="BN47" s="357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57" t="s">
        <v>529</v>
      </c>
      <c r="J48" s="4" t="s">
        <v>312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397</v>
      </c>
      <c r="AA48" s="137">
        <f>$AO$46/(V59+V72+$V$42)</f>
        <v>0.4504526211892465</v>
      </c>
      <c r="AB48" s="357" t="s">
        <v>528</v>
      </c>
      <c r="AC48" s="4" t="s">
        <v>312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397</v>
      </c>
      <c r="AT48" s="137">
        <f>BH46/(AU28+AO42)</f>
        <v>0.12756053024900801</v>
      </c>
      <c r="AU48" s="357" t="s">
        <v>525</v>
      </c>
      <c r="AV48" s="4" t="s">
        <v>312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397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57"/>
      <c r="J49" s="4" t="s">
        <v>306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57"/>
      <c r="AC49" s="4" t="s">
        <v>306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57"/>
      <c r="AV49" s="4" t="s">
        <v>306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637</v>
      </c>
      <c r="BU49" s="4"/>
      <c r="BV49" s="4"/>
      <c r="BZ49" s="3" t="s">
        <v>96</v>
      </c>
      <c r="CA49" s="1" t="s">
        <v>93</v>
      </c>
    </row>
    <row r="50" spans="2:86" x14ac:dyDescent="0.2">
      <c r="I50" s="357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57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57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57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57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57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561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561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561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637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563</v>
      </c>
      <c r="Z53" s="1" t="s">
        <v>563</v>
      </c>
      <c r="AA53" s="1" t="s">
        <v>563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637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563</v>
      </c>
      <c r="AS53" s="1" t="s">
        <v>563</v>
      </c>
      <c r="AT53" s="1" t="s">
        <v>563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637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563</v>
      </c>
      <c r="BK53" s="1" t="s">
        <v>563</v>
      </c>
      <c r="BL53" s="1" t="s">
        <v>563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562</v>
      </c>
      <c r="Z54" s="3" t="s">
        <v>562</v>
      </c>
      <c r="AA54" s="3" t="s">
        <v>562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562</v>
      </c>
      <c r="AS54" s="3" t="s">
        <v>562</v>
      </c>
      <c r="AT54" s="3" t="s">
        <v>562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562</v>
      </c>
      <c r="BK54" s="3" t="s">
        <v>562</v>
      </c>
      <c r="BL54" s="3" t="s">
        <v>562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523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2">
        <f>N47</f>
        <v>1979.5520626852608</v>
      </c>
      <c r="Z56" s="28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2">
        <f>AG47</f>
        <v>1979.5520626852608</v>
      </c>
      <c r="AS56" s="28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315</v>
      </c>
      <c r="Y57" s="282">
        <f>2*N48</f>
        <v>26.539522960691897</v>
      </c>
      <c r="Z57" s="28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315</v>
      </c>
      <c r="AR57" s="282">
        <f>2*AG48</f>
        <v>26.539522960691897</v>
      </c>
      <c r="AS57" s="28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315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534</v>
      </c>
      <c r="BQ57" s="1" t="s">
        <v>535</v>
      </c>
      <c r="BR57" s="1" t="s">
        <v>537</v>
      </c>
      <c r="BS57" s="1" t="s">
        <v>85</v>
      </c>
      <c r="BT57" s="1" t="s">
        <v>636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536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308</v>
      </c>
      <c r="Y58" s="282">
        <f>2*N49</f>
        <v>196.14637665136635</v>
      </c>
      <c r="Z58" s="28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308</v>
      </c>
      <c r="AR58" s="282">
        <f>2*AG49</f>
        <v>196.14637665136635</v>
      </c>
      <c r="AS58" s="28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308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7"/>
      <c r="BO58" s="4" t="s">
        <v>41</v>
      </c>
      <c r="BP58" s="1" t="s">
        <v>88</v>
      </c>
      <c r="BQ58" s="4" t="s">
        <v>282</v>
      </c>
      <c r="BR58" s="2" t="s">
        <v>90</v>
      </c>
      <c r="BS58" s="2" t="s">
        <v>86</v>
      </c>
      <c r="BT58" s="1" t="s">
        <v>95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79" t="s">
        <v>552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2">
        <f>N50</f>
        <v>12.394871839617645</v>
      </c>
      <c r="Z59" s="28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2">
        <f>AG50</f>
        <v>12.394871839617645</v>
      </c>
      <c r="AS59" s="28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2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7" t="s">
        <v>523</v>
      </c>
      <c r="BO59" s="62" t="s">
        <v>312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316</v>
      </c>
      <c r="F60" s="3" t="s">
        <v>317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2">
        <f>N51</f>
        <v>4.1765146853454036</v>
      </c>
      <c r="Z60" s="28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2">
        <f>AG51</f>
        <v>4.1765146853454036</v>
      </c>
      <c r="AS60" s="28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2">
        <f>AZ51</f>
        <v>4.1765146853454036</v>
      </c>
      <c r="BK60" s="282">
        <f>BS62</f>
        <v>4.1765146853454036</v>
      </c>
      <c r="BL60" s="3">
        <f t="shared" si="30"/>
        <v>0</v>
      </c>
      <c r="BM60" s="4"/>
      <c r="BN60" s="357"/>
      <c r="BO60" s="4" t="s">
        <v>306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56" t="s">
        <v>468</v>
      </c>
      <c r="C61" s="356"/>
      <c r="D61" s="356"/>
      <c r="E61" s="356"/>
      <c r="F61" s="356"/>
      <c r="G61" s="356"/>
      <c r="H61" s="356"/>
      <c r="J61" s="4"/>
      <c r="K61" s="3" t="s">
        <v>540</v>
      </c>
      <c r="L61" s="1" t="s">
        <v>534</v>
      </c>
      <c r="M61" s="1" t="s">
        <v>537</v>
      </c>
      <c r="N61" s="1" t="s">
        <v>85</v>
      </c>
      <c r="O61" s="1" t="s">
        <v>636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536</v>
      </c>
      <c r="V61" s="1" t="s">
        <v>50</v>
      </c>
      <c r="X61" s="4" t="s">
        <v>18</v>
      </c>
      <c r="Y61" s="282">
        <f>12*N63</f>
        <v>148.42688499366969</v>
      </c>
      <c r="Z61" s="28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2">
        <f>(3*AG46)+(2*AG47)+AG48+(3*AG49)</f>
        <v>20818.724417046393</v>
      </c>
      <c r="AS61" s="28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2">
        <f>(3*AZ46)+(2*AZ47)+AZ48+(3*AZ49)</f>
        <v>20818.724417046393</v>
      </c>
      <c r="BK61" s="282">
        <f>(3*BS46)+(2*BS47)+BS59+(3*BS60)</f>
        <v>20818.724417046393</v>
      </c>
      <c r="BL61" s="3">
        <f t="shared" si="30"/>
        <v>0</v>
      </c>
      <c r="BM61" s="4"/>
      <c r="BN61" s="357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59"/>
      <c r="C62" s="359"/>
      <c r="D62" s="359"/>
      <c r="E62" s="359"/>
      <c r="F62" s="359"/>
      <c r="G62" s="359"/>
      <c r="H62" s="359"/>
      <c r="J62" s="4" t="s">
        <v>41</v>
      </c>
      <c r="K62" s="3" t="s">
        <v>539</v>
      </c>
      <c r="L62" s="1" t="s">
        <v>88</v>
      </c>
      <c r="M62" s="1" t="s">
        <v>90</v>
      </c>
      <c r="N62" s="1" t="s">
        <v>86</v>
      </c>
      <c r="O62" s="1" t="s">
        <v>95</v>
      </c>
      <c r="P62" s="1" t="s">
        <v>626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2">
        <f>23*N63</f>
        <v>284.48486290453354</v>
      </c>
      <c r="Z62" s="282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7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319</v>
      </c>
      <c r="H63" s="13" t="s">
        <v>313</v>
      </c>
      <c r="I63" s="278" t="s">
        <v>552</v>
      </c>
      <c r="J63" s="62" t="s">
        <v>471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2">
        <f>(3*N46)+(2*N47)+N48+(3*N49)+(2*N76)</f>
        <v>21257.820618485999</v>
      </c>
      <c r="Z63" s="28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494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7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360</v>
      </c>
      <c r="Y64" s="282">
        <f>2*N77</f>
        <v>1651.0017174129191</v>
      </c>
      <c r="Z64" s="28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637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637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534</v>
      </c>
      <c r="AE65" s="1" t="s">
        <v>535</v>
      </c>
      <c r="AF65" s="1" t="s">
        <v>537</v>
      </c>
      <c r="AG65" s="1" t="s">
        <v>85</v>
      </c>
      <c r="AH65" s="1" t="s">
        <v>636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536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282</v>
      </c>
      <c r="AF66" s="2" t="s">
        <v>12</v>
      </c>
      <c r="AG66" s="2" t="s">
        <v>13</v>
      </c>
      <c r="AH66" s="1" t="s">
        <v>95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7" t="s">
        <v>494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289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7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290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7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291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7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637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505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56" t="s">
        <v>499</v>
      </c>
      <c r="F74" s="356"/>
      <c r="G74" s="356"/>
      <c r="H74" s="356"/>
      <c r="K74" s="1" t="s">
        <v>534</v>
      </c>
      <c r="L74" s="1" t="s">
        <v>535</v>
      </c>
      <c r="M74" s="1" t="s">
        <v>537</v>
      </c>
      <c r="N74" s="1" t="s">
        <v>85</v>
      </c>
      <c r="O74" s="1" t="s">
        <v>636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536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56"/>
      <c r="F75" s="356"/>
      <c r="G75" s="356"/>
      <c r="H75" s="356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95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57" t="s">
        <v>505</v>
      </c>
      <c r="J76" s="1" t="s">
        <v>302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57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91</v>
      </c>
      <c r="N79" s="3" t="s">
        <v>87</v>
      </c>
      <c r="O79" s="1" t="s">
        <v>637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336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394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496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7"/>
      <c r="AI102" s="187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56" t="s">
        <v>495</v>
      </c>
      <c r="DU103" s="356"/>
      <c r="DV103" s="356"/>
      <c r="DW103" s="356"/>
      <c r="DX103" s="356"/>
      <c r="DY103" s="356"/>
      <c r="EA103" s="4"/>
      <c r="EB103" s="3" t="s">
        <v>540</v>
      </c>
      <c r="EC103" s="1" t="s">
        <v>534</v>
      </c>
      <c r="ED103" s="3" t="s">
        <v>5</v>
      </c>
      <c r="EE103" s="1" t="s">
        <v>85</v>
      </c>
      <c r="EF103" s="1" t="s">
        <v>636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536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283</v>
      </c>
      <c r="BK104" s="4"/>
      <c r="BL104" s="4" t="s">
        <v>284</v>
      </c>
      <c r="BM104" s="4"/>
      <c r="BN104" s="4"/>
      <c r="BO104" s="4"/>
      <c r="BP104" s="4"/>
      <c r="BQ104" s="4"/>
      <c r="BR104" s="4"/>
      <c r="BS104" s="4"/>
      <c r="DT104" s="359"/>
      <c r="DU104" s="359"/>
      <c r="DV104" s="359"/>
      <c r="DW104" s="359"/>
      <c r="DX104" s="359"/>
      <c r="DY104" s="359"/>
      <c r="EA104" s="4" t="s">
        <v>41</v>
      </c>
      <c r="EB104" s="3" t="s">
        <v>539</v>
      </c>
      <c r="EC104" s="1" t="s">
        <v>88</v>
      </c>
      <c r="ED104" s="1" t="s">
        <v>90</v>
      </c>
      <c r="EE104" s="1" t="s">
        <v>86</v>
      </c>
      <c r="EF104" s="1" t="s">
        <v>95</v>
      </c>
      <c r="EG104" s="1" t="s">
        <v>343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95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543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319</v>
      </c>
      <c r="DY105" s="114" t="s">
        <v>313</v>
      </c>
      <c r="DZ105" s="219" t="s">
        <v>496</v>
      </c>
      <c r="EA105" s="96" t="s">
        <v>487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326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535</v>
      </c>
      <c r="FD106" s="1" t="s">
        <v>5</v>
      </c>
      <c r="FE106" s="1" t="s">
        <v>85</v>
      </c>
      <c r="FF106" s="1" t="s">
        <v>636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536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533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65">
        <f>DW107*DX107</f>
        <v>205779.24986083046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637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538</v>
      </c>
      <c r="FD107" s="2" t="s">
        <v>12</v>
      </c>
      <c r="FE107" s="2" t="s">
        <v>13</v>
      </c>
      <c r="FF107" s="1" t="s">
        <v>95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19" t="s">
        <v>543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65" t="s">
        <v>427</v>
      </c>
      <c r="AP110" s="366"/>
      <c r="AQ110" s="366"/>
      <c r="AR110" s="366"/>
      <c r="AS110" s="366"/>
      <c r="AT110" s="366"/>
      <c r="AU110" s="36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66" t="s">
        <v>431</v>
      </c>
      <c r="BH110" s="366"/>
      <c r="BI110" s="366"/>
      <c r="BJ110" s="366"/>
      <c r="BK110" s="366"/>
      <c r="BL110" s="366"/>
      <c r="BM110" s="36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346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637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77" t="s">
        <v>361</v>
      </c>
      <c r="Q111" s="377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319</v>
      </c>
      <c r="AU111" s="114" t="s">
        <v>313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319</v>
      </c>
      <c r="BM111" s="114" t="s">
        <v>313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78"/>
      <c r="Q112" s="378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326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5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67" t="s">
        <v>341</v>
      </c>
      <c r="Q113" s="138" t="s">
        <v>314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301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321</v>
      </c>
      <c r="CW113" s="108" t="s">
        <v>322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68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512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459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366" t="s">
        <v>433</v>
      </c>
      <c r="EQ114" s="366"/>
      <c r="ER114" s="366"/>
      <c r="ES114" s="366"/>
      <c r="ET114" s="366"/>
      <c r="EU114" s="366"/>
    </row>
    <row r="115" spans="5:176" ht="16" x14ac:dyDescent="0.2">
      <c r="P115" s="139" t="s">
        <v>338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319</v>
      </c>
      <c r="EU115" s="114" t="s">
        <v>313</v>
      </c>
    </row>
    <row r="116" spans="5:176" ht="19.25" customHeight="1" thickBot="1" x14ac:dyDescent="0.3">
      <c r="N116" s="6"/>
      <c r="O116" s="6"/>
      <c r="P116" s="139" t="s">
        <v>612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534</v>
      </c>
      <c r="CM116" s="1" t="s">
        <v>535</v>
      </c>
      <c r="CN116" s="1" t="s">
        <v>537</v>
      </c>
      <c r="CO116" s="1" t="s">
        <v>85</v>
      </c>
      <c r="CP116" s="1" t="s">
        <v>636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536</v>
      </c>
      <c r="CW116" s="1" t="s">
        <v>50</v>
      </c>
      <c r="CX116" s="6"/>
      <c r="CY116" s="4"/>
      <c r="DB116" s="4"/>
      <c r="DC116" s="4"/>
      <c r="DT116" s="356" t="s">
        <v>458</v>
      </c>
      <c r="DU116" s="356"/>
      <c r="DV116" s="356"/>
      <c r="DW116" s="356"/>
      <c r="DX116" s="356"/>
      <c r="DY116" s="356"/>
      <c r="EA116" s="4"/>
      <c r="EB116" s="3" t="s">
        <v>540</v>
      </c>
      <c r="EC116" s="1" t="s">
        <v>534</v>
      </c>
      <c r="ED116" s="3" t="s">
        <v>5</v>
      </c>
      <c r="EE116" s="1" t="s">
        <v>85</v>
      </c>
      <c r="EF116" s="1" t="s">
        <v>636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536</v>
      </c>
      <c r="EM116" s="1" t="s">
        <v>50</v>
      </c>
      <c r="EP116" s="15" t="s">
        <v>98</v>
      </c>
      <c r="EQ116" s="114" t="s">
        <v>230</v>
      </c>
      <c r="ER116" s="114" t="s">
        <v>326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340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282</v>
      </c>
      <c r="CN117" s="2" t="s">
        <v>90</v>
      </c>
      <c r="CO117" s="2" t="s">
        <v>86</v>
      </c>
      <c r="CP117" s="1" t="s">
        <v>95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59"/>
      <c r="DU117" s="359"/>
      <c r="DV117" s="359"/>
      <c r="DW117" s="359"/>
      <c r="DX117" s="359"/>
      <c r="DY117" s="359"/>
      <c r="EA117" s="4" t="s">
        <v>41</v>
      </c>
      <c r="EB117" s="3" t="s">
        <v>539</v>
      </c>
      <c r="EC117" s="1" t="s">
        <v>88</v>
      </c>
      <c r="ED117" s="1" t="s">
        <v>90</v>
      </c>
      <c r="EE117" s="1" t="s">
        <v>86</v>
      </c>
      <c r="EF117" s="1" t="s">
        <v>95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64">
        <v>1</v>
      </c>
      <c r="EU117" s="266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1" t="s">
        <v>512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319</v>
      </c>
      <c r="DY118" s="114" t="s">
        <v>313</v>
      </c>
      <c r="DZ118" s="219" t="s">
        <v>459</v>
      </c>
      <c r="EA118" s="95" t="s">
        <v>65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326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321</v>
      </c>
      <c r="CM120" s="6"/>
      <c r="CN120" s="113" t="s">
        <v>328</v>
      </c>
      <c r="CO120" s="113" t="s">
        <v>329</v>
      </c>
      <c r="CP120" s="1" t="s">
        <v>637</v>
      </c>
      <c r="CQ120" s="6"/>
      <c r="CR120" s="6"/>
      <c r="CS120" s="113"/>
      <c r="CT120" s="113"/>
      <c r="CU120" s="113"/>
      <c r="CV120" s="113" t="s">
        <v>330</v>
      </c>
      <c r="CW120" s="6" t="s">
        <v>322</v>
      </c>
      <c r="CX120" s="6"/>
      <c r="CY120" s="4"/>
      <c r="CZ120" s="4"/>
      <c r="DA120" s="4"/>
      <c r="DB120" s="4"/>
      <c r="DE120" s="4"/>
      <c r="DF120" s="4"/>
      <c r="DT120" s="15" t="s">
        <v>287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637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318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337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321</v>
      </c>
      <c r="V125" s="108" t="s">
        <v>322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321</v>
      </c>
      <c r="AP125" s="108" t="s">
        <v>322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321</v>
      </c>
      <c r="BI125" s="108" t="s">
        <v>322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321</v>
      </c>
      <c r="CB125" s="108" t="s">
        <v>322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510</v>
      </c>
      <c r="CS125" s="113"/>
      <c r="CT125" s="113"/>
      <c r="CU125" s="6"/>
      <c r="CV125" s="107" t="s">
        <v>321</v>
      </c>
      <c r="CW125" s="108" t="s">
        <v>322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81" t="s">
        <v>498</v>
      </c>
      <c r="F126" s="381"/>
      <c r="G126" s="381"/>
      <c r="H126" s="381"/>
      <c r="J126" s="6"/>
      <c r="K126" s="121"/>
      <c r="L126" s="6"/>
      <c r="M126" s="6"/>
      <c r="N126" s="6"/>
      <c r="O126" s="6"/>
      <c r="P126" s="6"/>
      <c r="Q126" s="6" t="s">
        <v>415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73" t="s">
        <v>406</v>
      </c>
      <c r="X126" s="373"/>
      <c r="Y126" s="373"/>
      <c r="Z126" s="373"/>
      <c r="AA126" s="373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497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73" t="s">
        <v>520</v>
      </c>
      <c r="AR126" s="373"/>
      <c r="AS126" s="373"/>
      <c r="AT126" s="373"/>
      <c r="AU126" s="373"/>
      <c r="AV126" s="6"/>
      <c r="AW126" s="6"/>
      <c r="AX126" s="121"/>
      <c r="AY126" s="6"/>
      <c r="AZ126" s="6"/>
      <c r="BA126" s="6"/>
      <c r="BB126" s="6"/>
      <c r="BC126" s="6"/>
      <c r="BD126" s="6" t="s">
        <v>521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73" t="s">
        <v>429</v>
      </c>
      <c r="BK126" s="373"/>
      <c r="BL126" s="373"/>
      <c r="BM126" s="373"/>
      <c r="BN126" s="373"/>
      <c r="BO126" s="6"/>
      <c r="BP126" s="6"/>
      <c r="BQ126" s="121"/>
      <c r="BR126" s="6"/>
      <c r="BS126" s="6"/>
      <c r="BT126" s="6"/>
      <c r="BU126" s="6"/>
      <c r="BV126" s="6"/>
      <c r="BW126" s="6" t="s">
        <v>464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73" t="s">
        <v>430</v>
      </c>
      <c r="CD126" s="373"/>
      <c r="CE126" s="373"/>
      <c r="CF126" s="373"/>
      <c r="CG126" s="373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93" t="s">
        <v>81</v>
      </c>
      <c r="DT126" s="393"/>
      <c r="DU126" s="393"/>
      <c r="DV126" s="393"/>
      <c r="DW126" s="393"/>
      <c r="DX126" s="393"/>
      <c r="DY126" s="393"/>
      <c r="EG126" s="3" t="s">
        <v>530</v>
      </c>
      <c r="EL126" s="170">
        <f>EB134</f>
        <v>1314.2879334772852</v>
      </c>
      <c r="EM126" s="171">
        <f>EM134</f>
        <v>6688312.3779436089</v>
      </c>
      <c r="EN126" s="363" t="s">
        <v>417</v>
      </c>
      <c r="EO126" s="363"/>
      <c r="EP126" s="363"/>
      <c r="EQ126" s="363"/>
      <c r="ER126" s="363"/>
      <c r="ES126" s="363"/>
      <c r="ET126" s="363"/>
      <c r="EY126" s="1"/>
      <c r="EZ126" s="1"/>
      <c r="FA126" s="1"/>
      <c r="FB126" s="1"/>
      <c r="FC126" s="1"/>
      <c r="FD126" s="1"/>
      <c r="FE126" s="3" t="s">
        <v>531</v>
      </c>
      <c r="FL126" s="50">
        <f>FB131</f>
        <v>616.23583583508366</v>
      </c>
      <c r="FM126" s="48">
        <f>FM131</f>
        <v>4157895.2984628798</v>
      </c>
      <c r="FN126" s="363" t="s">
        <v>411</v>
      </c>
      <c r="FO126" s="363"/>
      <c r="FP126" s="363"/>
      <c r="FQ126" s="363"/>
      <c r="FR126" s="363"/>
      <c r="FS126" s="363"/>
      <c r="FT126" s="363"/>
    </row>
    <row r="127" spans="5:176" ht="16.25" customHeight="1" thickBot="1" x14ac:dyDescent="0.25">
      <c r="E127" s="381"/>
      <c r="F127" s="381"/>
      <c r="G127" s="381"/>
      <c r="H127" s="381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74"/>
      <c r="X127" s="374"/>
      <c r="Y127" s="374"/>
      <c r="Z127" s="374"/>
      <c r="AA127" s="374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73"/>
      <c r="AR127" s="373"/>
      <c r="AS127" s="373"/>
      <c r="AT127" s="373"/>
      <c r="AU127" s="373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73"/>
      <c r="BK127" s="373"/>
      <c r="BL127" s="373"/>
      <c r="BM127" s="373"/>
      <c r="BN127" s="373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73"/>
      <c r="CD127" s="373"/>
      <c r="CE127" s="373"/>
      <c r="CF127" s="373"/>
      <c r="CG127" s="373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93"/>
      <c r="DT127" s="393"/>
      <c r="DU127" s="393"/>
      <c r="DV127" s="393"/>
      <c r="DW127" s="393"/>
      <c r="DX127" s="393"/>
      <c r="DY127" s="393"/>
      <c r="EN127" s="363"/>
      <c r="EO127" s="363"/>
      <c r="EP127" s="363"/>
      <c r="EQ127" s="363"/>
      <c r="ER127" s="363"/>
      <c r="ES127" s="363"/>
      <c r="ET127" s="363"/>
      <c r="EY127" s="1"/>
      <c r="EZ127" s="1"/>
      <c r="FA127" s="1"/>
      <c r="FB127" s="1"/>
      <c r="FC127" s="1"/>
      <c r="FD127" s="1"/>
      <c r="FE127" s="1"/>
      <c r="FF127" s="1"/>
      <c r="FG127" s="1"/>
      <c r="FN127" s="363"/>
      <c r="FO127" s="363"/>
      <c r="FP127" s="363"/>
      <c r="FQ127" s="363"/>
      <c r="FR127" s="363"/>
      <c r="FS127" s="363"/>
      <c r="FT127" s="363"/>
    </row>
    <row r="128" spans="5:176" ht="19.75" customHeight="1" thickBot="1" x14ac:dyDescent="0.3">
      <c r="J128" s="4"/>
      <c r="K128" s="1" t="s">
        <v>534</v>
      </c>
      <c r="L128" s="1" t="s">
        <v>535</v>
      </c>
      <c r="M128" s="1" t="s">
        <v>537</v>
      </c>
      <c r="N128" s="1" t="s">
        <v>85</v>
      </c>
      <c r="O128" s="1" t="s">
        <v>636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536</v>
      </c>
      <c r="V128" s="1" t="s">
        <v>50</v>
      </c>
      <c r="W128" s="22" t="s">
        <v>420</v>
      </c>
      <c r="X128" s="100" t="s">
        <v>461</v>
      </c>
      <c r="Y128" s="135" t="s">
        <v>345</v>
      </c>
      <c r="Z128" s="367" t="s">
        <v>341</v>
      </c>
      <c r="AA128" s="138" t="s">
        <v>314</v>
      </c>
      <c r="AB128" s="1"/>
      <c r="AC128" s="6"/>
      <c r="AD128" s="4"/>
      <c r="AE128" s="1" t="s">
        <v>534</v>
      </c>
      <c r="AF128" s="1" t="s">
        <v>535</v>
      </c>
      <c r="AG128" s="1" t="s">
        <v>537</v>
      </c>
      <c r="AH128" s="1" t="s">
        <v>85</v>
      </c>
      <c r="AI128" s="1" t="s">
        <v>636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536</v>
      </c>
      <c r="AP128" s="1" t="s">
        <v>50</v>
      </c>
      <c r="AQ128" s="22" t="s">
        <v>420</v>
      </c>
      <c r="AR128" s="100" t="s">
        <v>461</v>
      </c>
      <c r="AS128" s="135" t="s">
        <v>345</v>
      </c>
      <c r="AT128" s="367" t="s">
        <v>341</v>
      </c>
      <c r="AU128" s="138" t="s">
        <v>314</v>
      </c>
      <c r="AV128" s="1"/>
      <c r="AW128" s="4"/>
      <c r="AX128" s="1" t="s">
        <v>534</v>
      </c>
      <c r="AY128" s="1" t="s">
        <v>535</v>
      </c>
      <c r="AZ128" s="1" t="s">
        <v>537</v>
      </c>
      <c r="BA128" s="1" t="s">
        <v>85</v>
      </c>
      <c r="BB128" s="1" t="s">
        <v>636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536</v>
      </c>
      <c r="BI128" s="1" t="s">
        <v>50</v>
      </c>
      <c r="BJ128" s="22" t="s">
        <v>420</v>
      </c>
      <c r="BK128" s="100" t="s">
        <v>461</v>
      </c>
      <c r="BL128" s="135" t="s">
        <v>345</v>
      </c>
      <c r="BM128" s="367" t="s">
        <v>341</v>
      </c>
      <c r="BN128" s="138" t="s">
        <v>314</v>
      </c>
      <c r="BO128" s="1"/>
      <c r="BP128" s="4"/>
      <c r="BQ128" s="1" t="s">
        <v>534</v>
      </c>
      <c r="BR128" s="1" t="s">
        <v>535</v>
      </c>
      <c r="BS128" s="1" t="s">
        <v>537</v>
      </c>
      <c r="BT128" s="1" t="s">
        <v>85</v>
      </c>
      <c r="BU128" s="1" t="s">
        <v>636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536</v>
      </c>
      <c r="CB128" s="1" t="s">
        <v>50</v>
      </c>
      <c r="CC128" s="22" t="s">
        <v>420</v>
      </c>
      <c r="CD128" s="100" t="s">
        <v>461</v>
      </c>
      <c r="CE128" s="135" t="s">
        <v>345</v>
      </c>
      <c r="CF128" s="367" t="s">
        <v>341</v>
      </c>
      <c r="CG128" s="138" t="s">
        <v>314</v>
      </c>
      <c r="CH128" s="113"/>
      <c r="CI128" s="113"/>
      <c r="CJ128" s="113"/>
      <c r="CK128" s="4"/>
      <c r="CL128" s="1" t="s">
        <v>534</v>
      </c>
      <c r="CM128" s="1" t="s">
        <v>535</v>
      </c>
      <c r="CN128" s="1" t="s">
        <v>537</v>
      </c>
      <c r="CO128" s="1" t="s">
        <v>85</v>
      </c>
      <c r="CP128" s="1" t="s">
        <v>636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536</v>
      </c>
      <c r="CW128" s="1" t="s">
        <v>50</v>
      </c>
      <c r="DS128" s="393"/>
      <c r="DT128" s="393"/>
      <c r="DU128" s="393"/>
      <c r="DV128" s="393"/>
      <c r="DW128" s="393"/>
      <c r="DX128" s="393"/>
      <c r="DY128" s="393"/>
      <c r="EA128" s="4"/>
      <c r="EB128" s="1" t="s">
        <v>534</v>
      </c>
      <c r="EC128" s="1" t="s">
        <v>535</v>
      </c>
      <c r="ED128" s="1" t="s">
        <v>537</v>
      </c>
      <c r="EE128" s="1" t="s">
        <v>85</v>
      </c>
      <c r="EF128" s="1" t="s">
        <v>636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536</v>
      </c>
      <c r="EM128" s="1" t="s">
        <v>50</v>
      </c>
      <c r="EN128" s="363"/>
      <c r="EO128" s="363"/>
      <c r="EP128" s="363"/>
      <c r="EQ128" s="363"/>
      <c r="ER128" s="363"/>
      <c r="ES128" s="363"/>
      <c r="ET128" s="363"/>
      <c r="EZ128" s="1"/>
      <c r="FA128" s="1"/>
      <c r="FB128" s="1" t="s">
        <v>534</v>
      </c>
      <c r="FC128" s="1" t="s">
        <v>535</v>
      </c>
      <c r="FD128" s="1" t="s">
        <v>537</v>
      </c>
      <c r="FE128" s="1" t="s">
        <v>85</v>
      </c>
      <c r="FF128" s="1" t="s">
        <v>636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536</v>
      </c>
      <c r="FM128" s="1" t="s">
        <v>50</v>
      </c>
      <c r="FN128" s="363"/>
      <c r="FO128" s="363"/>
      <c r="FP128" s="363"/>
      <c r="FQ128" s="363"/>
      <c r="FR128" s="363"/>
      <c r="FS128" s="363"/>
      <c r="FT128" s="363"/>
    </row>
    <row r="129" spans="2:171" ht="19.25" customHeight="1" x14ac:dyDescent="0.25">
      <c r="J129" s="4" t="s">
        <v>41</v>
      </c>
      <c r="K129" s="1" t="s">
        <v>88</v>
      </c>
      <c r="L129" s="4" t="s">
        <v>282</v>
      </c>
      <c r="M129" s="2" t="s">
        <v>90</v>
      </c>
      <c r="N129" s="2" t="s">
        <v>86</v>
      </c>
      <c r="O129" s="1" t="s">
        <v>95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0" t="s">
        <v>48</v>
      </c>
      <c r="X129" s="111" t="s">
        <v>48</v>
      </c>
      <c r="Y129" s="111" t="s">
        <v>321</v>
      </c>
      <c r="Z129" s="368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282</v>
      </c>
      <c r="AG129" s="2" t="s">
        <v>90</v>
      </c>
      <c r="AH129" s="2" t="s">
        <v>86</v>
      </c>
      <c r="AI129" s="1" t="s">
        <v>95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0" t="s">
        <v>48</v>
      </c>
      <c r="AR129" s="111" t="s">
        <v>48</v>
      </c>
      <c r="AS129" s="111" t="s">
        <v>321</v>
      </c>
      <c r="AT129" s="368"/>
      <c r="AU129" s="136" t="s">
        <v>82</v>
      </c>
      <c r="AV129" s="4"/>
      <c r="AW129" s="4" t="s">
        <v>41</v>
      </c>
      <c r="AX129" s="1" t="s">
        <v>88</v>
      </c>
      <c r="AY129" s="4" t="s">
        <v>282</v>
      </c>
      <c r="AZ129" s="2" t="s">
        <v>90</v>
      </c>
      <c r="BA129" s="2" t="s">
        <v>86</v>
      </c>
      <c r="BB129" s="1" t="s">
        <v>95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0" t="s">
        <v>48</v>
      </c>
      <c r="BK129" s="111" t="s">
        <v>48</v>
      </c>
      <c r="BL129" s="111" t="s">
        <v>321</v>
      </c>
      <c r="BM129" s="368"/>
      <c r="BN129" s="136" t="s">
        <v>82</v>
      </c>
      <c r="BO129" s="4"/>
      <c r="BP129" s="4" t="s">
        <v>41</v>
      </c>
      <c r="BQ129" s="1" t="s">
        <v>88</v>
      </c>
      <c r="BR129" s="4" t="s">
        <v>282</v>
      </c>
      <c r="BS129" s="2" t="s">
        <v>90</v>
      </c>
      <c r="BT129" s="2" t="s">
        <v>86</v>
      </c>
      <c r="BU129" s="1" t="s">
        <v>95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0" t="s">
        <v>48</v>
      </c>
      <c r="CD129" s="111" t="s">
        <v>48</v>
      </c>
      <c r="CE129" s="111" t="s">
        <v>321</v>
      </c>
      <c r="CF129" s="368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282</v>
      </c>
      <c r="CN129" s="2" t="s">
        <v>90</v>
      </c>
      <c r="CO129" s="2" t="s">
        <v>86</v>
      </c>
      <c r="CP129" s="1" t="s">
        <v>95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420</v>
      </c>
      <c r="DU129" s="22" t="s">
        <v>461</v>
      </c>
      <c r="DV129" s="159" t="s">
        <v>334</v>
      </c>
      <c r="DW129" s="361" t="s">
        <v>341</v>
      </c>
      <c r="DX129" s="102" t="s">
        <v>314</v>
      </c>
      <c r="DY129" s="1"/>
      <c r="EA129" s="4" t="s">
        <v>41</v>
      </c>
      <c r="EB129" s="1" t="s">
        <v>88</v>
      </c>
      <c r="EC129" s="1" t="s">
        <v>538</v>
      </c>
      <c r="ED129" s="1" t="s">
        <v>90</v>
      </c>
      <c r="EE129" s="1" t="s">
        <v>86</v>
      </c>
      <c r="EF129" s="1" t="s">
        <v>95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420</v>
      </c>
      <c r="EP129" s="22" t="s">
        <v>461</v>
      </c>
      <c r="EQ129" s="189" t="s">
        <v>334</v>
      </c>
      <c r="ER129" s="388" t="s">
        <v>341</v>
      </c>
      <c r="ES129" s="102" t="s">
        <v>314</v>
      </c>
      <c r="FA129" s="2" t="s">
        <v>41</v>
      </c>
      <c r="FB129" s="1" t="s">
        <v>88</v>
      </c>
      <c r="FC129" s="1" t="s">
        <v>538</v>
      </c>
      <c r="FD129" s="1" t="s">
        <v>90</v>
      </c>
      <c r="FE129" s="1" t="s">
        <v>86</v>
      </c>
      <c r="FF129" s="1" t="s">
        <v>95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69" t="s">
        <v>415</v>
      </c>
      <c r="J130" s="27" t="s">
        <v>324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1">
        <f>SUM(U126,U140,U151,U163) - SUM(AO126,AO142)</f>
        <v>0</v>
      </c>
      <c r="Z130" s="139" t="s">
        <v>338</v>
      </c>
      <c r="AA130" s="136">
        <f>(($AH$130*($AO$130-U130))/(V140+V151))</f>
        <v>0</v>
      </c>
      <c r="AB130" s="4"/>
      <c r="AC130" s="369" t="s">
        <v>497</v>
      </c>
      <c r="AD130" s="27" t="s">
        <v>324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1">
        <f>BH126-AO126</f>
        <v>0</v>
      </c>
      <c r="AT130" s="139" t="s">
        <v>338</v>
      </c>
      <c r="AU130" s="136">
        <f>((BA130*(BH130-AO130)/AU113))</f>
        <v>0</v>
      </c>
      <c r="AV130" s="369" t="s">
        <v>521</v>
      </c>
      <c r="AW130" s="27" t="s">
        <v>324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1">
        <f>CA126-BH126</f>
        <v>0</v>
      </c>
      <c r="BM130" s="139" t="s">
        <v>338</v>
      </c>
      <c r="BN130" s="136">
        <f>((BT130*(CA130-BH130)/BM116))</f>
        <v>0</v>
      </c>
      <c r="BO130" s="369" t="s">
        <v>509</v>
      </c>
      <c r="BP130" s="27" t="s">
        <v>324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33186864.910289507</v>
      </c>
      <c r="CD130" s="124">
        <f>CB126+CB140+CB152-CW114-CW126-CW138</f>
        <v>1047754425.4627944</v>
      </c>
      <c r="CE130" s="191">
        <f>SUM(CV138,CV126,CV114) - SUM(CA126,CA140,CA152)</f>
        <v>0</v>
      </c>
      <c r="CF130" s="139" t="s">
        <v>338</v>
      </c>
      <c r="CG130" s="136" t="s">
        <v>98</v>
      </c>
      <c r="CH130" s="113"/>
      <c r="CI130" s="113"/>
      <c r="CJ130" s="219" t="s">
        <v>510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0" t="s">
        <v>48</v>
      </c>
      <c r="DU130" s="9" t="s">
        <v>48</v>
      </c>
      <c r="DV130" s="1" t="s">
        <v>89</v>
      </c>
      <c r="DW130" s="362"/>
      <c r="DX130" s="136" t="s">
        <v>82</v>
      </c>
      <c r="DY130" s="4"/>
      <c r="DZ130" s="369" t="s">
        <v>530</v>
      </c>
      <c r="EA130" s="8" t="s">
        <v>15</v>
      </c>
      <c r="EB130" s="172">
        <f>Fe2O3_BF_in</f>
        <v>881.06000000000006</v>
      </c>
      <c r="EC130" s="172">
        <f>EB130/$EB$134</f>
        <v>0.67037060719939068</v>
      </c>
      <c r="ED130" s="173">
        <f>MW_Fe2O3</f>
        <v>0.1596882</v>
      </c>
      <c r="EE130" s="173">
        <f>EB130/ED130</f>
        <v>5517.3769884061567</v>
      </c>
      <c r="EF130" s="173">
        <f>h_Fe2O3</f>
        <v>-824.2</v>
      </c>
      <c r="EG130" s="173">
        <f>b_ch_Fe2O3</f>
        <v>17.358400000000074</v>
      </c>
      <c r="EH130" s="173">
        <f>EE130/$EE$134</f>
        <v>0.20286330971780439</v>
      </c>
      <c r="EI130" s="174">
        <f>LN(EH130)</f>
        <v>-1.5952228778868696</v>
      </c>
      <c r="EJ130" s="174">
        <f>RT0*EI130</f>
        <v>-3.6227018632941537</v>
      </c>
      <c r="EK130" s="174">
        <f>EG130+EJ130</f>
        <v>13.735698136705921</v>
      </c>
      <c r="EL130" s="174">
        <f>EK130*EH130</f>
        <v>2.7864691852968417</v>
      </c>
      <c r="EM130" s="174">
        <f>$EE$134*EL130</f>
        <v>75785.024819154569</v>
      </c>
      <c r="EO130" s="210" t="s">
        <v>48</v>
      </c>
      <c r="EP130" s="9" t="s">
        <v>48</v>
      </c>
      <c r="EQ130" s="9" t="s">
        <v>89</v>
      </c>
      <c r="ER130" s="389"/>
      <c r="ES130" s="136" t="s">
        <v>82</v>
      </c>
      <c r="EZ130" s="219" t="s">
        <v>531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6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69"/>
      <c r="J131" s="6" t="s">
        <v>327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612</v>
      </c>
      <c r="AA131" s="136">
        <f>($AP$126+AP142)/(SUM(V126,V140,V163,V151))</f>
        <v>0.98926908455007689</v>
      </c>
      <c r="AB131" s="4"/>
      <c r="AC131" s="369"/>
      <c r="AD131" s="6" t="s">
        <v>327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612</v>
      </c>
      <c r="AU131" s="136">
        <f>BI126/(AU113+AP126)</f>
        <v>0.89989464623142024</v>
      </c>
      <c r="AV131" s="369"/>
      <c r="AW131" s="6" t="s">
        <v>327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612</v>
      </c>
      <c r="BN131" s="136">
        <f>CB126/(BM113+BI126)</f>
        <v>0.99885105550639652</v>
      </c>
      <c r="BO131" s="369"/>
      <c r="BP131" s="6" t="s">
        <v>327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612</v>
      </c>
      <c r="CG131" s="136">
        <f>(CW138+CW126+CW114)/(CB140+CB126+CB152)</f>
        <v>3.091879127893386E-2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50958.119089669548</v>
      </c>
      <c r="DV131" s="141">
        <f>EL126-CV126-CV206-BZ42</f>
        <v>0</v>
      </c>
      <c r="DW131" s="139" t="s">
        <v>338</v>
      </c>
      <c r="DX131" s="103" t="s">
        <v>98</v>
      </c>
      <c r="DY131" s="4"/>
      <c r="DZ131" s="369"/>
      <c r="EA131" s="1" t="s">
        <v>17</v>
      </c>
      <c r="EB131" s="175">
        <f>SiO2_BF_in</f>
        <v>118.94000000000001</v>
      </c>
      <c r="EC131" s="175">
        <f t="shared" ref="EC131:EC133" si="46">EB131/$EB$134</f>
        <v>9.0497673280248256E-2</v>
      </c>
      <c r="ED131" s="165">
        <f>MW_SIO2</f>
        <v>6.00843E-2</v>
      </c>
      <c r="EE131" s="165">
        <f>EB131/ED131</f>
        <v>1979.5520626852608</v>
      </c>
      <c r="EF131" s="165">
        <f>h_SiO2</f>
        <v>-910.7</v>
      </c>
      <c r="EG131" s="165">
        <f>b_ch_SiO2</f>
        <v>1.5260000000000673</v>
      </c>
      <c r="EH131" s="165">
        <f>EE131/$EE$134</f>
        <v>7.2784311102701241E-2</v>
      </c>
      <c r="EI131" s="176">
        <f t="shared" ref="EI131:EI133" si="47">LN(EH131)</f>
        <v>-2.6202548538354575</v>
      </c>
      <c r="EJ131" s="176">
        <f>RT0*EI131</f>
        <v>-5.9505178071853404</v>
      </c>
      <c r="EK131" s="176">
        <f t="shared" ref="EK131:EK133" si="48">EG131+EJ131</f>
        <v>-4.4245178071852731</v>
      </c>
      <c r="EL131" s="176">
        <f t="shared" ref="EL131:EL133" si="49">EK131*EH131</f>
        <v>-0.32203548055761444</v>
      </c>
      <c r="EM131" s="176">
        <f>$EE$134*EL131</f>
        <v>-8758.5633516012749</v>
      </c>
      <c r="EO131" s="104">
        <f>FM141+FM104</f>
        <v>492730.72808434837</v>
      </c>
      <c r="EP131" s="277">
        <f>SUM(EM101,EM114,EM126,EM140,EM152)-(FM126+FM141+FM104)</f>
        <v>7249524.1182811176</v>
      </c>
      <c r="EQ131" s="276">
        <f>(SUM(BF_SolidWaste,FL126,FL141))-SUM(EL101,EL114,EL126,EL140,EL152)</f>
        <v>0</v>
      </c>
      <c r="ER131" s="139" t="s">
        <v>338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397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397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397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397</v>
      </c>
      <c r="CG132" s="137">
        <f>CW130/(CB126+CB152+CB140)</f>
        <v>2.2384370405662918E-4</v>
      </c>
      <c r="CH132" s="113"/>
      <c r="CI132" s="113"/>
      <c r="CK132" s="6"/>
      <c r="CL132" s="6" t="s">
        <v>321</v>
      </c>
      <c r="CM132" s="6"/>
      <c r="CN132" s="113" t="s">
        <v>328</v>
      </c>
      <c r="CO132" s="113" t="s">
        <v>329</v>
      </c>
      <c r="CP132" s="1" t="s">
        <v>637</v>
      </c>
      <c r="CQ132" s="6"/>
      <c r="CR132" s="6"/>
      <c r="CS132" s="113"/>
      <c r="CT132" s="113"/>
      <c r="CU132" s="113"/>
      <c r="CV132" s="113" t="s">
        <v>330</v>
      </c>
      <c r="CW132" s="6" t="s">
        <v>322</v>
      </c>
      <c r="DU132" s="4"/>
      <c r="DV132" s="4"/>
      <c r="DW132" s="139" t="s">
        <v>612</v>
      </c>
      <c r="DX132" s="103">
        <f>EM126/(CW126+CW206+CA42)</f>
        <v>0.99243862980242414</v>
      </c>
      <c r="DY132" s="4"/>
      <c r="DZ132" s="369"/>
      <c r="EA132" s="1" t="s">
        <v>123</v>
      </c>
      <c r="EB132" s="175">
        <f>CV126</f>
        <v>111.00813284002646</v>
      </c>
      <c r="EC132" s="175">
        <f t="shared" si="46"/>
        <v>8.4462567153246265E-2</v>
      </c>
      <c r="ED132" s="165">
        <f>MW_CaO</f>
        <v>5.6077400000000006E-2</v>
      </c>
      <c r="EE132" s="165">
        <f>EB132/ED132</f>
        <v>1979.5520626852608</v>
      </c>
      <c r="EF132" s="165">
        <f>h_CaO</f>
        <v>-634.9</v>
      </c>
      <c r="EG132" s="165">
        <f>b_ch_CaO</f>
        <v>122.25799999999992</v>
      </c>
      <c r="EH132" s="165">
        <f>EE132/$EE$134</f>
        <v>7.2784311102701241E-2</v>
      </c>
      <c r="EI132" s="176">
        <f t="shared" si="47"/>
        <v>-2.6202548538354575</v>
      </c>
      <c r="EJ132" s="176">
        <f>RT0*EI132</f>
        <v>-5.9505178071853404</v>
      </c>
      <c r="EK132" s="176">
        <f t="shared" si="48"/>
        <v>116.30748219281459</v>
      </c>
      <c r="EL132" s="176">
        <f t="shared" si="49"/>
        <v>8.4653599674937023</v>
      </c>
      <c r="EM132" s="176">
        <f>$EE$134*EL132</f>
        <v>230236.71628051536</v>
      </c>
      <c r="EP132" s="4"/>
      <c r="EQ132" s="4"/>
      <c r="ER132" s="139" t="s">
        <v>612</v>
      </c>
      <c r="ES132" s="103">
        <f>SUM(FM104,FM126,FM141)/SUM(EU117,EM101,EM114,EM126,EM140,EM152)</f>
        <v>0.3806036077801323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637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321</v>
      </c>
      <c r="L133" s="6"/>
      <c r="M133" s="113" t="s">
        <v>328</v>
      </c>
      <c r="N133" s="113" t="s">
        <v>329</v>
      </c>
      <c r="O133" s="1" t="s">
        <v>637</v>
      </c>
      <c r="P133" s="6"/>
      <c r="Q133" s="6"/>
      <c r="R133" s="113"/>
      <c r="S133" s="113"/>
      <c r="T133" s="113"/>
      <c r="U133" s="113" t="s">
        <v>330</v>
      </c>
      <c r="V133" s="6" t="s">
        <v>322</v>
      </c>
      <c r="W133" s="6"/>
      <c r="X133" s="6"/>
      <c r="Y133" s="6"/>
      <c r="Z133" s="6"/>
      <c r="AA133" s="6"/>
      <c r="AB133" s="6"/>
      <c r="AC133" s="6"/>
      <c r="AD133" s="6"/>
      <c r="AE133" s="6" t="s">
        <v>321</v>
      </c>
      <c r="AF133" s="6"/>
      <c r="AG133" s="113" t="s">
        <v>328</v>
      </c>
      <c r="AH133" s="113" t="s">
        <v>329</v>
      </c>
      <c r="AI133" s="1" t="s">
        <v>637</v>
      </c>
      <c r="AJ133" s="6"/>
      <c r="AK133" s="6"/>
      <c r="AL133" s="113"/>
      <c r="AM133" s="113"/>
      <c r="AN133" s="113"/>
      <c r="AO133" s="113" t="s">
        <v>330</v>
      </c>
      <c r="AP133" s="6" t="s">
        <v>322</v>
      </c>
      <c r="AQ133" s="6"/>
      <c r="AR133" s="6"/>
      <c r="AS133" s="4"/>
      <c r="AT133" s="6"/>
      <c r="AU133" s="6"/>
      <c r="AV133" s="6"/>
      <c r="AW133" s="6"/>
      <c r="AX133" s="6" t="s">
        <v>321</v>
      </c>
      <c r="AY133" s="6"/>
      <c r="AZ133" s="113" t="s">
        <v>328</v>
      </c>
      <c r="BA133" s="113" t="s">
        <v>329</v>
      </c>
      <c r="BB133" s="1" t="s">
        <v>637</v>
      </c>
      <c r="BC133" s="6"/>
      <c r="BD133" s="6"/>
      <c r="BE133" s="113"/>
      <c r="BF133" s="113"/>
      <c r="BG133" s="113"/>
      <c r="BH133" s="113" t="s">
        <v>330</v>
      </c>
      <c r="BI133" s="6" t="s">
        <v>322</v>
      </c>
      <c r="BJ133" s="6"/>
      <c r="BK133" s="6"/>
      <c r="BL133" s="4"/>
      <c r="BM133" s="6"/>
      <c r="BN133" s="6"/>
      <c r="BO133" s="6"/>
      <c r="BP133" s="6"/>
      <c r="BQ133" s="6" t="s">
        <v>321</v>
      </c>
      <c r="BR133" s="6"/>
      <c r="BS133" s="113" t="s">
        <v>328</v>
      </c>
      <c r="BT133" s="113" t="s">
        <v>329</v>
      </c>
      <c r="BU133" s="1" t="s">
        <v>637</v>
      </c>
      <c r="BV133" s="6"/>
      <c r="BW133" s="6"/>
      <c r="BX133" s="113"/>
      <c r="BY133" s="113"/>
      <c r="BZ133" s="113"/>
      <c r="CA133" s="113" t="s">
        <v>330</v>
      </c>
      <c r="CB133" s="6" t="s">
        <v>322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397</v>
      </c>
      <c r="DX133" s="99">
        <f>EM130/(CW126+CW206+CA42)</f>
        <v>1.1245286096249765E-2</v>
      </c>
      <c r="DY133" s="4"/>
      <c r="DZ133" s="369"/>
      <c r="EA133" s="316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5">
        <f>CV206</f>
        <v>203.27980063725872</v>
      </c>
      <c r="EC133" s="175">
        <f t="shared" si="46"/>
        <v>0.15466915236711484</v>
      </c>
      <c r="ED133" s="165">
        <f>MW_Coke</f>
        <v>217.63525920401193</v>
      </c>
      <c r="EE133" s="165">
        <f>mol_C_to_BF</f>
        <v>17721.029348224434</v>
      </c>
      <c r="EF133" s="165">
        <f>NCV_dry_anthrocite</f>
        <v>30080</v>
      </c>
      <c r="EG133" s="165">
        <f>(b_ch_coke*EB133)/EE133</f>
        <v>361.62056363730647</v>
      </c>
      <c r="EH133" s="165">
        <f>EE133/$EE$134</f>
        <v>0.65156806807679313</v>
      </c>
      <c r="EI133" s="176">
        <f t="shared" si="47"/>
        <v>-0.42837340886205988</v>
      </c>
      <c r="EJ133" s="176">
        <f>RT0*EI133</f>
        <v>-0.97282277478740409</v>
      </c>
      <c r="EK133" s="176">
        <f t="shared" si="48"/>
        <v>360.64774086251907</v>
      </c>
      <c r="EL133" s="176">
        <f t="shared" si="49"/>
        <v>234.98655177005148</v>
      </c>
      <c r="EM133" s="176">
        <f>$EE$134*EL133</f>
        <v>6391049.2001955407</v>
      </c>
      <c r="ER133" s="140" t="s">
        <v>397</v>
      </c>
      <c r="ES133" s="99">
        <f>FM130/SUM(EU117,EM152,EM140,EM126,EM114,EM101)</f>
        <v>0.34027890919062509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561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561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1" t="s">
        <v>19</v>
      </c>
      <c r="EB134" s="172">
        <f>SUM(EB130:EB133)</f>
        <v>1314.2879334772852</v>
      </c>
      <c r="EC134" s="172"/>
      <c r="ED134" s="173">
        <f>SUM(ED130:ED133)</f>
        <v>217.91110910401193</v>
      </c>
      <c r="EE134" s="173">
        <f>SUM(EE130:EE133)</f>
        <v>27197.510462001112</v>
      </c>
      <c r="EF134" s="17" cm="1">
        <f t="array" ref="EF134">SUM(EB130:EB133*EF130:EF133) / EB134</f>
        <v>3963.8871338071585</v>
      </c>
      <c r="EG134" s="173"/>
      <c r="EH134" s="173">
        <f>SUM(EH130:EH133)</f>
        <v>1</v>
      </c>
      <c r="EI134" s="173"/>
      <c r="EJ134" s="173"/>
      <c r="EK134" s="173"/>
      <c r="EL134" s="173"/>
      <c r="EM134" s="173">
        <f>SUM(EM130:EM133)</f>
        <v>6688312.3779436089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561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563</v>
      </c>
      <c r="AS135" s="1" t="s">
        <v>563</v>
      </c>
      <c r="AT135" s="1" t="s">
        <v>563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563</v>
      </c>
      <c r="BL135" s="1" t="s">
        <v>563</v>
      </c>
      <c r="BM135" s="1" t="s">
        <v>563</v>
      </c>
      <c r="BN135" s="4"/>
      <c r="BO135" s="4"/>
      <c r="BP135" s="4"/>
      <c r="BQ135" s="4"/>
      <c r="BR135" s="4"/>
      <c r="BS135" s="4"/>
      <c r="BW135" s="4"/>
      <c r="BX135" s="4"/>
      <c r="EB135" s="177" t="s">
        <v>89</v>
      </c>
      <c r="EC135" s="177"/>
      <c r="ED135" s="165" t="s">
        <v>91</v>
      </c>
      <c r="EE135" s="165" t="s">
        <v>87</v>
      </c>
      <c r="EF135" s="1" t="s">
        <v>637</v>
      </c>
      <c r="EG135" s="178"/>
      <c r="EH135" s="178"/>
      <c r="EI135" s="165"/>
      <c r="EJ135" s="165"/>
      <c r="EK135" s="165"/>
      <c r="EL135" s="165" t="s">
        <v>96</v>
      </c>
      <c r="EM135" s="176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563</v>
      </c>
      <c r="Z136" s="1" t="s">
        <v>563</v>
      </c>
      <c r="AA136" s="1" t="s">
        <v>563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562</v>
      </c>
      <c r="AS136" s="3" t="s">
        <v>562</v>
      </c>
      <c r="AT136" s="3" t="s">
        <v>562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562</v>
      </c>
      <c r="BL136" s="3" t="s">
        <v>562</v>
      </c>
      <c r="BM136" s="3" t="s">
        <v>562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561</v>
      </c>
      <c r="CH136" s="1"/>
      <c r="CI136" s="1"/>
      <c r="CL136" s="4"/>
      <c r="CM136" s="4"/>
      <c r="CV136" s="63" t="s">
        <v>1</v>
      </c>
      <c r="CW136" s="58" t="s">
        <v>0</v>
      </c>
      <c r="EG136" s="175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56" t="s">
        <v>468</v>
      </c>
      <c r="C137" s="356"/>
      <c r="D137" s="356"/>
      <c r="E137" s="356"/>
      <c r="F137" s="356"/>
      <c r="G137" s="356"/>
      <c r="H137" s="356"/>
      <c r="T137" s="4"/>
      <c r="U137" s="4"/>
      <c r="V137" s="4"/>
      <c r="W137" s="4"/>
      <c r="X137" s="4" t="s">
        <v>60</v>
      </c>
      <c r="Y137" s="3" t="s">
        <v>562</v>
      </c>
      <c r="Z137" s="3" t="s">
        <v>562</v>
      </c>
      <c r="AA137" s="3" t="s">
        <v>562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563</v>
      </c>
      <c r="CF137" s="1" t="s">
        <v>563</v>
      </c>
      <c r="CG137" s="1" t="s">
        <v>563</v>
      </c>
      <c r="CH137" s="1"/>
      <c r="CI137" s="1"/>
      <c r="CL137" s="4"/>
      <c r="CM137" s="4"/>
      <c r="CV137" s="65" t="s">
        <v>89</v>
      </c>
      <c r="CW137" s="64" t="s">
        <v>93</v>
      </c>
      <c r="EB137" s="175"/>
      <c r="EC137" s="175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561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59"/>
      <c r="C138" s="359"/>
      <c r="D138" s="359"/>
      <c r="E138" s="359"/>
      <c r="F138" s="359"/>
      <c r="G138" s="359"/>
      <c r="H138" s="359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337</v>
      </c>
      <c r="CA138" s="155" t="s">
        <v>1</v>
      </c>
      <c r="CB138" s="58" t="s">
        <v>0</v>
      </c>
      <c r="CD138" s="4" t="s">
        <v>60</v>
      </c>
      <c r="CE138" s="3" t="s">
        <v>562</v>
      </c>
      <c r="CF138" s="3" t="s">
        <v>562</v>
      </c>
      <c r="CG138" s="3" t="s">
        <v>562</v>
      </c>
      <c r="CH138" s="1"/>
      <c r="CI138" s="1"/>
      <c r="CJ138" s="1"/>
      <c r="CK138" s="1"/>
      <c r="CL138" s="1"/>
      <c r="CO138" s="4"/>
      <c r="CP138" s="4"/>
      <c r="CQ138" s="4"/>
      <c r="CR138" s="3" t="s">
        <v>511</v>
      </c>
      <c r="CV138" s="50">
        <f>CL145</f>
        <v>376967.02647382859</v>
      </c>
      <c r="CW138" s="48">
        <f>CW145</f>
        <v>33179125.659109436</v>
      </c>
      <c r="EB138" s="175"/>
      <c r="EC138" s="175"/>
      <c r="ED138" s="165"/>
      <c r="EE138" s="165"/>
      <c r="EF138" s="165"/>
      <c r="EG138" s="165"/>
      <c r="EH138" s="165"/>
      <c r="EI138" s="165"/>
      <c r="EJ138" s="165"/>
      <c r="EK138" s="165"/>
      <c r="EL138" s="179" t="s">
        <v>1</v>
      </c>
      <c r="EM138" s="180" t="s">
        <v>0</v>
      </c>
      <c r="EP138" s="4"/>
      <c r="EQ138" s="1" t="s">
        <v>563</v>
      </c>
      <c r="ER138" s="1" t="s">
        <v>563</v>
      </c>
      <c r="ES138" s="1" t="s">
        <v>563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319</v>
      </c>
      <c r="H139" s="114" t="s">
        <v>313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309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309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5"/>
      <c r="EC139" s="175"/>
      <c r="ED139" s="165"/>
      <c r="EE139" s="165"/>
      <c r="EF139" s="165"/>
      <c r="EG139" s="165"/>
      <c r="EH139" s="165"/>
      <c r="EI139" s="165"/>
      <c r="EJ139" s="165"/>
      <c r="EK139" s="165"/>
      <c r="EL139" s="181" t="s">
        <v>89</v>
      </c>
      <c r="EM139" s="182" t="s">
        <v>93</v>
      </c>
      <c r="EP139" s="4" t="s">
        <v>60</v>
      </c>
      <c r="EQ139" s="3" t="s">
        <v>562</v>
      </c>
      <c r="ER139" s="3" t="s">
        <v>562</v>
      </c>
      <c r="ES139" s="3" t="s">
        <v>562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325</v>
      </c>
      <c r="E140" s="114" t="s">
        <v>326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1" t="s">
        <v>552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309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505</v>
      </c>
      <c r="BZ140" s="122">
        <v>298.14999999999998</v>
      </c>
      <c r="CA140" s="156">
        <f>BQ146</f>
        <v>356076.147280448</v>
      </c>
      <c r="CB140" s="48">
        <f>CB146</f>
        <v>2787379.6921424987</v>
      </c>
      <c r="CD140" s="3" t="s">
        <v>18</v>
      </c>
      <c r="CE140" s="83">
        <f>BT130+BT131+BT156</f>
        <v>1298533.3000383398</v>
      </c>
      <c r="CF140" s="83">
        <f>CO143</f>
        <v>1298533.30003834</v>
      </c>
      <c r="CG140" s="3">
        <f>CE140-CF140</f>
        <v>0</v>
      </c>
      <c r="CK140" s="4"/>
      <c r="CL140" s="1" t="s">
        <v>534</v>
      </c>
      <c r="CM140" s="1" t="s">
        <v>535</v>
      </c>
      <c r="CN140" s="1" t="s">
        <v>537</v>
      </c>
      <c r="CO140" s="1" t="s">
        <v>85</v>
      </c>
      <c r="CP140" s="1" t="s">
        <v>636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536</v>
      </c>
      <c r="CW140" s="1" t="s">
        <v>50</v>
      </c>
      <c r="EB140" s="175"/>
      <c r="EC140" s="175"/>
      <c r="ED140" s="165"/>
      <c r="EE140" s="165"/>
      <c r="EF140" s="165"/>
      <c r="EG140" s="165"/>
      <c r="EH140" s="165" t="s">
        <v>505</v>
      </c>
      <c r="EI140" s="165"/>
      <c r="EJ140" s="165"/>
      <c r="EK140" s="165"/>
      <c r="EL140" s="170">
        <f>EB146</f>
        <v>2852.0490535886452</v>
      </c>
      <c r="EM140" s="171">
        <f>EM146</f>
        <v>22325.965032153523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309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282</v>
      </c>
      <c r="CN141" s="2" t="s">
        <v>90</v>
      </c>
      <c r="CO141" s="2" t="s">
        <v>86</v>
      </c>
      <c r="CP141" s="1" t="s">
        <v>95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5"/>
      <c r="EC141" s="175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7">
        <f>EE131</f>
        <v>1979.5520626852608</v>
      </c>
      <c r="ER141" s="83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532</v>
      </c>
      <c r="FL141" s="50">
        <f>FB149</f>
        <v>3402.2651449800928</v>
      </c>
      <c r="FM141" s="48">
        <f>FM149</f>
        <v>424855.37186650094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540</v>
      </c>
      <c r="L142" s="1" t="s">
        <v>534</v>
      </c>
      <c r="M142" s="1" t="s">
        <v>537</v>
      </c>
      <c r="N142" s="1" t="s">
        <v>85</v>
      </c>
      <c r="O142" s="1" t="s">
        <v>636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536</v>
      </c>
      <c r="V142" s="1" t="s">
        <v>50</v>
      </c>
      <c r="W142" s="4"/>
      <c r="X142" s="4" t="s">
        <v>182</v>
      </c>
      <c r="Y142" s="282">
        <f>(23*N144)+(18*N155)</f>
        <v>0.86107827692526073</v>
      </c>
      <c r="Z142" s="28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522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56" t="s">
        <v>499</v>
      </c>
      <c r="BL142" s="356"/>
      <c r="BM142" s="356"/>
      <c r="BN142" s="356"/>
      <c r="BP142" s="4"/>
      <c r="BQ142" s="1" t="s">
        <v>534</v>
      </c>
      <c r="BR142" s="1" t="s">
        <v>535</v>
      </c>
      <c r="BS142" s="1" t="s">
        <v>537</v>
      </c>
      <c r="BT142" s="1" t="s">
        <v>85</v>
      </c>
      <c r="BU142" s="1" t="s">
        <v>636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536</v>
      </c>
      <c r="CB142" s="1" t="s">
        <v>50</v>
      </c>
      <c r="CC142" s="1"/>
      <c r="CD142" s="3" t="s">
        <v>29</v>
      </c>
      <c r="CE142" s="83">
        <f>(3*BT130)+(3*BT131)+(2*BT144)</f>
        <v>5192029.9704637872</v>
      </c>
      <c r="CF142" s="83">
        <f>CO118+CO130+(CO142)+(2*CO143)</f>
        <v>5192029.9704637881</v>
      </c>
      <c r="CG142" s="3">
        <f t="shared" si="58"/>
        <v>0</v>
      </c>
      <c r="CJ142" s="357" t="s">
        <v>511</v>
      </c>
      <c r="CK142" s="17" t="s">
        <v>68</v>
      </c>
      <c r="CL142" s="8">
        <f>H2O_Kiln_Out</f>
        <v>46711.101435505501</v>
      </c>
      <c r="CM142" s="8">
        <f>CL142/CL145</f>
        <v>0.12391296361499797</v>
      </c>
      <c r="CN142" s="1">
        <f>MW_H2O</f>
        <v>1.8015280000000002E-2</v>
      </c>
      <c r="CO142" s="1">
        <f>Kiln_H2OWaste/CN142</f>
        <v>2592860.1406975356</v>
      </c>
      <c r="CP142" s="8">
        <f>h_H2O</f>
        <v>-241.8</v>
      </c>
      <c r="CQ142" s="1">
        <f>b_ch_H2O</f>
        <v>9.5113440000000082</v>
      </c>
      <c r="CR142" s="1">
        <f>CO142/$CO$145</f>
        <v>0.1900847548412179</v>
      </c>
      <c r="CS142" s="1">
        <f>LN(CR142)</f>
        <v>-1.6602852281732408</v>
      </c>
      <c r="CT142" s="1">
        <f>RT0*CS142</f>
        <v>-3.7704564503678788</v>
      </c>
      <c r="CU142" s="1">
        <f>CQ142+CT142</f>
        <v>5.740887549632129</v>
      </c>
      <c r="CV142" s="1">
        <f>CU142*CR142</f>
        <v>1.0912552024428235</v>
      </c>
      <c r="CW142" s="8">
        <f>$CO$145*CV142</f>
        <v>14885318.499667894</v>
      </c>
      <c r="DV142" s="356" t="s">
        <v>499</v>
      </c>
      <c r="DW142" s="356"/>
      <c r="DX142" s="356"/>
      <c r="DY142" s="356"/>
      <c r="EA142" s="4"/>
      <c r="EB142" s="1" t="s">
        <v>534</v>
      </c>
      <c r="EC142" s="1" t="s">
        <v>535</v>
      </c>
      <c r="ED142" s="1" t="s">
        <v>537</v>
      </c>
      <c r="EE142" s="1" t="s">
        <v>85</v>
      </c>
      <c r="EF142" s="1" t="s">
        <v>636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536</v>
      </c>
      <c r="EM142" s="1" t="s">
        <v>50</v>
      </c>
      <c r="EN142" s="1"/>
      <c r="EP142" s="3" t="s">
        <v>31</v>
      </c>
      <c r="EQ142" s="287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539</v>
      </c>
      <c r="L143" s="1" t="s">
        <v>88</v>
      </c>
      <c r="M143" s="1" t="s">
        <v>90</v>
      </c>
      <c r="N143" s="1" t="s">
        <v>86</v>
      </c>
      <c r="O143" s="1" t="s">
        <v>95</v>
      </c>
      <c r="P143" s="1" t="s">
        <v>625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360</v>
      </c>
      <c r="Y143" s="282">
        <f>2*N168</f>
        <v>4.9498831634702833</v>
      </c>
      <c r="Z143" s="28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56"/>
      <c r="BL143" s="356"/>
      <c r="BM143" s="356"/>
      <c r="BN143" s="356"/>
      <c r="BO143" s="4"/>
      <c r="BP143" s="4" t="s">
        <v>41</v>
      </c>
      <c r="BQ143" s="1" t="s">
        <v>88</v>
      </c>
      <c r="BR143" s="4" t="s">
        <v>282</v>
      </c>
      <c r="BS143" s="2" t="s">
        <v>90</v>
      </c>
      <c r="BT143" s="2" t="s">
        <v>86</v>
      </c>
      <c r="BU143" s="1" t="s">
        <v>95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360</v>
      </c>
      <c r="CE143" s="83">
        <f>(2*BT145)</f>
        <v>19498308.258045465</v>
      </c>
      <c r="CF143" s="83">
        <f>(2*CO144)</f>
        <v>19498308.258045465</v>
      </c>
      <c r="CG143" s="3">
        <f t="shared" si="58"/>
        <v>0</v>
      </c>
      <c r="CJ143" s="357"/>
      <c r="CK143" s="3" t="s">
        <v>565</v>
      </c>
      <c r="CL143" s="285">
        <f>CO2_Kiln_Out+CO2_Kiln_out_from_methane</f>
        <v>57148.190828027335</v>
      </c>
      <c r="CM143" s="285">
        <f>CL143/CL145</f>
        <v>0.15159997245009682</v>
      </c>
      <c r="CN143" s="285">
        <f>MW_CO2</f>
        <v>4.4009800000000002E-2</v>
      </c>
      <c r="CO143" s="285">
        <f>CL143/CN143</f>
        <v>1298533.30003834</v>
      </c>
      <c r="CP143" s="285">
        <f>h_CO2</f>
        <v>-393.5</v>
      </c>
      <c r="CQ143" s="285">
        <f>b_ch_CO2</f>
        <v>19.900000000000034</v>
      </c>
      <c r="CR143" s="1">
        <f>CO143/$CO$145</f>
        <v>9.5196566955802905E-2</v>
      </c>
      <c r="CS143" s="1">
        <f t="shared" ref="CS143" si="60">LN(CR143)</f>
        <v>-2.3518113992236698</v>
      </c>
      <c r="CT143" s="1">
        <f>RT0*CS143</f>
        <v>-5.3408910166647177</v>
      </c>
      <c r="CU143" s="1">
        <f t="shared" ref="CU143" si="61">CQ143+CT143</f>
        <v>14.559108983335317</v>
      </c>
      <c r="CV143" s="1">
        <f t="shared" ref="CV143" si="62">CU143*CR143</f>
        <v>1.3859771931489122</v>
      </c>
      <c r="CW143" s="1">
        <f>$CO$145*CV143</f>
        <v>18905487.833748251</v>
      </c>
      <c r="DV143" s="356"/>
      <c r="DW143" s="356"/>
      <c r="DX143" s="356"/>
      <c r="DY143" s="356"/>
      <c r="EA143" s="94" t="s">
        <v>41</v>
      </c>
      <c r="EB143" s="183" t="s">
        <v>88</v>
      </c>
      <c r="EC143" s="1" t="s">
        <v>538</v>
      </c>
      <c r="ED143" s="184" t="s">
        <v>90</v>
      </c>
      <c r="EE143" s="184" t="s">
        <v>86</v>
      </c>
      <c r="EF143" s="1" t="s">
        <v>95</v>
      </c>
      <c r="EG143" s="184" t="s">
        <v>95</v>
      </c>
      <c r="EH143" s="184" t="s">
        <v>25</v>
      </c>
      <c r="EI143" s="184" t="s">
        <v>98</v>
      </c>
      <c r="EJ143" s="184" t="s">
        <v>95</v>
      </c>
      <c r="EK143" s="184" t="s">
        <v>95</v>
      </c>
      <c r="EL143" s="184" t="s">
        <v>94</v>
      </c>
      <c r="EM143" s="184" t="s">
        <v>92</v>
      </c>
      <c r="EN143" s="1"/>
      <c r="EP143" s="3" t="s">
        <v>18</v>
      </c>
      <c r="EQ143" s="83">
        <f>(EE133/coke_C_coeff)+EE157+EE118+(10*EE105)</f>
        <v>20331.250270534823</v>
      </c>
      <c r="ER143" s="83">
        <f>FE145</f>
        <v>20331.250270534823</v>
      </c>
      <c r="ES143" s="3">
        <f t="shared" si="59"/>
        <v>0</v>
      </c>
      <c r="FA143" s="1"/>
      <c r="FB143" s="1" t="s">
        <v>534</v>
      </c>
      <c r="FC143" s="1" t="s">
        <v>535</v>
      </c>
      <c r="FD143" s="1" t="s">
        <v>537</v>
      </c>
      <c r="FE143" s="1" t="s">
        <v>85</v>
      </c>
      <c r="FF143" s="1" t="s">
        <v>636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536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78" t="s">
        <v>552</v>
      </c>
      <c r="J144" s="62" t="s">
        <v>471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534</v>
      </c>
      <c r="AF144" s="1" t="s">
        <v>535</v>
      </c>
      <c r="AG144" s="1" t="s">
        <v>537</v>
      </c>
      <c r="AH144" s="1" t="s">
        <v>85</v>
      </c>
      <c r="AI144" s="1" t="s">
        <v>636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536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7" t="s">
        <v>505</v>
      </c>
      <c r="BP144" s="8" t="s">
        <v>302</v>
      </c>
      <c r="BQ144" s="17">
        <f>O2_Kiln_in</f>
        <v>82968.41307015231</v>
      </c>
      <c r="BR144" s="17">
        <f>O2_Kiln_in/BQ146</f>
        <v>0.23300750051310182</v>
      </c>
      <c r="BS144" s="3">
        <f>MW_O2</f>
        <v>3.1998800000000001E-2</v>
      </c>
      <c r="BT144" s="3">
        <f>BQ144/BS144</f>
        <v>2592860.1406975356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1184226.0107428024</v>
      </c>
      <c r="CD144" s="3" t="s">
        <v>182</v>
      </c>
      <c r="CE144" s="83">
        <f>(4*BT156)</f>
        <v>5185720.2813950712</v>
      </c>
      <c r="CF144" s="83">
        <f>(2*CO142)</f>
        <v>5185720.2813950712</v>
      </c>
      <c r="CG144" s="3">
        <f t="shared" si="58"/>
        <v>0</v>
      </c>
      <c r="CJ144" s="357"/>
      <c r="CK144" s="7" t="s">
        <v>67</v>
      </c>
      <c r="CL144" s="286">
        <f>N2_Kiln_in</f>
        <v>273107.73421029572</v>
      </c>
      <c r="CM144" s="1">
        <f>CL144/$CL$145</f>
        <v>0.72448706393490514</v>
      </c>
      <c r="CN144" s="6">
        <f>MW_N2</f>
        <v>2.801348E-2</v>
      </c>
      <c r="CO144" s="1">
        <f>CL144/CN144</f>
        <v>9749154.1290227324</v>
      </c>
      <c r="CP144" s="1">
        <f>h_N2</f>
        <v>0</v>
      </c>
      <c r="CQ144" s="6">
        <f>b_ch_N2</f>
        <v>0.7</v>
      </c>
      <c r="CR144" s="1">
        <f>CO144/$CO$145</f>
        <v>0.71471867820297919</v>
      </c>
      <c r="CS144" s="1">
        <f>LN(CR144)</f>
        <v>-0.33586627077143782</v>
      </c>
      <c r="CT144" s="1">
        <f>RT0*CS144</f>
        <v>-0.7627419226541684</v>
      </c>
      <c r="CU144" s="1">
        <f>CQ144+CT144</f>
        <v>-6.2741922654168447E-2</v>
      </c>
      <c r="CV144" s="1">
        <f>CU144*CR144</f>
        <v>-4.4842824027300825E-2</v>
      </c>
      <c r="CW144" s="1">
        <f>$CO$145*CV144</f>
        <v>-611680.67430671118</v>
      </c>
      <c r="DZ144" s="357" t="s">
        <v>505</v>
      </c>
      <c r="EA144" s="1" t="s">
        <v>302</v>
      </c>
      <c r="EB144" s="175">
        <f>(EE105*O2_Oil_molcoeff*MW_O2)+(EE118*O2_Naturalgas_molcoeff*MW_O2) + O2_in_BF_for_COG+O2_in_BF_for_coke+O2_in_BF</f>
        <v>664.54882131744762</v>
      </c>
      <c r="EC144" s="172">
        <f>EB144/EB146</f>
        <v>0.23300750051310176</v>
      </c>
      <c r="ED144" s="257">
        <f>MW_O2</f>
        <v>3.1998800000000001E-2</v>
      </c>
      <c r="EE144" s="165">
        <f>EB144/ED144</f>
        <v>20767.929463525121</v>
      </c>
      <c r="EF144" s="27">
        <f>h_O2</f>
        <v>0</v>
      </c>
      <c r="EG144" s="165">
        <f>b_ch_O2</f>
        <v>4</v>
      </c>
      <c r="EH144" s="165">
        <f>EE144/$EE$146</f>
        <v>0.21008403361344541</v>
      </c>
      <c r="EI144" s="176">
        <f>LN(EH144)</f>
        <v>-1.5602476682433284</v>
      </c>
      <c r="EJ144" s="176">
        <f>RT0*EI144</f>
        <v>-3.5432742429276498</v>
      </c>
      <c r="EK144" s="176">
        <f>EG144+EJ144</f>
        <v>0.45672575707235019</v>
      </c>
      <c r="EL144" s="176">
        <f>EK144*EH144</f>
        <v>9.5950789300913913E-2</v>
      </c>
      <c r="EM144" s="176">
        <f>$EE$146*EL144</f>
        <v>9485.2483070536782</v>
      </c>
      <c r="EP144" s="3" t="s">
        <v>29</v>
      </c>
      <c r="EQ144" s="83">
        <f>(3*EE130)+(2*EE131)+EE132+(2*EE144)+(2*EE158)+(EE133/coke_O_coeff)</f>
        <v>64219.066359849749</v>
      </c>
      <c r="ER144" s="83">
        <f>FE146+(2*FE145)+(3*FE108)+(FE147*2)</f>
        <v>64219.066359849749</v>
      </c>
      <c r="ES144" s="3">
        <f t="shared" si="59"/>
        <v>0</v>
      </c>
      <c r="FA144" s="2" t="s">
        <v>41</v>
      </c>
      <c r="FB144" s="1" t="s">
        <v>88</v>
      </c>
      <c r="FC144" s="1" t="s">
        <v>538</v>
      </c>
      <c r="FD144" s="1" t="s">
        <v>90</v>
      </c>
      <c r="FE144" s="1" t="s">
        <v>86</v>
      </c>
      <c r="FF144" s="1" t="s">
        <v>95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282</v>
      </c>
      <c r="AG145" s="2" t="s">
        <v>90</v>
      </c>
      <c r="AH145" s="2" t="s">
        <v>86</v>
      </c>
      <c r="AI145" s="1" t="s">
        <v>95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7"/>
      <c r="BP145" s="60" t="s">
        <v>67</v>
      </c>
      <c r="BQ145" s="28">
        <f>N2_Kiln_in</f>
        <v>273107.73421029572</v>
      </c>
      <c r="BR145" s="3">
        <f>N2_Kiln_in/BQ146</f>
        <v>0.76699249948689829</v>
      </c>
      <c r="BS145" s="28">
        <f>MW_N2</f>
        <v>2.801348E-2</v>
      </c>
      <c r="BT145" s="28">
        <f>BQ145/BS145</f>
        <v>9749154.1290227324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1603153.681399696</v>
      </c>
      <c r="CJ145" s="357"/>
      <c r="CK145" s="17" t="s">
        <v>19</v>
      </c>
      <c r="CL145" s="1">
        <f>SUM(CL142:CL144)</f>
        <v>376967.02647382859</v>
      </c>
      <c r="CM145" s="8">
        <f>SUM(CM142:CM144)</f>
        <v>1</v>
      </c>
      <c r="CN145" s="8">
        <f>SUM(CN142:CN144)</f>
        <v>9.0038560000000004E-2</v>
      </c>
      <c r="CO145" s="8">
        <f>SUM(CO142:CO144)</f>
        <v>13640547.569758609</v>
      </c>
      <c r="CP145" s="17" cm="1">
        <f t="array" ref="CP145">SUM(CL142:CL144*CP142:CP144) / CL145</f>
        <v>-89.61674376121961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2.432389571564435</v>
      </c>
      <c r="CW145" s="8">
        <f>SUM(CW142:CW144)</f>
        <v>33179125.659109436</v>
      </c>
      <c r="DZ145" s="357"/>
      <c r="EA145" s="60" t="s">
        <v>67</v>
      </c>
      <c r="EB145" s="185">
        <f>ED145*EE145</f>
        <v>2187.5002322711975</v>
      </c>
      <c r="EC145" s="185">
        <f>EB145/EB146</f>
        <v>0.76699249948689829</v>
      </c>
      <c r="ED145" s="263">
        <f>MW_N2</f>
        <v>2.801348E-2</v>
      </c>
      <c r="EE145" s="186">
        <f>N2_molcoeff*EE144</f>
        <v>78087.414782854452</v>
      </c>
      <c r="EF145" s="6">
        <f>h_N2</f>
        <v>0</v>
      </c>
      <c r="EG145" s="186">
        <f>b_ch_N2</f>
        <v>0.7</v>
      </c>
      <c r="EH145" s="186">
        <f>EE145/$EE$146</f>
        <v>0.7899159663865547</v>
      </c>
      <c r="EI145" s="184">
        <f>LN(EH145)</f>
        <v>-0.23582871084152537</v>
      </c>
      <c r="EJ145" s="184">
        <f>RT0*EI145</f>
        <v>-0.53555971521393908</v>
      </c>
      <c r="EK145" s="184">
        <f>EG145+EJ145</f>
        <v>0.16444028478606088</v>
      </c>
      <c r="EL145" s="184">
        <f>EK145*EH145</f>
        <v>0.12989400646966154</v>
      </c>
      <c r="EM145" s="184">
        <f>$EE$146*EL145</f>
        <v>12840.716725099846</v>
      </c>
      <c r="EP145" s="3" t="s">
        <v>182</v>
      </c>
      <c r="EQ145" s="83">
        <f>(20*EE105)+(4*EE118)+(2*EE156)+(4*EE157)+(EE133/coke_H_coeff)+(2*EE159)</f>
        <v>34893.980176118836</v>
      </c>
      <c r="ER145" s="83">
        <f>2*FE146</f>
        <v>34893.980176118828</v>
      </c>
      <c r="ES145" s="3">
        <f t="shared" si="59"/>
        <v>0</v>
      </c>
      <c r="EZ145" s="357" t="s">
        <v>532</v>
      </c>
      <c r="FA145" s="3" t="s">
        <v>23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-3.9539210194920043</v>
      </c>
      <c r="FK145" s="8">
        <f>FG145+FJ145</f>
        <v>15.94607898050803</v>
      </c>
      <c r="FL145" s="8">
        <f>FK145*FH145</f>
        <v>2.7958630208252839</v>
      </c>
      <c r="FM145" s="8">
        <f>$FE$149*FL145</f>
        <v>324203.72258642357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637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7" t="s">
        <v>477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356076.147280448</v>
      </c>
      <c r="BR146" s="17"/>
      <c r="BS146" s="3">
        <f>SUM(BS144:BS145)</f>
        <v>6.0012280000000001E-2</v>
      </c>
      <c r="BT146" s="3">
        <f>SUM(BT144:BT145)</f>
        <v>12342014.269720268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2787379.6921424987</v>
      </c>
      <c r="CL146" s="1" t="s">
        <v>89</v>
      </c>
      <c r="CM146" s="1"/>
      <c r="CN146" s="3" t="s">
        <v>91</v>
      </c>
      <c r="CO146" s="3" t="s">
        <v>87</v>
      </c>
      <c r="CP146" s="1" t="s">
        <v>637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0.22584479577057545</v>
      </c>
      <c r="EM146" s="3">
        <f>SUM(EM144:EM145)</f>
        <v>22325.965032153523</v>
      </c>
      <c r="EP146" s="3" t="s">
        <v>360</v>
      </c>
      <c r="EQ146" s="83">
        <f>(2*EE145)+(EE133/coke_N_coeff)</f>
        <v>156189.34256449644</v>
      </c>
      <c r="ER146" s="83">
        <f>2*FE148</f>
        <v>156189.34256449644</v>
      </c>
      <c r="ES146" s="3">
        <f t="shared" si="59"/>
        <v>0</v>
      </c>
      <c r="EZ146" s="357"/>
      <c r="FA146" s="3" t="s">
        <v>441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-4.3013610753620357</v>
      </c>
      <c r="FK146" s="1">
        <f>FG146+FJ146</f>
        <v>5.2099829246379725</v>
      </c>
      <c r="FL146" s="1">
        <f>FK146*FH146</f>
        <v>0.78388924696103246</v>
      </c>
      <c r="FM146" s="1">
        <f>$FE$149*FL146</f>
        <v>90898.520445117509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7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-4.6582383862844896</v>
      </c>
      <c r="AN147" s="1">
        <f t="shared" ref="AN147:AN148" si="64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637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637</v>
      </c>
      <c r="EG147" s="4"/>
      <c r="EH147" s="4"/>
      <c r="EL147" s="3" t="s">
        <v>96</v>
      </c>
      <c r="EM147" s="1" t="s">
        <v>93</v>
      </c>
      <c r="EP147" s="3" t="s">
        <v>180</v>
      </c>
      <c r="EQ147" s="83">
        <f>EE159+(EE133/coke_S_coeff)</f>
        <v>85.459771332449549</v>
      </c>
      <c r="ER147" s="83">
        <f>FE147</f>
        <v>85.459771332449534</v>
      </c>
      <c r="ES147" s="3">
        <f t="shared" si="59"/>
        <v>0</v>
      </c>
      <c r="EZ147" s="357"/>
      <c r="FA147" s="318" t="s">
        <v>694</v>
      </c>
      <c r="FB147" s="318">
        <f>SO2_out_BF_from_COG+SO2_out_BF_from_coke</f>
        <v>5.4749631584591132</v>
      </c>
      <c r="FC147" s="1">
        <f>FB147/$FB$149</f>
        <v>1.6092111946469558E-3</v>
      </c>
      <c r="FD147" s="318">
        <f>MW_SO2</f>
        <v>6.4064800000000005E-2</v>
      </c>
      <c r="FE147" s="1">
        <f>FB147/FD147</f>
        <v>85.459771332449534</v>
      </c>
      <c r="FF147" s="318">
        <f>h_SO2</f>
        <v>-296.8</v>
      </c>
      <c r="FG147" s="318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-16.380365640724659</v>
      </c>
      <c r="FK147" s="1">
        <f>FG147+FJ147</f>
        <v>294.81963435927526</v>
      </c>
      <c r="FL147" s="1">
        <f>FK147*FH147</f>
        <v>0.21727813378047067</v>
      </c>
      <c r="FM147" s="1">
        <f>$FE$149*FL147</f>
        <v>25195.218536660046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7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-0.68646368296218885</v>
      </c>
      <c r="AN148" s="1">
        <f t="shared" si="64"/>
        <v>-0.65845020296218881</v>
      </c>
      <c r="AO148" s="1">
        <f t="shared" ref="AO148" si="65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67</v>
      </c>
      <c r="FB148" s="177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-0.89773551060724266</v>
      </c>
      <c r="FK148" s="1">
        <f>FG148+FJ148</f>
        <v>-0.1977355106072427</v>
      </c>
      <c r="FL148" s="1">
        <f>FK148*FH148</f>
        <v>-0.13316925301417956</v>
      </c>
      <c r="FM148" s="1">
        <f>$FE$149*FL148</f>
        <v>-15442.089701700126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7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19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3.6638611485526074</v>
      </c>
      <c r="FM149" s="27">
        <f>SUM(FM145:FM148)</f>
        <v>424855.37186650094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637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337</v>
      </c>
      <c r="CA150" s="155" t="s">
        <v>1</v>
      </c>
      <c r="CB150" s="58" t="s">
        <v>0</v>
      </c>
      <c r="EL150" s="179" t="s">
        <v>1</v>
      </c>
      <c r="EM150" s="180" t="s">
        <v>0</v>
      </c>
      <c r="FB150" s="1" t="s">
        <v>89</v>
      </c>
      <c r="FC150" s="1"/>
      <c r="FD150" s="3" t="s">
        <v>91</v>
      </c>
      <c r="FE150" s="3" t="s">
        <v>87</v>
      </c>
      <c r="FF150" s="1" t="s">
        <v>637</v>
      </c>
      <c r="FG150" s="4"/>
      <c r="FH150" s="4"/>
      <c r="FL150" s="3" t="s">
        <v>96</v>
      </c>
      <c r="FM150" s="1" t="s">
        <v>93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1" t="s">
        <v>553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6"/>
      <c r="BJ151" s="196"/>
      <c r="BK151" s="196"/>
      <c r="BL151" s="196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1" t="s">
        <v>89</v>
      </c>
      <c r="EM151" s="182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459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646</v>
      </c>
      <c r="EL152" s="170">
        <f>EB160</f>
        <v>32.269863299428096</v>
      </c>
      <c r="EM152" s="171">
        <f>EM160</f>
        <v>2830954.2291367673</v>
      </c>
    </row>
    <row r="153" spans="2:169" ht="19.25" customHeight="1" x14ac:dyDescent="0.25">
      <c r="B153" s="356" t="s">
        <v>469</v>
      </c>
      <c r="C153" s="356"/>
      <c r="D153" s="356"/>
      <c r="E153" s="356"/>
      <c r="F153" s="356"/>
      <c r="G153" s="356"/>
      <c r="H153" s="356"/>
      <c r="J153" s="4"/>
      <c r="K153" s="3" t="s">
        <v>540</v>
      </c>
      <c r="L153" s="1" t="s">
        <v>534</v>
      </c>
      <c r="M153" s="1" t="s">
        <v>537</v>
      </c>
      <c r="N153" s="1" t="s">
        <v>85</v>
      </c>
      <c r="O153" s="1" t="s">
        <v>636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536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59"/>
      <c r="C154" s="359"/>
      <c r="D154" s="359"/>
      <c r="E154" s="359"/>
      <c r="F154" s="359"/>
      <c r="G154" s="359"/>
      <c r="H154" s="359"/>
      <c r="J154" s="4" t="s">
        <v>41</v>
      </c>
      <c r="K154" s="3" t="s">
        <v>539</v>
      </c>
      <c r="L154" s="1" t="s">
        <v>88</v>
      </c>
      <c r="M154" s="1" t="s">
        <v>90</v>
      </c>
      <c r="N154" s="1" t="s">
        <v>86</v>
      </c>
      <c r="O154" s="1" t="s">
        <v>95</v>
      </c>
      <c r="P154" s="1" t="s">
        <v>625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56" t="s">
        <v>458</v>
      </c>
      <c r="BL154" s="356"/>
      <c r="BM154" s="356"/>
      <c r="BN154" s="356"/>
      <c r="BP154" s="4"/>
      <c r="BQ154" s="3" t="s">
        <v>540</v>
      </c>
      <c r="BR154" s="1" t="s">
        <v>534</v>
      </c>
      <c r="BS154" s="3" t="s">
        <v>5</v>
      </c>
      <c r="BT154" s="3" t="s">
        <v>360</v>
      </c>
      <c r="BU154" s="1" t="s">
        <v>636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534</v>
      </c>
      <c r="EC154" s="1" t="s">
        <v>535</v>
      </c>
      <c r="ED154" s="1" t="s">
        <v>537</v>
      </c>
      <c r="EE154" s="1" t="s">
        <v>85</v>
      </c>
      <c r="EF154" s="1" t="s">
        <v>636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536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319</v>
      </c>
      <c r="H155" s="114" t="s">
        <v>313</v>
      </c>
      <c r="I155" s="278" t="s">
        <v>553</v>
      </c>
      <c r="J155" s="62" t="s">
        <v>470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56"/>
      <c r="BL155" s="356"/>
      <c r="BM155" s="356"/>
      <c r="BN155" s="356"/>
      <c r="BP155" s="4"/>
      <c r="BQ155" s="3" t="s">
        <v>539</v>
      </c>
      <c r="BR155" s="1" t="s">
        <v>88</v>
      </c>
      <c r="BS155" s="1" t="s">
        <v>90</v>
      </c>
      <c r="BT155" s="2" t="s">
        <v>86</v>
      </c>
      <c r="BU155" s="1" t="s">
        <v>95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538</v>
      </c>
      <c r="ED155" s="1" t="s">
        <v>84</v>
      </c>
      <c r="EE155" s="3" t="s">
        <v>42</v>
      </c>
      <c r="EF155" s="1" t="s">
        <v>95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325</v>
      </c>
      <c r="E156" s="114" t="s">
        <v>326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318</v>
      </c>
      <c r="BN156" s="4"/>
      <c r="BO156" s="252" t="s">
        <v>459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90" t="s">
        <v>646</v>
      </c>
      <c r="EA156" s="17" t="s">
        <v>66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-0.15997037281540091</v>
      </c>
      <c r="EK156" s="17">
        <f>EG156+EJ156</f>
        <v>235.9400296271846</v>
      </c>
      <c r="EL156" s="17">
        <f>EK156*EH156</f>
        <v>219.89193117162523</v>
      </c>
      <c r="EM156" s="17">
        <f>EL156*$EE$160</f>
        <v>2290158.7072331677</v>
      </c>
    </row>
    <row r="157" spans="2:169" ht="18" customHeight="1" x14ac:dyDescent="0.25">
      <c r="B157" s="15" t="s">
        <v>467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637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395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90"/>
      <c r="EA157" s="3" t="s">
        <v>65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-6.3769988229356089</v>
      </c>
      <c r="EK157" s="3">
        <f t="shared" ref="EK157:EK159" si="68">EG157+EJ157</f>
        <v>825.42300117706429</v>
      </c>
      <c r="EL157" s="3">
        <f t="shared" ref="EL157:EL159" si="69">EK157*EH157</f>
        <v>49.791495876553363</v>
      </c>
      <c r="EM157" s="3">
        <f>EL157*$EE$160</f>
        <v>518574.86184362316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637</v>
      </c>
      <c r="BV158" s="4"/>
      <c r="BW158" s="4"/>
      <c r="CA158" s="3" t="s">
        <v>96</v>
      </c>
      <c r="CB158" s="1" t="s">
        <v>93</v>
      </c>
      <c r="DZ158" s="390"/>
      <c r="EA158" s="235" t="s">
        <v>24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-12.046911217384114</v>
      </c>
      <c r="EK158" s="3">
        <f t="shared" si="68"/>
        <v>-8.046911217384114</v>
      </c>
      <c r="EL158" s="3">
        <f t="shared" si="69"/>
        <v>-3.997678586122911E-2</v>
      </c>
      <c r="EM158" s="3">
        <f>EL158*$EE$160</f>
        <v>-416.35536028756121</v>
      </c>
    </row>
    <row r="159" spans="2:169" ht="17" x14ac:dyDescent="0.25">
      <c r="D159" s="16" t="s">
        <v>279</v>
      </c>
      <c r="E159" s="97" t="s">
        <v>280</v>
      </c>
      <c r="F159" s="4" t="s">
        <v>281</v>
      </c>
      <c r="I159" s="21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90"/>
      <c r="EA159" s="3" t="s">
        <v>365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-13.408778507951368</v>
      </c>
      <c r="EK159" s="3">
        <f t="shared" si="68"/>
        <v>796.93762149204849</v>
      </c>
      <c r="EL159" s="3">
        <f t="shared" si="69"/>
        <v>2.1735161938787657</v>
      </c>
      <c r="EM159" s="3">
        <f>EL159*$EE$160</f>
        <v>22637.015420264175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2"/>
      <c r="EA160" s="17" t="s">
        <v>19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271.8169664561961</v>
      </c>
      <c r="EM160" s="17">
        <f>SUM(EM156:EM159)</f>
        <v>2830954.2291367673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2"/>
      <c r="EB161" s="1" t="s">
        <v>89</v>
      </c>
      <c r="EC161" s="1"/>
      <c r="ED161" s="3" t="s">
        <v>91</v>
      </c>
      <c r="EE161" s="3" t="s">
        <v>87</v>
      </c>
      <c r="EF161" s="1" t="s">
        <v>637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2"/>
    </row>
    <row r="163" spans="1:143" ht="17" thickBot="1" x14ac:dyDescent="0.25">
      <c r="Q163" s="3" t="s">
        <v>505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2"/>
      <c r="EK164" s="165"/>
    </row>
    <row r="165" spans="1:143" ht="18" x14ac:dyDescent="0.25">
      <c r="E165" s="356" t="s">
        <v>499</v>
      </c>
      <c r="F165" s="356"/>
      <c r="G165" s="356"/>
      <c r="H165" s="356"/>
      <c r="J165" s="4"/>
      <c r="K165" s="1" t="s">
        <v>534</v>
      </c>
      <c r="L165" s="1" t="s">
        <v>535</v>
      </c>
      <c r="M165" s="1" t="s">
        <v>537</v>
      </c>
      <c r="N165" s="1" t="s">
        <v>85</v>
      </c>
      <c r="O165" s="1" t="s">
        <v>636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536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2"/>
      <c r="EB165" s="175"/>
    </row>
    <row r="166" spans="1:143" ht="18" x14ac:dyDescent="0.25">
      <c r="E166" s="356"/>
      <c r="F166" s="356"/>
      <c r="G166" s="356"/>
      <c r="H166" s="356"/>
      <c r="J166" s="4" t="s">
        <v>41</v>
      </c>
      <c r="K166" s="1" t="s">
        <v>88</v>
      </c>
      <c r="L166" s="4" t="s">
        <v>282</v>
      </c>
      <c r="M166" s="2" t="s">
        <v>90</v>
      </c>
      <c r="N166" s="2" t="s">
        <v>86</v>
      </c>
      <c r="O166" s="1" t="s">
        <v>95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2"/>
    </row>
    <row r="167" spans="1:143" ht="18" x14ac:dyDescent="0.25">
      <c r="I167" s="357" t="s">
        <v>505</v>
      </c>
      <c r="J167" s="8" t="s">
        <v>302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2"/>
    </row>
    <row r="168" spans="1:143" ht="18" x14ac:dyDescent="0.25">
      <c r="I168" s="357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2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2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637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2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75" t="s">
        <v>426</v>
      </c>
      <c r="X182" s="375"/>
      <c r="Y182" s="375"/>
      <c r="Z182" s="375"/>
      <c r="AA182" s="375"/>
      <c r="AB182" s="375"/>
      <c r="AC182" s="375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319</v>
      </c>
      <c r="AC183" s="13" t="s">
        <v>313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5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75" t="s">
        <v>427</v>
      </c>
      <c r="AP187" s="375"/>
      <c r="AQ187" s="375"/>
      <c r="AR187" s="375"/>
      <c r="AS187" s="375"/>
      <c r="AT187" s="375"/>
      <c r="AU187" s="375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75" t="s">
        <v>428</v>
      </c>
      <c r="BH187" s="375"/>
      <c r="BI187" s="375"/>
      <c r="BJ187" s="375"/>
      <c r="BK187" s="375"/>
      <c r="BL187" s="375"/>
      <c r="BM187" s="375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319</v>
      </c>
      <c r="AU188" s="13" t="s">
        <v>313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319</v>
      </c>
      <c r="BM188" s="13" t="s">
        <v>313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86" t="s">
        <v>361</v>
      </c>
      <c r="Q189" s="386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87"/>
      <c r="Q190" s="387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301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67" t="s">
        <v>341</v>
      </c>
      <c r="Q191" s="102" t="s">
        <v>314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68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338</v>
      </c>
      <c r="Q193" s="103">
        <f>((N210*(U210-0)/AC195))</f>
        <v>109.11285414380214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612</v>
      </c>
      <c r="Q194" s="103">
        <f>V206/AC195</f>
        <v>109.79233724881615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340</v>
      </c>
      <c r="Q195" s="99">
        <f>V210/AC195</f>
        <v>109.79233073405253</v>
      </c>
      <c r="T195" s="4"/>
      <c r="U195" s="4"/>
      <c r="V195" s="4"/>
      <c r="W195" s="382" t="s">
        <v>483</v>
      </c>
      <c r="X195" s="383"/>
      <c r="Y195" s="260"/>
      <c r="Z195" s="260"/>
      <c r="AA195" s="260">
        <f>SUM(AA185:AA186,AA187:AA188,AA189:AA190,AA191:AA192,AA193:AA194)</f>
        <v>80616.370239891301</v>
      </c>
      <c r="AB195" s="259">
        <v>1</v>
      </c>
      <c r="AC195" s="26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502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518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84" t="s">
        <v>416</v>
      </c>
      <c r="Q206" s="384"/>
      <c r="R206" s="384"/>
      <c r="S206" s="4"/>
      <c r="T206" s="4"/>
      <c r="U206" s="50">
        <f>K218</f>
        <v>298.6148747230165</v>
      </c>
      <c r="V206" s="48">
        <f>V218</f>
        <v>8851059.7091535721</v>
      </c>
      <c r="W206" s="360" t="s">
        <v>407</v>
      </c>
      <c r="X206" s="360"/>
      <c r="Y206" s="360"/>
      <c r="Z206" s="360"/>
      <c r="AA206" s="360"/>
      <c r="AB206" s="360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8856308.1430966556</v>
      </c>
      <c r="AQ206" s="360" t="s">
        <v>519</v>
      </c>
      <c r="AR206" s="360"/>
      <c r="AS206" s="360"/>
      <c r="AT206" s="360"/>
      <c r="AU206" s="360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8856308.1430966556</v>
      </c>
      <c r="BJ206" s="360" t="s">
        <v>444</v>
      </c>
      <c r="BK206" s="360"/>
      <c r="BL206" s="360"/>
      <c r="BM206" s="360"/>
      <c r="BN206" s="360"/>
      <c r="BO206" s="4"/>
      <c r="BP206" s="4"/>
      <c r="BQ206" s="4"/>
      <c r="BR206" s="4"/>
      <c r="BS206" s="4"/>
      <c r="BT206" s="4"/>
      <c r="BU206" s="4"/>
      <c r="BV206" s="4"/>
      <c r="BW206" s="4" t="s">
        <v>503</v>
      </c>
      <c r="BX206" s="4"/>
      <c r="BY206" s="4"/>
      <c r="BZ206" s="4"/>
      <c r="CA206" s="50">
        <f>BQ218</f>
        <v>298.6148747230165</v>
      </c>
      <c r="CB206" s="48">
        <f>CB218</f>
        <v>8856308.1430966556</v>
      </c>
      <c r="CD206" s="360" t="s">
        <v>425</v>
      </c>
      <c r="CE206" s="360"/>
      <c r="CF206" s="360"/>
      <c r="CG206" s="360"/>
      <c r="CH206" s="360"/>
      <c r="CI206" s="299"/>
      <c r="CR206" s="3" t="s">
        <v>607</v>
      </c>
      <c r="CU206" s="4"/>
      <c r="CV206" s="311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60"/>
      <c r="X207" s="360"/>
      <c r="Y207" s="360"/>
      <c r="Z207" s="360"/>
      <c r="AA207" s="360"/>
      <c r="AB207" s="360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60"/>
      <c r="AR207" s="360"/>
      <c r="AS207" s="360"/>
      <c r="AT207" s="360"/>
      <c r="AU207" s="360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60"/>
      <c r="BK207" s="360"/>
      <c r="BL207" s="360"/>
      <c r="BM207" s="360"/>
      <c r="BN207" s="360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94"/>
      <c r="CE207" s="394"/>
      <c r="CF207" s="394"/>
      <c r="CG207" s="394"/>
      <c r="CH207" s="394"/>
      <c r="CI207" s="299"/>
      <c r="CU207" s="4"/>
      <c r="CV207" s="4"/>
    </row>
    <row r="208" spans="5:101" ht="19.25" customHeight="1" x14ac:dyDescent="0.25">
      <c r="E208" s="356" t="s">
        <v>437</v>
      </c>
      <c r="F208" s="356"/>
      <c r="G208" s="356"/>
      <c r="H208" s="356"/>
      <c r="J208" s="4"/>
      <c r="K208" s="1" t="s">
        <v>534</v>
      </c>
      <c r="L208" s="1" t="s">
        <v>535</v>
      </c>
      <c r="M208" s="1" t="s">
        <v>537</v>
      </c>
      <c r="N208" s="1" t="s">
        <v>85</v>
      </c>
      <c r="O208" s="1" t="s">
        <v>636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536</v>
      </c>
      <c r="V208" s="1" t="s">
        <v>50</v>
      </c>
      <c r="W208" s="4"/>
      <c r="X208" s="22" t="s">
        <v>420</v>
      </c>
      <c r="Y208" s="22" t="s">
        <v>461</v>
      </c>
      <c r="Z208" s="253" t="s">
        <v>334</v>
      </c>
      <c r="AA208" s="367" t="s">
        <v>341</v>
      </c>
      <c r="AB208" s="102" t="s">
        <v>314</v>
      </c>
      <c r="AC208" s="1"/>
      <c r="AD208" s="4"/>
      <c r="AE208" s="1" t="s">
        <v>534</v>
      </c>
      <c r="AF208" s="1" t="s">
        <v>535</v>
      </c>
      <c r="AG208" s="1" t="s">
        <v>537</v>
      </c>
      <c r="AH208" s="1" t="s">
        <v>85</v>
      </c>
      <c r="AI208" s="1" t="s">
        <v>636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536</v>
      </c>
      <c r="AP208" s="1" t="s">
        <v>50</v>
      </c>
      <c r="AQ208" s="22" t="s">
        <v>420</v>
      </c>
      <c r="AR208" s="22" t="s">
        <v>461</v>
      </c>
      <c r="AS208" s="159" t="s">
        <v>334</v>
      </c>
      <c r="AT208" s="367" t="s">
        <v>341</v>
      </c>
      <c r="AU208" s="138" t="s">
        <v>314</v>
      </c>
      <c r="AV208" s="1"/>
      <c r="AW208" s="4"/>
      <c r="AX208" s="1" t="s">
        <v>534</v>
      </c>
      <c r="AY208" s="1" t="s">
        <v>535</v>
      </c>
      <c r="AZ208" s="1" t="s">
        <v>537</v>
      </c>
      <c r="BA208" s="1" t="s">
        <v>85</v>
      </c>
      <c r="BB208" s="1" t="s">
        <v>636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536</v>
      </c>
      <c r="BI208" s="1" t="s">
        <v>50</v>
      </c>
      <c r="BJ208" s="22" t="s">
        <v>420</v>
      </c>
      <c r="BK208" s="22" t="s">
        <v>461</v>
      </c>
      <c r="BL208" s="159" t="s">
        <v>334</v>
      </c>
      <c r="BM208" s="367" t="s">
        <v>341</v>
      </c>
      <c r="BN208" s="138" t="s">
        <v>314</v>
      </c>
      <c r="BO208" s="1"/>
      <c r="BP208" s="4"/>
      <c r="BQ208" s="1" t="s">
        <v>534</v>
      </c>
      <c r="BR208" s="1" t="s">
        <v>535</v>
      </c>
      <c r="BS208" s="1" t="s">
        <v>537</v>
      </c>
      <c r="BT208" s="1" t="s">
        <v>85</v>
      </c>
      <c r="BU208" s="1" t="s">
        <v>636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536</v>
      </c>
      <c r="CB208" s="1" t="s">
        <v>50</v>
      </c>
      <c r="CD208" s="22" t="s">
        <v>420</v>
      </c>
      <c r="CE208" s="22" t="s">
        <v>461</v>
      </c>
      <c r="CF208" s="189" t="s">
        <v>334</v>
      </c>
      <c r="CG208" s="367" t="s">
        <v>341</v>
      </c>
      <c r="CH208" s="138" t="s">
        <v>314</v>
      </c>
      <c r="CI208" s="1"/>
      <c r="CJ208" s="1"/>
      <c r="CK208" s="4"/>
      <c r="CL208" s="1" t="s">
        <v>534</v>
      </c>
      <c r="CM208" s="1" t="s">
        <v>535</v>
      </c>
      <c r="CN208" s="1" t="s">
        <v>537</v>
      </c>
      <c r="CO208" s="1" t="s">
        <v>85</v>
      </c>
      <c r="CP208" s="1" t="s">
        <v>636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536</v>
      </c>
      <c r="CW208" s="1" t="s">
        <v>50</v>
      </c>
    </row>
    <row r="209" spans="2:101" ht="18" x14ac:dyDescent="0.25">
      <c r="E209" s="356"/>
      <c r="F209" s="356"/>
      <c r="G209" s="356"/>
      <c r="H209" s="356"/>
      <c r="J209" s="4" t="s">
        <v>41</v>
      </c>
      <c r="K209" s="1" t="s">
        <v>88</v>
      </c>
      <c r="L209" s="4" t="s">
        <v>282</v>
      </c>
      <c r="M209" s="2" t="s">
        <v>90</v>
      </c>
      <c r="N209" s="2" t="s">
        <v>86</v>
      </c>
      <c r="O209" s="1" t="s">
        <v>95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0" t="s">
        <v>48</v>
      </c>
      <c r="Y209" s="9" t="s">
        <v>48</v>
      </c>
      <c r="Z209" s="64" t="s">
        <v>89</v>
      </c>
      <c r="AA209" s="368"/>
      <c r="AB209" s="136" t="s">
        <v>82</v>
      </c>
      <c r="AC209" s="4"/>
      <c r="AD209" s="4" t="s">
        <v>41</v>
      </c>
      <c r="AE209" s="1" t="s">
        <v>88</v>
      </c>
      <c r="AF209" s="4" t="s">
        <v>282</v>
      </c>
      <c r="AG209" s="2" t="s">
        <v>90</v>
      </c>
      <c r="AH209" s="2" t="s">
        <v>86</v>
      </c>
      <c r="AI209" s="1" t="s">
        <v>95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0" t="s">
        <v>48</v>
      </c>
      <c r="AR209" s="9" t="s">
        <v>48</v>
      </c>
      <c r="AS209" s="1" t="s">
        <v>89</v>
      </c>
      <c r="AT209" s="368"/>
      <c r="AU209" s="136" t="s">
        <v>82</v>
      </c>
      <c r="AV209" s="4"/>
      <c r="AW209" s="4" t="s">
        <v>41</v>
      </c>
      <c r="AX209" s="1" t="s">
        <v>88</v>
      </c>
      <c r="AY209" s="4" t="s">
        <v>282</v>
      </c>
      <c r="AZ209" s="2" t="s">
        <v>90</v>
      </c>
      <c r="BA209" s="2" t="s">
        <v>86</v>
      </c>
      <c r="BB209" s="1" t="s">
        <v>95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0" t="s">
        <v>48</v>
      </c>
      <c r="BK209" s="9" t="s">
        <v>48</v>
      </c>
      <c r="BL209" s="1" t="s">
        <v>89</v>
      </c>
      <c r="BM209" s="368"/>
      <c r="BN209" s="136" t="s">
        <v>82</v>
      </c>
      <c r="BO209" s="4"/>
      <c r="BP209" s="4" t="s">
        <v>41</v>
      </c>
      <c r="BQ209" s="1" t="s">
        <v>88</v>
      </c>
      <c r="BR209" s="4" t="s">
        <v>282</v>
      </c>
      <c r="BS209" s="2" t="s">
        <v>90</v>
      </c>
      <c r="BT209" s="2" t="s">
        <v>86</v>
      </c>
      <c r="BU209" s="1" t="s">
        <v>95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0" t="s">
        <v>48</v>
      </c>
      <c r="CE209" s="9" t="s">
        <v>48</v>
      </c>
      <c r="CF209" s="9" t="s">
        <v>89</v>
      </c>
      <c r="CG209" s="376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282</v>
      </c>
      <c r="CN209" s="2" t="s">
        <v>90</v>
      </c>
      <c r="CO209" s="2" t="s">
        <v>86</v>
      </c>
      <c r="CP209" s="1" t="s">
        <v>95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8" t="s">
        <v>416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-1.4098115557931206E-2</v>
      </c>
      <c r="T210" s="62">
        <f>S210+P210</f>
        <v>166.19810224562406</v>
      </c>
      <c r="U210" s="62">
        <f>T210*Q210</f>
        <v>165.16954479479915</v>
      </c>
      <c r="V210" s="62">
        <f>U210*$BA$218</f>
        <v>8851059.1839569751</v>
      </c>
      <c r="W210" s="4"/>
      <c r="X210" s="104">
        <f>AP227</f>
        <v>598.81969608995871</v>
      </c>
      <c r="Y210" s="99">
        <f>SUM(AC195,V206,V222,V236) - SUM(AP206,AP227)</f>
        <v>98136.596230339259</v>
      </c>
      <c r="Z210" s="254">
        <f>AO206-U206</f>
        <v>0</v>
      </c>
      <c r="AA210" s="139" t="s">
        <v>338</v>
      </c>
      <c r="AB210" s="103">
        <f>(($AH$210*($AO$210-U210))/AC195)</f>
        <v>0</v>
      </c>
      <c r="AC210" s="208" t="s">
        <v>518</v>
      </c>
      <c r="AD210" s="197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-1.4098115557931206E-2</v>
      </c>
      <c r="AN210" s="62">
        <f>AM210+AJ210</f>
        <v>166.19810224562406</v>
      </c>
      <c r="AO210" s="62">
        <f>AN210*AK210</f>
        <v>165.16954479479915</v>
      </c>
      <c r="AP210" s="62">
        <f>AO210*$BA$218</f>
        <v>8851059.1839569751</v>
      </c>
      <c r="AQ210" s="104">
        <f>AP206+AU190-BI206</f>
        <v>282.12877103127539</v>
      </c>
      <c r="AR210" s="99">
        <f>AP206+AU190-BI206</f>
        <v>282.12877103127539</v>
      </c>
      <c r="AS210" s="141">
        <f>BH206-AO206</f>
        <v>0</v>
      </c>
      <c r="AT210" s="139" t="s">
        <v>338</v>
      </c>
      <c r="AU210" s="136">
        <f>((BA210*(BH210-AO210))/AU190)</f>
        <v>0</v>
      </c>
      <c r="AV210" s="208" t="s">
        <v>518</v>
      </c>
      <c r="AW210" s="197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-1.4098115557931206E-2</v>
      </c>
      <c r="BG210" s="62">
        <f>BF210+BC210</f>
        <v>166.19810224562406</v>
      </c>
      <c r="BH210" s="62">
        <f>BG210*BD210</f>
        <v>165.16954479479915</v>
      </c>
      <c r="BI210" s="62">
        <f>BH210*$BA$218</f>
        <v>8851059.1839569751</v>
      </c>
      <c r="BJ210" s="104">
        <f>BM195+BI206-CB206</f>
        <v>50.35808415338397</v>
      </c>
      <c r="BK210" s="99">
        <f>(BM195+BI206)-CB206</f>
        <v>50.35808415338397</v>
      </c>
      <c r="BL210" s="141">
        <f>CA206-BH206</f>
        <v>0</v>
      </c>
      <c r="BM210" s="139" t="s">
        <v>338</v>
      </c>
      <c r="BN210" s="136">
        <f>((BT210*(CA210-BH210))/BM195)</f>
        <v>0</v>
      </c>
      <c r="BO210" s="208" t="s">
        <v>465</v>
      </c>
      <c r="BP210" s="19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62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-1.4098115557931206E-2</v>
      </c>
      <c r="BZ210" s="62">
        <f>BY210+BV210</f>
        <v>166.19810224562406</v>
      </c>
      <c r="CA210" s="62">
        <f>BZ210*BW210</f>
        <v>165.16954479479915</v>
      </c>
      <c r="CB210" s="62">
        <f>CA210*$BT$218</f>
        <v>8851059.1839569751</v>
      </c>
      <c r="CD210" s="104">
        <f>SUM(CB206,CB225,CB232,CB244) - SUM(CW251,CW234,CW218,CW206)</f>
        <v>8697712.4326661415</v>
      </c>
      <c r="CE210" s="99">
        <f>SUM(CB244,CB206,CB225,CB232) - SUM(CW206,CW218,CW234,CW251)</f>
        <v>8697712.4326661453</v>
      </c>
      <c r="CF210" s="312">
        <f>ROUND(CV206+CV218+CV234+CV251+CV267-CA206-CA232-CA244, 10)</f>
        <v>0</v>
      </c>
      <c r="CG210" s="139" t="s">
        <v>338</v>
      </c>
      <c r="CH210" s="136" t="s">
        <v>98</v>
      </c>
      <c r="CI210" s="4"/>
      <c r="CJ210" s="252" t="s">
        <v>608</v>
      </c>
      <c r="CK210" s="19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8">
        <f>SUM(Calculators!C89:C93)</f>
        <v>203.27980063725872</v>
      </c>
      <c r="CM210" s="95">
        <f>CL210/CL211</f>
        <v>1</v>
      </c>
      <c r="CN210" s="95">
        <f>MW_Coke</f>
        <v>217.63525920401193</v>
      </c>
      <c r="CO210" s="95">
        <f>mol_Coke</f>
        <v>17721.029348224434</v>
      </c>
      <c r="CP210" s="95">
        <f>NCV_dry_anthrocite*MW_Coke</f>
        <v>6546468.5968566788</v>
      </c>
      <c r="CQ210" s="95">
        <f>b_ch_coke*CL210 /mol_Coke</f>
        <v>361.62056363730647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361.62056363730647</v>
      </c>
      <c r="CV210" s="96">
        <f>CU210*CR210</f>
        <v>361.62056363730647</v>
      </c>
      <c r="CW210" s="95">
        <f>CV210*CO211</f>
        <v>6408288.6211381694</v>
      </c>
    </row>
    <row r="211" spans="2:101" ht="17" customHeight="1" x14ac:dyDescent="0.25">
      <c r="I211" s="385" t="s">
        <v>516</v>
      </c>
      <c r="J211" s="62" t="s">
        <v>306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-14.945095234833563</v>
      </c>
      <c r="T211" s="62">
        <f t="shared" ref="T211:T217" si="83">S211+P211</f>
        <v>16.930904765166414</v>
      </c>
      <c r="U211" s="62">
        <f t="shared" ref="U211:U217" si="84">T211*Q211</f>
        <v>2.3475633914652873E-2</v>
      </c>
      <c r="V211" s="62">
        <f t="shared" ref="V211:V217" si="85">U211*$BA$217</f>
        <v>0.12587263190079157</v>
      </c>
      <c r="W211" s="4"/>
      <c r="X211" s="4"/>
      <c r="Y211" s="4"/>
      <c r="Z211" s="4"/>
      <c r="AA211" s="139" t="s">
        <v>612</v>
      </c>
      <c r="AB211" s="103">
        <f>(AP206+AP227)/($AC$195+V206+V222+V236)</f>
        <v>0.98904119275539903</v>
      </c>
      <c r="AC211" s="385" t="s">
        <v>514</v>
      </c>
      <c r="AD211" s="62" t="s">
        <v>306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-14.945095234833563</v>
      </c>
      <c r="AN211" s="62">
        <f t="shared" ref="AN211:AN217" si="90">AM211+AJ211</f>
        <v>16.930904765166414</v>
      </c>
      <c r="AO211" s="62">
        <f t="shared" ref="AO211:AO217" si="91">AN211*AK211</f>
        <v>2.3475633914652873E-2</v>
      </c>
      <c r="AP211" s="62">
        <f t="shared" ref="AP211:AP217" si="92">AO211*$BA$218</f>
        <v>1258.0056778484434</v>
      </c>
      <c r="AQ211" s="4"/>
      <c r="AR211" s="4"/>
      <c r="AT211" s="139" t="s">
        <v>612</v>
      </c>
      <c r="AU211" s="136">
        <f>BI206/(AP206+AU190)</f>
        <v>0.99996814476425233</v>
      </c>
      <c r="AV211" s="385" t="s">
        <v>514</v>
      </c>
      <c r="AW211" s="62" t="s">
        <v>306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-14.945095234833563</v>
      </c>
      <c r="BG211" s="62">
        <f t="shared" ref="BG211:BG217" si="98">BF211+BC211</f>
        <v>16.930904765166414</v>
      </c>
      <c r="BH211" s="62">
        <f t="shared" ref="BH211:BH217" si="99">BG211*BD211</f>
        <v>2.3475633914652873E-2</v>
      </c>
      <c r="BI211" s="62">
        <f t="shared" ref="BI211:BI217" si="100">BH211*$BA$218</f>
        <v>1258.0056778484434</v>
      </c>
      <c r="BJ211" s="4"/>
      <c r="BK211" s="4"/>
      <c r="BM211" s="139" t="s">
        <v>612</v>
      </c>
      <c r="BN211" s="136">
        <f>CB206/(BM195+BI206)</f>
        <v>0.9999943139063141</v>
      </c>
      <c r="BO211" s="385" t="s">
        <v>513</v>
      </c>
      <c r="BP211" s="62" t="s">
        <v>306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-14.945095234833563</v>
      </c>
      <c r="BZ211" s="62">
        <f t="shared" ref="BZ211:BZ217" si="106">BY211+BV211</f>
        <v>16.930904765166414</v>
      </c>
      <c r="CA211" s="62">
        <f t="shared" ref="CA211:CA217" si="107">BZ211*BW211</f>
        <v>2.3475633914652873E-2</v>
      </c>
      <c r="CB211" s="62">
        <f>CA211*$BT$218</f>
        <v>1258.0056778484434</v>
      </c>
      <c r="CD211" s="4"/>
      <c r="CE211" s="4"/>
      <c r="CG211" s="139" t="s">
        <v>612</v>
      </c>
      <c r="CH211" s="136">
        <f>(CW218+CW206+CW234+CW251+CW267)/(CB244+CB206+CB232)</f>
        <v>0.60230735828677828</v>
      </c>
      <c r="CI211" s="4"/>
      <c r="CJ211" s="4"/>
      <c r="CK211" s="17" t="s">
        <v>19</v>
      </c>
      <c r="CL211" s="172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385"/>
      <c r="J212" s="4" t="s">
        <v>123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-17.656403505540673</v>
      </c>
      <c r="T212" s="4">
        <f t="shared" si="83"/>
        <v>104.60159649445924</v>
      </c>
      <c r="U212" s="4">
        <f t="shared" si="84"/>
        <v>4.3951289852579088E-2</v>
      </c>
      <c r="V212" s="4">
        <f t="shared" si="85"/>
        <v>0.23565985690914995</v>
      </c>
      <c r="W212" s="4"/>
      <c r="X212" s="4"/>
      <c r="Y212" s="4"/>
      <c r="Z212" s="4"/>
      <c r="AA212" s="140" t="s">
        <v>397</v>
      </c>
      <c r="AB212" s="99">
        <f>$AP$210/($AC$195+V206+V222+V236)</f>
        <v>0.98838817763635167</v>
      </c>
      <c r="AC212" s="385"/>
      <c r="AD212" s="4" t="s">
        <v>123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-17.656403505540673</v>
      </c>
      <c r="AN212" s="4">
        <f t="shared" si="90"/>
        <v>104.60159649445924</v>
      </c>
      <c r="AO212" s="4">
        <f t="shared" si="91"/>
        <v>4.3951289852579088E-2</v>
      </c>
      <c r="AP212" s="4">
        <f t="shared" si="92"/>
        <v>2355.2493783265209</v>
      </c>
      <c r="AQ212" s="4"/>
      <c r="AR212" s="4"/>
      <c r="AT212" s="140" t="s">
        <v>397</v>
      </c>
      <c r="AU212" s="137">
        <f>BI210/(AP206+AU190)</f>
        <v>0.99937548336990578</v>
      </c>
      <c r="AV212" s="385"/>
      <c r="AW212" s="4" t="s">
        <v>123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-17.656403505540673</v>
      </c>
      <c r="BG212" s="4">
        <f t="shared" si="98"/>
        <v>104.60159649445924</v>
      </c>
      <c r="BH212" s="4">
        <f t="shared" si="99"/>
        <v>4.3951289852579088E-2</v>
      </c>
      <c r="BI212" s="4">
        <f t="shared" si="100"/>
        <v>2355.2493783265209</v>
      </c>
      <c r="BJ212" s="4"/>
      <c r="BK212" s="4"/>
      <c r="BM212" s="140" t="s">
        <v>397</v>
      </c>
      <c r="BN212" s="137">
        <f>CB210/(BM195+BI206)</f>
        <v>0.99940163700203333</v>
      </c>
      <c r="BO212" s="385"/>
      <c r="BP212" s="4" t="s">
        <v>123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-17.656403505540673</v>
      </c>
      <c r="BZ212" s="4">
        <f t="shared" si="106"/>
        <v>104.60159649445924</v>
      </c>
      <c r="CA212" s="4">
        <f t="shared" si="107"/>
        <v>4.3951289852579088E-2</v>
      </c>
      <c r="CB212" s="4">
        <f t="shared" ref="CB212:CB217" si="109">CA212*$BT$218</f>
        <v>2355.2493783265209</v>
      </c>
      <c r="CD212" s="4"/>
      <c r="CE212" s="4"/>
      <c r="CG212" s="140" t="s">
        <v>397</v>
      </c>
      <c r="CH212" s="137">
        <f>CW210/(CB244+CB206+CB232)</f>
        <v>0.32917976309123737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637</v>
      </c>
      <c r="CQ212" s="4"/>
      <c r="CR212" s="4"/>
      <c r="CV212" s="3" t="s">
        <v>96</v>
      </c>
      <c r="CW212" s="1" t="s">
        <v>93</v>
      </c>
    </row>
    <row r="213" spans="2:101" x14ac:dyDescent="0.2">
      <c r="I213" s="385"/>
      <c r="J213" s="4" t="s">
        <v>179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-18.987233403566542</v>
      </c>
      <c r="T213" s="4">
        <f t="shared" si="83"/>
        <v>43.58876659643348</v>
      </c>
      <c r="U213" s="4">
        <f t="shared" si="84"/>
        <v>1.0193029772974042E-2</v>
      </c>
      <c r="V213" s="4">
        <f t="shared" si="85"/>
        <v>5.4653411670665945E-2</v>
      </c>
      <c r="W213" s="4"/>
      <c r="X213" s="4"/>
      <c r="Y213" s="4"/>
      <c r="Z213" s="4"/>
      <c r="AA213" s="4"/>
      <c r="AB213" s="4"/>
      <c r="AC213" s="385"/>
      <c r="AD213" s="4" t="s">
        <v>179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-18.987233403566542</v>
      </c>
      <c r="AN213" s="4">
        <f t="shared" si="90"/>
        <v>43.58876659643348</v>
      </c>
      <c r="AO213" s="4">
        <f t="shared" si="91"/>
        <v>1.0193029772974042E-2</v>
      </c>
      <c r="AP213" s="4">
        <f t="shared" si="92"/>
        <v>546.22121709249632</v>
      </c>
      <c r="AQ213" s="4"/>
      <c r="AR213" s="4"/>
      <c r="AT213" s="4"/>
      <c r="AU213" s="4"/>
      <c r="AV213" s="385"/>
      <c r="AW213" s="4" t="s">
        <v>179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-18.987233403566542</v>
      </c>
      <c r="BG213" s="4">
        <f t="shared" si="98"/>
        <v>43.58876659643348</v>
      </c>
      <c r="BH213" s="4">
        <f t="shared" si="99"/>
        <v>1.0193029772974042E-2</v>
      </c>
      <c r="BI213" s="4">
        <f t="shared" si="100"/>
        <v>546.22121709249632</v>
      </c>
      <c r="BJ213" s="4"/>
      <c r="BK213" s="4"/>
      <c r="BL213" s="4"/>
      <c r="BM213" s="4"/>
      <c r="BN213" s="4"/>
      <c r="BO213" s="385"/>
      <c r="BP213" s="4" t="s">
        <v>179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-18.987233403566542</v>
      </c>
      <c r="BZ213" s="4">
        <f t="shared" si="106"/>
        <v>43.58876659643348</v>
      </c>
      <c r="CA213" s="4">
        <f t="shared" si="107"/>
        <v>1.0193029772974042E-2</v>
      </c>
      <c r="CB213" s="4">
        <f t="shared" si="109"/>
        <v>546.22121709249632</v>
      </c>
      <c r="CC213" s="4"/>
      <c r="CD213" s="4"/>
    </row>
    <row r="214" spans="2:101" ht="17" x14ac:dyDescent="0.25">
      <c r="I214" s="385"/>
      <c r="J214" s="4" t="s">
        <v>307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-21.538624315630244</v>
      </c>
      <c r="T214" s="4">
        <f t="shared" si="83"/>
        <v>277.10137568436983</v>
      </c>
      <c r="U214" s="4">
        <f t="shared" si="84"/>
        <v>2.1069088270804694E-2</v>
      </c>
      <c r="V214" s="4">
        <f t="shared" si="85"/>
        <v>0.11296911521272968</v>
      </c>
      <c r="W214" s="4"/>
      <c r="X214" s="4"/>
      <c r="Y214" s="1"/>
      <c r="Z214" s="1"/>
      <c r="AA214" s="1"/>
      <c r="AB214" s="4"/>
      <c r="AC214" s="385"/>
      <c r="AD214" s="4" t="s">
        <v>307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-21.538624315630244</v>
      </c>
      <c r="AN214" s="4">
        <f t="shared" si="90"/>
        <v>277.10137568436983</v>
      </c>
      <c r="AO214" s="4">
        <f t="shared" si="91"/>
        <v>2.1069088270804694E-2</v>
      </c>
      <c r="AP214" s="4">
        <f t="shared" si="92"/>
        <v>1129.0443856861561</v>
      </c>
      <c r="AQ214" s="4"/>
      <c r="AR214" s="4"/>
      <c r="AS214" s="4"/>
      <c r="AT214" s="4"/>
      <c r="AU214" s="4"/>
      <c r="AV214" s="385"/>
      <c r="AW214" s="4" t="s">
        <v>307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-21.538624315630244</v>
      </c>
      <c r="BG214" s="4">
        <f t="shared" si="98"/>
        <v>277.10137568436983</v>
      </c>
      <c r="BH214" s="4">
        <f t="shared" si="99"/>
        <v>2.1069088270804694E-2</v>
      </c>
      <c r="BI214" s="4">
        <f t="shared" si="100"/>
        <v>1129.0443856861561</v>
      </c>
      <c r="BJ214" s="4"/>
      <c r="BK214" s="4"/>
      <c r="BL214" s="4"/>
      <c r="BM214" s="4"/>
      <c r="BN214" s="4"/>
      <c r="BO214" s="385"/>
      <c r="BP214" s="4" t="s">
        <v>307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-21.538624315630244</v>
      </c>
      <c r="BZ214" s="4">
        <f t="shared" si="106"/>
        <v>277.10137568436983</v>
      </c>
      <c r="CA214" s="4">
        <f t="shared" si="107"/>
        <v>2.1069088270804694E-2</v>
      </c>
      <c r="CB214" s="4">
        <f t="shared" si="109"/>
        <v>1129.0443856861561</v>
      </c>
      <c r="CC214" s="4"/>
      <c r="CD214" s="4"/>
    </row>
    <row r="215" spans="2:101" ht="19" thickBot="1" x14ac:dyDescent="0.3">
      <c r="I215" s="385"/>
      <c r="J215" s="1" t="s">
        <v>15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-17.538036044958236</v>
      </c>
      <c r="T215" s="4">
        <f t="shared" si="83"/>
        <v>-0.17963604495816199</v>
      </c>
      <c r="U215" s="4">
        <f t="shared" si="84"/>
        <v>-7.9517569165283539E-5</v>
      </c>
      <c r="V215" s="4">
        <f t="shared" si="85"/>
        <v>-4.2636061499238414E-4</v>
      </c>
      <c r="W215" s="4"/>
      <c r="X215" s="4"/>
      <c r="Y215" s="3" t="s">
        <v>2</v>
      </c>
      <c r="Z215" s="3" t="s">
        <v>3</v>
      </c>
      <c r="AA215" s="132" t="s">
        <v>561</v>
      </c>
      <c r="AB215" s="16"/>
      <c r="AC215" s="385"/>
      <c r="AD215" s="1" t="s">
        <v>15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-17.538036044958236</v>
      </c>
      <c r="AN215" s="4">
        <f t="shared" si="90"/>
        <v>-0.17963604495816199</v>
      </c>
      <c r="AO215" s="4">
        <f t="shared" si="91"/>
        <v>-7.9517569165283539E-5</v>
      </c>
      <c r="AP215" s="4">
        <f t="shared" si="92"/>
        <v>-4.2611651665003469</v>
      </c>
      <c r="AQ215" s="4"/>
      <c r="AR215" s="3" t="s">
        <v>2</v>
      </c>
      <c r="AS215" s="3" t="s">
        <v>3</v>
      </c>
      <c r="AT215" s="132" t="s">
        <v>561</v>
      </c>
      <c r="AU215" s="4"/>
      <c r="AV215" s="385"/>
      <c r="AW215" s="1" t="s">
        <v>15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-17.538036044958236</v>
      </c>
      <c r="BG215" s="4">
        <f t="shared" si="98"/>
        <v>-0.17963604495816199</v>
      </c>
      <c r="BH215" s="4">
        <f t="shared" si="99"/>
        <v>-7.9517569165283539E-5</v>
      </c>
      <c r="BI215" s="4">
        <f t="shared" si="100"/>
        <v>-4.2611651665003469</v>
      </c>
      <c r="BJ215" s="4"/>
      <c r="BK215" s="3" t="s">
        <v>2</v>
      </c>
      <c r="BL215" s="3" t="s">
        <v>3</v>
      </c>
      <c r="BM215" s="132" t="s">
        <v>561</v>
      </c>
      <c r="BN215" s="4"/>
      <c r="BO215" s="385"/>
      <c r="BP215" s="1" t="s">
        <v>15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-17.538036044958236</v>
      </c>
      <c r="BZ215" s="4">
        <f t="shared" si="106"/>
        <v>-0.17963604495816199</v>
      </c>
      <c r="CA215" s="4">
        <f t="shared" si="107"/>
        <v>-7.9517569165283539E-5</v>
      </c>
      <c r="CB215" s="4">
        <f t="shared" si="109"/>
        <v>-4.2611651665003469</v>
      </c>
      <c r="CC215" s="4"/>
      <c r="CD215" s="4"/>
      <c r="CE215" s="3" t="s">
        <v>2</v>
      </c>
      <c r="CF215" s="3" t="s">
        <v>3</v>
      </c>
      <c r="CG215" s="132" t="s">
        <v>561</v>
      </c>
      <c r="CH215" s="132"/>
      <c r="CI215" s="132"/>
    </row>
    <row r="216" spans="2:101" ht="18.5" customHeight="1" x14ac:dyDescent="0.25">
      <c r="I216" s="385"/>
      <c r="J216" s="1" t="s">
        <v>17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-12.823306899545193</v>
      </c>
      <c r="T216" s="4">
        <f t="shared" si="83"/>
        <v>-11.297306899545125</v>
      </c>
      <c r="U216" s="4">
        <f t="shared" si="84"/>
        <v>-3.9872880571059865E-2</v>
      </c>
      <c r="V216" s="4">
        <f t="shared" si="85"/>
        <v>-0.21379207212004506</v>
      </c>
      <c r="W216" s="385" t="s">
        <v>373</v>
      </c>
      <c r="X216" s="4"/>
      <c r="Y216" s="1" t="s">
        <v>563</v>
      </c>
      <c r="Z216" s="1" t="s">
        <v>563</v>
      </c>
      <c r="AA216" s="1" t="s">
        <v>563</v>
      </c>
      <c r="AC216" s="385"/>
      <c r="AD216" s="1" t="s">
        <v>17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-12.823306899545193</v>
      </c>
      <c r="AN216" s="4">
        <f t="shared" si="90"/>
        <v>-11.297306899545125</v>
      </c>
      <c r="AO216" s="4">
        <f t="shared" si="91"/>
        <v>-3.9872880571059865E-2</v>
      </c>
      <c r="AP216" s="4">
        <f t="shared" si="92"/>
        <v>-2136.6967270373666</v>
      </c>
      <c r="AQ216" s="4"/>
      <c r="AR216" s="1" t="s">
        <v>563</v>
      </c>
      <c r="AS216" s="1" t="s">
        <v>563</v>
      </c>
      <c r="AT216" s="1" t="s">
        <v>563</v>
      </c>
      <c r="AU216" s="4"/>
      <c r="AV216" s="385"/>
      <c r="AW216" s="1" t="s">
        <v>17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-12.823306899545193</v>
      </c>
      <c r="BG216" s="4">
        <f t="shared" si="98"/>
        <v>-11.297306899545125</v>
      </c>
      <c r="BH216" s="4">
        <f t="shared" si="99"/>
        <v>-3.9872880571059865E-2</v>
      </c>
      <c r="BI216" s="4">
        <f t="shared" si="100"/>
        <v>-2136.6967270373666</v>
      </c>
      <c r="BJ216" s="4"/>
      <c r="BK216" s="1" t="s">
        <v>563</v>
      </c>
      <c r="BL216" s="1" t="s">
        <v>563</v>
      </c>
      <c r="BM216" s="1" t="s">
        <v>563</v>
      </c>
      <c r="BN216" s="4"/>
      <c r="BO216" s="385"/>
      <c r="BP216" s="1" t="s">
        <v>17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-12.823306899545193</v>
      </c>
      <c r="BZ216" s="4">
        <f t="shared" si="106"/>
        <v>-11.297306899545125</v>
      </c>
      <c r="CA216" s="4">
        <f t="shared" si="107"/>
        <v>-3.9872880571059865E-2</v>
      </c>
      <c r="CB216" s="4">
        <f t="shared" si="109"/>
        <v>-2136.6967270373666</v>
      </c>
      <c r="CC216" s="4"/>
      <c r="CD216" s="4"/>
      <c r="CE216" s="1" t="s">
        <v>563</v>
      </c>
      <c r="CF216" s="1" t="s">
        <v>563</v>
      </c>
      <c r="CG216" s="1" t="s">
        <v>563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657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-20.915097846405036</v>
      </c>
      <c r="T217" s="4">
        <f t="shared" si="83"/>
        <v>391.91690215359495</v>
      </c>
      <c r="U217" s="4">
        <f t="shared" si="84"/>
        <v>3.9214140944776529E-2</v>
      </c>
      <c r="V217" s="4">
        <f t="shared" si="85"/>
        <v>0.21026001454924298</v>
      </c>
      <c r="W217" s="385"/>
      <c r="X217" s="4" t="s">
        <v>60</v>
      </c>
      <c r="Y217" s="3" t="s">
        <v>562</v>
      </c>
      <c r="Z217" s="3" t="s">
        <v>562</v>
      </c>
      <c r="AA217" s="3" t="s">
        <v>562</v>
      </c>
      <c r="AC217" s="4"/>
      <c r="AD217" s="1" t="s">
        <v>657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-20.915097846405036</v>
      </c>
      <c r="AN217" s="4">
        <f t="shared" si="90"/>
        <v>391.91690215359495</v>
      </c>
      <c r="AO217" s="4">
        <f t="shared" si="91"/>
        <v>3.9214140944776529E-2</v>
      </c>
      <c r="AP217" s="4">
        <f t="shared" si="92"/>
        <v>2101.3963729297425</v>
      </c>
      <c r="AQ217" s="4" t="s">
        <v>60</v>
      </c>
      <c r="AR217" s="3" t="s">
        <v>562</v>
      </c>
      <c r="AS217" s="3" t="s">
        <v>562</v>
      </c>
      <c r="AT217" s="3" t="s">
        <v>562</v>
      </c>
      <c r="AU217" s="4"/>
      <c r="AV217" s="4"/>
      <c r="AW217" s="1" t="s">
        <v>657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-20.915097846405036</v>
      </c>
      <c r="BG217" s="4">
        <f t="shared" si="98"/>
        <v>391.91690215359495</v>
      </c>
      <c r="BH217" s="4">
        <f t="shared" si="99"/>
        <v>3.9214140944776529E-2</v>
      </c>
      <c r="BI217" s="4">
        <f t="shared" si="100"/>
        <v>2101.3963729297425</v>
      </c>
      <c r="BJ217" s="4" t="s">
        <v>60</v>
      </c>
      <c r="BK217" s="3" t="s">
        <v>562</v>
      </c>
      <c r="BL217" s="3" t="s">
        <v>562</v>
      </c>
      <c r="BM217" s="3" t="s">
        <v>562</v>
      </c>
      <c r="BN217" s="4"/>
      <c r="BO217" s="4"/>
      <c r="BP217" s="1" t="s">
        <v>657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-20.915097846405036</v>
      </c>
      <c r="BZ217" s="4">
        <f t="shared" si="106"/>
        <v>391.91690215359495</v>
      </c>
      <c r="CA217" s="4">
        <f t="shared" si="107"/>
        <v>3.9214140944776529E-2</v>
      </c>
      <c r="CB217" s="4">
        <f t="shared" si="109"/>
        <v>2101.3963729297425</v>
      </c>
      <c r="CC217" s="4"/>
      <c r="CD217" s="4" t="s">
        <v>60</v>
      </c>
      <c r="CE217" s="3" t="s">
        <v>562</v>
      </c>
      <c r="CF217" s="3" t="s">
        <v>562</v>
      </c>
      <c r="CG217" s="3" t="s">
        <v>562</v>
      </c>
      <c r="CJ217" s="309"/>
      <c r="CU217" s="4"/>
      <c r="CV217" s="65" t="s">
        <v>89</v>
      </c>
      <c r="CW217" s="64" t="s">
        <v>93</v>
      </c>
    </row>
    <row r="218" spans="2:101" ht="18" customHeight="1" thickBot="1" x14ac:dyDescent="0.25">
      <c r="J218" s="62" t="s">
        <v>19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165.26749557941469</v>
      </c>
      <c r="V218" s="62">
        <f>SUM(V210:V217)</f>
        <v>8851059.7091535721</v>
      </c>
      <c r="W218" s="385"/>
      <c r="X218" s="4" t="s">
        <v>18</v>
      </c>
      <c r="Y218" s="83">
        <f>(N210)+(12*N226)</f>
        <v>53292.826569533201</v>
      </c>
      <c r="Z218" s="83">
        <f>AH210+AH231</f>
        <v>53292.826569533201</v>
      </c>
      <c r="AA218" s="3">
        <f>Y218-Z218</f>
        <v>0</v>
      </c>
      <c r="AC218" s="4"/>
      <c r="AD218" s="17" t="s">
        <v>19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165.26749557941469</v>
      </c>
      <c r="AP218" s="17">
        <f>SUM(AP210:AP217)</f>
        <v>8856308.1430966556</v>
      </c>
      <c r="AQ218" s="4" t="s">
        <v>18</v>
      </c>
      <c r="AR218" s="83">
        <f>AH210</f>
        <v>53256.078525349229</v>
      </c>
      <c r="AS218" s="83">
        <f>BA210</f>
        <v>53256.078525349229</v>
      </c>
      <c r="AT218" s="3">
        <f>AR218-AS218</f>
        <v>0</v>
      </c>
      <c r="AU218" s="4"/>
      <c r="AV218" s="4"/>
      <c r="AW218" s="17" t="s">
        <v>19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165.26749557941469</v>
      </c>
      <c r="BI218" s="17">
        <f>SUM(BI210:BI217)</f>
        <v>8856308.1430966556</v>
      </c>
      <c r="BJ218" s="4" t="s">
        <v>18</v>
      </c>
      <c r="BK218" s="83">
        <f>BA210</f>
        <v>53256.078525349229</v>
      </c>
      <c r="BL218" s="83">
        <f>BT210</f>
        <v>53256.078525349229</v>
      </c>
      <c r="BM218" s="3">
        <f>BK218-BL218</f>
        <v>0</v>
      </c>
      <c r="BN218" s="1"/>
      <c r="BO218" s="4"/>
      <c r="BP218" s="17" t="s">
        <v>19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165.26749557941469</v>
      </c>
      <c r="CB218" s="17">
        <f>SUM(CB210:CB217)</f>
        <v>8856308.1430966556</v>
      </c>
      <c r="CC218" s="4"/>
      <c r="CD218" s="4" t="s">
        <v>18</v>
      </c>
      <c r="CE218" s="83">
        <f>(BT210/coal_C_coeff)+BT248</f>
        <v>32037.942345649131</v>
      </c>
      <c r="CF218" s="83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309"/>
      <c r="CR218" s="3" t="s">
        <v>506</v>
      </c>
      <c r="CU218" s="4"/>
      <c r="CV218" s="50">
        <f>CL229</f>
        <v>25.253201846716312</v>
      </c>
      <c r="CW218" s="48">
        <f>CW229</f>
        <v>9078.7224010297414</v>
      </c>
    </row>
    <row r="219" spans="2:101" ht="21" customHeight="1" thickBot="1" x14ac:dyDescent="0.3">
      <c r="K219" s="1" t="s">
        <v>89</v>
      </c>
      <c r="L219" s="1"/>
      <c r="M219" s="3" t="s">
        <v>91</v>
      </c>
      <c r="N219" s="3" t="s">
        <v>87</v>
      </c>
      <c r="O219" s="1" t="s">
        <v>637</v>
      </c>
      <c r="P219" s="4"/>
      <c r="Q219" s="4"/>
      <c r="U219" s="3" t="s">
        <v>96</v>
      </c>
      <c r="V219" s="1" t="s">
        <v>93</v>
      </c>
      <c r="W219" s="385"/>
      <c r="X219" s="3" t="s">
        <v>182</v>
      </c>
      <c r="Y219" s="282">
        <f>(mol_H_Coal*N210)+(23*N226)</f>
        <v>92623.432082250409</v>
      </c>
      <c r="Z219" s="282">
        <f>(mol_H_Coal*AH210)+(2*AH232)</f>
        <v>92623.432082250409</v>
      </c>
      <c r="AA219" s="3">
        <f t="shared" ref="AA219:AA227" si="110">Y219-Z219</f>
        <v>0</v>
      </c>
      <c r="AE219" s="1" t="s">
        <v>89</v>
      </c>
      <c r="AF219" s="1"/>
      <c r="AG219" s="3" t="s">
        <v>91</v>
      </c>
      <c r="AH219" s="3" t="s">
        <v>87</v>
      </c>
      <c r="AI219" s="1" t="s">
        <v>637</v>
      </c>
      <c r="AJ219" s="4"/>
      <c r="AK219" s="4"/>
      <c r="AO219" s="3" t="s">
        <v>96</v>
      </c>
      <c r="AP219" s="1" t="s">
        <v>93</v>
      </c>
      <c r="AQ219" s="3" t="s">
        <v>182</v>
      </c>
      <c r="AR219" s="282">
        <f>(mol_H_Coal*AH210)</f>
        <v>92552.998330897797</v>
      </c>
      <c r="AS219" s="282">
        <f>mol_H_Coal*BA210</f>
        <v>92552.998330897797</v>
      </c>
      <c r="AT219" s="3">
        <f t="shared" ref="AT219:AT227" si="111">AR219-AS219</f>
        <v>0</v>
      </c>
      <c r="AX219" s="1" t="s">
        <v>89</v>
      </c>
      <c r="AY219" s="1"/>
      <c r="AZ219" s="3" t="s">
        <v>91</v>
      </c>
      <c r="BA219" s="3" t="s">
        <v>87</v>
      </c>
      <c r="BB219" s="1" t="s">
        <v>637</v>
      </c>
      <c r="BC219" s="4"/>
      <c r="BD219" s="4"/>
      <c r="BH219" s="3" t="s">
        <v>96</v>
      </c>
      <c r="BI219" s="1" t="s">
        <v>93</v>
      </c>
      <c r="BJ219" s="3" t="s">
        <v>182</v>
      </c>
      <c r="BK219" s="282">
        <f>(mol_H_Coal*BA210)</f>
        <v>92552.998330897797</v>
      </c>
      <c r="BL219" s="28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89</v>
      </c>
      <c r="BR219" s="1"/>
      <c r="BS219" s="3" t="s">
        <v>91</v>
      </c>
      <c r="BT219" s="3" t="s">
        <v>87</v>
      </c>
      <c r="BU219" s="1" t="s">
        <v>637</v>
      </c>
      <c r="BV219" s="4"/>
      <c r="BW219" s="4"/>
      <c r="CA219" s="3" t="s">
        <v>96</v>
      </c>
      <c r="CB219" s="1" t="s">
        <v>93</v>
      </c>
      <c r="CD219" s="3" t="s">
        <v>182</v>
      </c>
      <c r="CE219" s="83">
        <f>(BT210/coal_H_coeff)+(4*Ore_to_PI!BT248)</f>
        <v>84461.311317275366</v>
      </c>
      <c r="CF219" s="83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309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85"/>
      <c r="X220" s="3" t="s">
        <v>29</v>
      </c>
      <c r="Y220" s="282">
        <f>(mol_O_Coal*N210)+(3*N211)+N212+N213+N214+(3*N215)+(2*N216)+(2*N240)</f>
        <v>1528.2388768231481</v>
      </c>
      <c r="Z220" s="282">
        <f>(mol_O_Coal*AH210)+(3*AH211)+AH212+AH213+AH214+(3*AH215)+(2*AH216)+(2*AH231)+AH232</f>
        <v>1528.2388768231483</v>
      </c>
      <c r="AA220" s="3">
        <f t="shared" si="110"/>
        <v>0</v>
      </c>
      <c r="AQ220" s="3" t="s">
        <v>29</v>
      </c>
      <c r="AR220" s="282">
        <f>(mol_O_Coal*AH210)+(3*AH211)+AH212+AH213+AH214+(3*AH215)+(2*AH216)</f>
        <v>1419.5259127788902</v>
      </c>
      <c r="AS220" s="28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29</v>
      </c>
      <c r="BK220" s="282">
        <f>(mol_O_Coal*BA210)+(3*BA211)+BA212+BA213+BA214+(3*BA215)+(2*BA216)</f>
        <v>1419.5259127788902</v>
      </c>
      <c r="BL220" s="28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(3*BT211)+(BT212)+BT213+BT214+(3*BT215)+(2*BT216)+(BT210/coal_O_coeff)+(2*BT236)+BT217</f>
        <v>51869.39719799607</v>
      </c>
      <c r="CF220" s="83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309"/>
      <c r="CK220" s="4"/>
      <c r="CL220" s="1" t="s">
        <v>534</v>
      </c>
      <c r="CM220" s="1" t="s">
        <v>535</v>
      </c>
      <c r="CN220" s="1" t="s">
        <v>537</v>
      </c>
      <c r="CO220" s="1" t="s">
        <v>85</v>
      </c>
      <c r="CP220" s="1" t="s">
        <v>636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49</v>
      </c>
      <c r="CV220" s="1" t="s">
        <v>536</v>
      </c>
      <c r="CW220" s="1" t="s">
        <v>50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85"/>
      <c r="X221" s="3" t="s">
        <v>360</v>
      </c>
      <c r="Y221" s="83">
        <f>(mol_N_Coal*N210)+(2*N241)</f>
        <v>469.79713968841332</v>
      </c>
      <c r="Z221" s="83">
        <f>(mol_N_Coal*AH210)+(2*AH233)</f>
        <v>469.79713968841332</v>
      </c>
      <c r="AA221" s="3">
        <f t="shared" si="110"/>
        <v>0</v>
      </c>
      <c r="AQ221" s="3" t="s">
        <v>360</v>
      </c>
      <c r="AR221" s="83">
        <f>mol_N_Coal*AH210</f>
        <v>61.036394882003421</v>
      </c>
      <c r="AS221" s="83">
        <f>mol_N_Coal*BA210</f>
        <v>61.036394882003421</v>
      </c>
      <c r="AT221" s="3">
        <f t="shared" si="111"/>
        <v>0</v>
      </c>
      <c r="BJ221" s="3" t="s">
        <v>360</v>
      </c>
      <c r="BK221" s="83">
        <f>mol_N_Coal*BA210</f>
        <v>61.036394882003421</v>
      </c>
      <c r="BL221" s="83">
        <f>mol_N_Coal*BT210</f>
        <v>61.036394882003421</v>
      </c>
      <c r="BM221" s="3">
        <f t="shared" si="112"/>
        <v>0</v>
      </c>
      <c r="CD221" s="3" t="s">
        <v>360</v>
      </c>
      <c r="CE221" s="83">
        <f>(BT210/coal_N_coeff)+(2*BT237)</f>
        <v>191390.29432931638</v>
      </c>
      <c r="CF221" s="83">
        <f>(mol_C_to_BF/coke_N_coeff)+(2*CO257)+(2*CO280)</f>
        <v>191390.29432931638</v>
      </c>
      <c r="CG221" s="3">
        <f t="shared" si="113"/>
        <v>0</v>
      </c>
      <c r="CJ221" s="309"/>
      <c r="CK221" s="4" t="s">
        <v>41</v>
      </c>
      <c r="CL221" s="1" t="s">
        <v>88</v>
      </c>
      <c r="CM221" s="4" t="s">
        <v>282</v>
      </c>
      <c r="CN221" s="1" t="s">
        <v>90</v>
      </c>
      <c r="CO221" s="1" t="s">
        <v>86</v>
      </c>
      <c r="CP221" s="1" t="s">
        <v>95</v>
      </c>
      <c r="CQ221" s="1" t="s">
        <v>95</v>
      </c>
      <c r="CR221" s="1" t="s">
        <v>25</v>
      </c>
      <c r="CS221" s="1" t="s">
        <v>98</v>
      </c>
      <c r="CT221" s="1" t="s">
        <v>95</v>
      </c>
      <c r="CU221" s="1" t="s">
        <v>95</v>
      </c>
      <c r="CV221" s="1" t="s">
        <v>94</v>
      </c>
      <c r="CW221" s="1" t="s">
        <v>92</v>
      </c>
    </row>
    <row r="222" spans="2:101" ht="31" customHeight="1" thickBot="1" x14ac:dyDescent="0.3">
      <c r="B222" s="356" t="s">
        <v>468</v>
      </c>
      <c r="C222" s="356"/>
      <c r="D222" s="356"/>
      <c r="E222" s="356"/>
      <c r="F222" s="356"/>
      <c r="G222" s="356"/>
      <c r="H222" s="356"/>
      <c r="J222" s="4"/>
      <c r="K222" s="4"/>
      <c r="L222" s="4"/>
      <c r="M222" s="4"/>
      <c r="N222" s="4"/>
      <c r="O222" s="4"/>
      <c r="P222" s="4"/>
      <c r="Q222" s="201" t="s">
        <v>552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308</v>
      </c>
      <c r="Y222" s="83">
        <f>2*N211</f>
        <v>148.60466056564917</v>
      </c>
      <c r="Z222" s="83">
        <f>2*AH211</f>
        <v>148.60466056564917</v>
      </c>
      <c r="AA222" s="3">
        <f t="shared" si="110"/>
        <v>0</v>
      </c>
      <c r="AQ222" s="3" t="s">
        <v>308</v>
      </c>
      <c r="AR222" s="83">
        <f>2*AH211</f>
        <v>148.60466056564917</v>
      </c>
      <c r="AS222" s="83">
        <f>2*BA211</f>
        <v>148.60466056564917</v>
      </c>
      <c r="AT222" s="3">
        <f t="shared" si="111"/>
        <v>0</v>
      </c>
      <c r="BJ222" s="3" t="s">
        <v>308</v>
      </c>
      <c r="BK222" s="83">
        <f>2*BA211</f>
        <v>148.60466056564917</v>
      </c>
      <c r="BL222" s="83">
        <f>2*BT211</f>
        <v>148.60466056564917</v>
      </c>
      <c r="BM222" s="3">
        <f t="shared" si="112"/>
        <v>0</v>
      </c>
      <c r="CD222" s="3" t="s">
        <v>308</v>
      </c>
      <c r="CE222" s="83">
        <f>2*BT211</f>
        <v>148.60466056564917</v>
      </c>
      <c r="CF222" s="83">
        <f>2*CO222</f>
        <v>148.60466056564917</v>
      </c>
      <c r="CG222" s="3">
        <f>CE222-CF222</f>
        <v>0</v>
      </c>
      <c r="CJ222" s="358" t="s">
        <v>506</v>
      </c>
      <c r="CK222" s="62" t="s">
        <v>306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-3.3971647283101643</v>
      </c>
      <c r="CU222" s="62">
        <f t="shared" ref="CU222:CU228" si="118">CT222+CQ222</f>
        <v>28.47883527168981</v>
      </c>
      <c r="CV222" s="62">
        <f t="shared" ref="CV222:CV227" si="119">CU222*CR222</f>
        <v>6.3805319978521551</v>
      </c>
      <c r="CW222" s="62">
        <f t="shared" ref="CW222:CW228" si="120">CV222*$CO$229</f>
        <v>2116.0438244272509</v>
      </c>
    </row>
    <row r="223" spans="2:101" x14ac:dyDescent="0.2">
      <c r="B223" s="359"/>
      <c r="C223" s="359"/>
      <c r="D223" s="359"/>
      <c r="E223" s="359"/>
      <c r="F223" s="359"/>
      <c r="G223" s="359"/>
      <c r="H223" s="359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31</v>
      </c>
      <c r="Y223" s="283">
        <f>N212</f>
        <v>22.516380793970754</v>
      </c>
      <c r="Z223" s="283">
        <f>AH212</f>
        <v>22.516380793970754</v>
      </c>
      <c r="AA223" s="3">
        <f t="shared" si="110"/>
        <v>0</v>
      </c>
      <c r="AQ223" s="3" t="s">
        <v>31</v>
      </c>
      <c r="AR223" s="283">
        <f>AH212</f>
        <v>22.516380793970754</v>
      </c>
      <c r="AS223" s="283">
        <f>BA212</f>
        <v>22.516380793970754</v>
      </c>
      <c r="AT223" s="3">
        <f t="shared" si="111"/>
        <v>0</v>
      </c>
      <c r="BJ223" s="3" t="s">
        <v>31</v>
      </c>
      <c r="BK223" s="283">
        <f>BA212</f>
        <v>22.516380793970754</v>
      </c>
      <c r="BL223" s="283">
        <f>BT212</f>
        <v>22.516380793970754</v>
      </c>
      <c r="BM223" s="3">
        <f t="shared" si="112"/>
        <v>0</v>
      </c>
      <c r="BN223" s="25"/>
      <c r="CB223" s="25"/>
      <c r="CD223" s="3" t="s">
        <v>31</v>
      </c>
      <c r="CE223" s="83">
        <f>BT212</f>
        <v>22.516380793970754</v>
      </c>
      <c r="CF223" s="83">
        <f>CO223</f>
        <v>22.516380793970754</v>
      </c>
      <c r="CG223" s="3">
        <f t="shared" si="113"/>
        <v>0</v>
      </c>
      <c r="CJ223" s="358"/>
      <c r="CK223" s="4" t="s">
        <v>123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-6.108472999017275</v>
      </c>
      <c r="CU223" s="4">
        <f t="shared" si="118"/>
        <v>116.14952700098264</v>
      </c>
      <c r="CV223" s="4">
        <f t="shared" si="119"/>
        <v>7.885845486641629</v>
      </c>
      <c r="CW223" s="4">
        <f t="shared" si="120"/>
        <v>2615.2669789937131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319</v>
      </c>
      <c r="H224" s="13" t="s">
        <v>313</v>
      </c>
      <c r="J224" s="4"/>
      <c r="K224" s="3" t="s">
        <v>540</v>
      </c>
      <c r="L224" s="1" t="s">
        <v>534</v>
      </c>
      <c r="M224" s="3" t="s">
        <v>5</v>
      </c>
      <c r="N224" s="1" t="s">
        <v>85</v>
      </c>
      <c r="O224" s="1" t="s">
        <v>636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536</v>
      </c>
      <c r="V224" s="1" t="s">
        <v>50</v>
      </c>
      <c r="X224" s="3" t="s">
        <v>309</v>
      </c>
      <c r="Y224" s="284">
        <f>N213</f>
        <v>12.531238200651201</v>
      </c>
      <c r="Z224" s="284">
        <f>AH213</f>
        <v>12.531238200651201</v>
      </c>
      <c r="AA224" s="3">
        <f t="shared" si="110"/>
        <v>0</v>
      </c>
      <c r="AQ224" s="3" t="s">
        <v>309</v>
      </c>
      <c r="AR224" s="284">
        <f>AH213</f>
        <v>12.531238200651201</v>
      </c>
      <c r="AS224" s="284">
        <f>BA213</f>
        <v>12.531238200651201</v>
      </c>
      <c r="AT224" s="3">
        <f t="shared" si="111"/>
        <v>0</v>
      </c>
      <c r="BJ224" s="3" t="s">
        <v>309</v>
      </c>
      <c r="BK224" s="284">
        <f>BA213</f>
        <v>12.531238200651201</v>
      </c>
      <c r="BL224" s="28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309</v>
      </c>
      <c r="CE224" s="83">
        <f>BT213</f>
        <v>12.531238200651201</v>
      </c>
      <c r="CF224" s="83">
        <f>CO224</f>
        <v>12.531238200651201</v>
      </c>
      <c r="CG224" s="3">
        <f t="shared" si="113"/>
        <v>0</v>
      </c>
      <c r="CJ224" s="358"/>
      <c r="CK224" s="4" t="s">
        <v>179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-7.4393028970431407</v>
      </c>
      <c r="CU224" s="4">
        <f t="shared" si="118"/>
        <v>55.13669710295688</v>
      </c>
      <c r="CV224" s="4">
        <f t="shared" si="119"/>
        <v>2.0833726812393105</v>
      </c>
      <c r="CW224" s="4">
        <f t="shared" si="120"/>
        <v>690.93108499430753</v>
      </c>
    </row>
    <row r="225" spans="2:169" ht="18" x14ac:dyDescent="0.25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539</v>
      </c>
      <c r="L225" s="1" t="s">
        <v>88</v>
      </c>
      <c r="M225" s="1" t="s">
        <v>90</v>
      </c>
      <c r="N225" s="1" t="s">
        <v>86</v>
      </c>
      <c r="O225" s="1" t="s">
        <v>95</v>
      </c>
      <c r="P225" s="1" t="s">
        <v>625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X225" s="3" t="s">
        <v>310</v>
      </c>
      <c r="Y225" s="83">
        <f>2*N214</f>
        <v>8.1489626884579991</v>
      </c>
      <c r="Z225" s="83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310</v>
      </c>
      <c r="AR225" s="83">
        <f>2*AH214</f>
        <v>8.1489626884579991</v>
      </c>
      <c r="AS225" s="83">
        <f>2*BA214</f>
        <v>8.1489626884579991</v>
      </c>
      <c r="AT225" s="3">
        <f t="shared" si="111"/>
        <v>0</v>
      </c>
      <c r="BJ225" s="3" t="s">
        <v>310</v>
      </c>
      <c r="BK225" s="83">
        <f>2*BA214</f>
        <v>8.1489626884579991</v>
      </c>
      <c r="BL225" s="83">
        <f>2*BT214</f>
        <v>8.1489626884579991</v>
      </c>
      <c r="BM225" s="3">
        <f t="shared" si="112"/>
        <v>0</v>
      </c>
      <c r="CD225" s="3" t="s">
        <v>310</v>
      </c>
      <c r="CE225" s="83">
        <f>2*BT214</f>
        <v>8.1489626884579991</v>
      </c>
      <c r="CF225" s="83">
        <f>2*CO225</f>
        <v>8.1489626884579991</v>
      </c>
      <c r="CG225" s="3">
        <f t="shared" si="113"/>
        <v>0</v>
      </c>
      <c r="CJ225" s="358"/>
      <c r="CK225" s="4" t="s">
        <v>307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-9.9906938091068458</v>
      </c>
      <c r="CU225" s="4">
        <f t="shared" si="118"/>
        <v>288.64930619089318</v>
      </c>
      <c r="CV225" s="4">
        <f t="shared" si="119"/>
        <v>3.5462968363922491</v>
      </c>
      <c r="CW225" s="4">
        <f t="shared" si="120"/>
        <v>1176.0962130994387</v>
      </c>
      <c r="DB225" s="16" t="s">
        <v>609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78" t="s">
        <v>552</v>
      </c>
      <c r="J226" s="96" t="s">
        <v>471</v>
      </c>
      <c r="K226" s="95">
        <f>F229</f>
        <v>21827.121921766418</v>
      </c>
      <c r="L226" s="95">
        <f>K226/LHV_Diesel</f>
        <v>0.51237375403207552</v>
      </c>
      <c r="M226" s="95">
        <f>MW_C12H23</f>
        <v>0.16731462</v>
      </c>
      <c r="N226" s="95">
        <f>L226/M226</f>
        <v>3.0623370153312099</v>
      </c>
      <c r="O226" s="95">
        <f>LHV_Diesel*M226</f>
        <v>7127.6028120000001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23309.045257575242</v>
      </c>
      <c r="X226" s="3" t="s">
        <v>16</v>
      </c>
      <c r="Y226" s="83">
        <f>2*N215</f>
        <v>47.442206462436765</v>
      </c>
      <c r="Z226" s="83">
        <f>2*AH215</f>
        <v>47.442206462436765</v>
      </c>
      <c r="AA226" s="3">
        <f t="shared" si="110"/>
        <v>0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47.442206462436765</v>
      </c>
      <c r="AS226" s="83">
        <f>2*BA215</f>
        <v>47.442206462436765</v>
      </c>
      <c r="AT226" s="3">
        <f t="shared" si="111"/>
        <v>0</v>
      </c>
      <c r="BJ226" s="3" t="s">
        <v>16</v>
      </c>
      <c r="BK226" s="83">
        <f>2*BA215</f>
        <v>47.442206462436765</v>
      </c>
      <c r="BL226" s="83">
        <f>2*BT215</f>
        <v>47.442206462436765</v>
      </c>
      <c r="BM226" s="3">
        <f t="shared" si="112"/>
        <v>0</v>
      </c>
      <c r="CD226" s="3" t="s">
        <v>16</v>
      </c>
      <c r="CE226" s="83">
        <f>2*BT215</f>
        <v>47.442206462436765</v>
      </c>
      <c r="CF226" s="83">
        <f>2*CO226</f>
        <v>47.442206462436765</v>
      </c>
      <c r="CG226" s="3">
        <f t="shared" si="113"/>
        <v>0</v>
      </c>
      <c r="CJ226" s="358"/>
      <c r="CK226" s="1" t="s">
        <v>15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-5.9901055384348352</v>
      </c>
      <c r="CU226" s="4">
        <f t="shared" si="118"/>
        <v>11.368294461565238</v>
      </c>
      <c r="CV226" s="4">
        <f t="shared" si="119"/>
        <v>0.81313458018760409</v>
      </c>
      <c r="CW226" s="4">
        <f t="shared" si="120"/>
        <v>269.66848648567719</v>
      </c>
      <c r="CY226" s="375" t="s">
        <v>428</v>
      </c>
      <c r="CZ226" s="375"/>
      <c r="DA226" s="375"/>
      <c r="DB226" s="375"/>
      <c r="DC226" s="375"/>
      <c r="DD226" s="375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19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30</v>
      </c>
      <c r="Y227" s="284">
        <f>N216</f>
        <v>189.13328158973877</v>
      </c>
      <c r="Z227" s="28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501</v>
      </c>
      <c r="AO227" s="50">
        <f>AE234</f>
        <v>7.9771214256715108</v>
      </c>
      <c r="AP227" s="48">
        <f>AP234</f>
        <v>598.81969608995871</v>
      </c>
      <c r="AQ227" s="3" t="s">
        <v>30</v>
      </c>
      <c r="AR227" s="284">
        <f>AH216</f>
        <v>189.13328158973877</v>
      </c>
      <c r="AS227" s="284">
        <f>BA216</f>
        <v>189.13328158973877</v>
      </c>
      <c r="AT227" s="3">
        <f t="shared" si="111"/>
        <v>0</v>
      </c>
      <c r="BJ227" s="3" t="s">
        <v>30</v>
      </c>
      <c r="BK227" s="284">
        <f>BA216</f>
        <v>189.13328158973877</v>
      </c>
      <c r="BL227" s="28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30</v>
      </c>
      <c r="CE227" s="83">
        <f>BT216</f>
        <v>189.13328158973877</v>
      </c>
      <c r="CF227" s="83">
        <f>CO227</f>
        <v>189.13328158973877</v>
      </c>
      <c r="CG227" s="3">
        <f t="shared" si="113"/>
        <v>0</v>
      </c>
      <c r="CJ227" s="358"/>
      <c r="CK227" s="1" t="s">
        <v>17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-1.275376393021793</v>
      </c>
      <c r="CU227" s="4">
        <f t="shared" si="118"/>
        <v>0.25062360697827435</v>
      </c>
      <c r="CV227" s="4">
        <f t="shared" si="119"/>
        <v>0.14292959628618912</v>
      </c>
      <c r="CW227" s="4">
        <f t="shared" si="120"/>
        <v>47.40126523165798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319</v>
      </c>
      <c r="DD227" s="13" t="s">
        <v>313</v>
      </c>
    </row>
    <row r="228" spans="2:169" ht="23" customHeight="1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637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180</v>
      </c>
      <c r="CE228" s="83">
        <f>BT210/coal_S_coeff</f>
        <v>97.6333439881017</v>
      </c>
      <c r="CF228" s="83">
        <f>(mol_C_to_BF/coke_S_coeff)+CO239</f>
        <v>97.6333439881017</v>
      </c>
      <c r="CG228" s="3">
        <f t="shared" si="113"/>
        <v>0</v>
      </c>
      <c r="CJ228" s="358"/>
      <c r="CK228" s="1" t="s">
        <v>657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-9.367167339881636</v>
      </c>
      <c r="CU228" s="4">
        <f t="shared" si="118"/>
        <v>403.46483266011836</v>
      </c>
      <c r="CV228" s="4">
        <f>CU228*CR228</f>
        <v>6.5230679697186096</v>
      </c>
      <c r="CW228" s="4">
        <f t="shared" si="120"/>
        <v>2163.3145477976964</v>
      </c>
      <c r="CY228" s="61" t="s">
        <v>98</v>
      </c>
      <c r="CZ228" s="13" t="s">
        <v>546</v>
      </c>
      <c r="DA228" s="13" t="s">
        <v>443</v>
      </c>
      <c r="DB228" s="13" t="s">
        <v>48</v>
      </c>
      <c r="DC228" s="34" t="s">
        <v>98</v>
      </c>
      <c r="DD228" s="13" t="s">
        <v>48</v>
      </c>
    </row>
    <row r="229" spans="2:169" ht="19" thickBot="1" x14ac:dyDescent="0.3">
      <c r="B229" s="3" t="s">
        <v>19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534</v>
      </c>
      <c r="AF229" s="1" t="s">
        <v>535</v>
      </c>
      <c r="AG229" s="1" t="s">
        <v>537</v>
      </c>
      <c r="AH229" s="1" t="s">
        <v>85</v>
      </c>
      <c r="AI229" s="1" t="s">
        <v>636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536</v>
      </c>
      <c r="AP229" s="1" t="s">
        <v>50</v>
      </c>
      <c r="CK229" s="17" t="s">
        <v>19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27.375179148317748</v>
      </c>
      <c r="CW229" s="17">
        <f>SUM(CW222:CW228)</f>
        <v>9078.7224010297414</v>
      </c>
      <c r="CY229" s="61" t="s">
        <v>265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41</v>
      </c>
      <c r="AE230" s="1" t="s">
        <v>88</v>
      </c>
      <c r="AF230" s="4" t="s">
        <v>282</v>
      </c>
      <c r="AG230" s="2" t="s">
        <v>90</v>
      </c>
      <c r="AH230" s="2" t="s">
        <v>86</v>
      </c>
      <c r="AI230" s="1" t="s">
        <v>95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CA230" s="63" t="s">
        <v>1</v>
      </c>
      <c r="CB230" s="58" t="s">
        <v>0</v>
      </c>
      <c r="CL230" s="1" t="s">
        <v>89</v>
      </c>
      <c r="CM230" s="1"/>
      <c r="CN230" s="3" t="s">
        <v>91</v>
      </c>
      <c r="CO230" s="3" t="s">
        <v>87</v>
      </c>
      <c r="CP230" s="1" t="s">
        <v>637</v>
      </c>
      <c r="CQ230" s="4"/>
      <c r="CR230" s="4"/>
      <c r="CV230" s="3" t="s">
        <v>96</v>
      </c>
      <c r="CW230" s="1" t="s">
        <v>93</v>
      </c>
    </row>
    <row r="231" spans="2:169" ht="18" customHeight="1" thickBot="1" x14ac:dyDescent="0.3">
      <c r="AC231" s="357" t="s">
        <v>501</v>
      </c>
      <c r="AD231" s="17" t="s">
        <v>23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-4.5818303565174681</v>
      </c>
      <c r="AN231" s="1">
        <f>AJ231+AM231</f>
        <v>15.318169643482566</v>
      </c>
      <c r="AO231" s="1">
        <f>AN231*AK231</f>
        <v>2.0369906440801286</v>
      </c>
      <c r="AP231" s="8">
        <f>$AH$234*AO231</f>
        <v>562.91277487631453</v>
      </c>
      <c r="CA231" s="65" t="s">
        <v>89</v>
      </c>
      <c r="CB231" s="64" t="s">
        <v>93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357"/>
      <c r="AD232" s="3" t="s">
        <v>68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-4.6784819257704671</v>
      </c>
      <c r="AN232" s="1">
        <f t="shared" ref="AN232:AN233" si="123">AJ232+AM232</f>
        <v>4.8328620742295412</v>
      </c>
      <c r="AO232" s="1">
        <f>AN232*AK232</f>
        <v>0.61589000281072404</v>
      </c>
      <c r="AP232" s="1">
        <f t="shared" ref="AP232:AP233" si="124">$AH$234*AO232</f>
        <v>170.19830282889021</v>
      </c>
      <c r="BW232" s="3" t="s">
        <v>505</v>
      </c>
      <c r="CA232" s="50">
        <f>BQ238</f>
        <v>3494.7460959815226</v>
      </c>
      <c r="CB232" s="48">
        <f>CB238</f>
        <v>27357.025657382623</v>
      </c>
      <c r="CV232" s="63" t="s">
        <v>1</v>
      </c>
      <c r="CW232" s="58" t="s">
        <v>0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AC233" s="357"/>
      <c r="AD233" s="7" t="s">
        <v>67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-0.68507942051171278</v>
      </c>
      <c r="AN233" s="1">
        <f t="shared" si="123"/>
        <v>-0.65706594051171274</v>
      </c>
      <c r="AO233" s="1">
        <f t="shared" ref="AO233" si="125">AN233*AK233</f>
        <v>-0.48595501850345424</v>
      </c>
      <c r="AP233" s="1">
        <f t="shared" si="124"/>
        <v>-134.29138161524597</v>
      </c>
      <c r="CJ233" s="308"/>
      <c r="CV233" s="65" t="s">
        <v>89</v>
      </c>
      <c r="CW233" s="64" t="s">
        <v>93</v>
      </c>
      <c r="CY233" s="360" t="s">
        <v>642</v>
      </c>
      <c r="CZ233" s="360"/>
      <c r="DA233" s="360"/>
      <c r="DB233" s="360"/>
      <c r="DC233" s="360"/>
      <c r="DL233" s="3" t="s">
        <v>643</v>
      </c>
      <c r="DP233" s="50">
        <f>DF241</f>
        <v>46.099804713468714</v>
      </c>
      <c r="DQ233" s="48">
        <f>DQ241</f>
        <v>4044220.3273382401</v>
      </c>
      <c r="DS233" s="360" t="s">
        <v>645</v>
      </c>
      <c r="DT233" s="360"/>
      <c r="DU233" s="360"/>
      <c r="DV233" s="360"/>
      <c r="DW233" s="360"/>
      <c r="EG233" s="3" t="s">
        <v>646</v>
      </c>
      <c r="EK233" s="50">
        <f>EA241</f>
        <v>46.099804713468714</v>
      </c>
      <c r="EL233" s="48">
        <f>EL241</f>
        <v>4044220.3273382401</v>
      </c>
      <c r="FA233" s="3" t="s">
        <v>646</v>
      </c>
      <c r="FF233" s="50">
        <f>EV241</f>
        <v>13.829941414040613</v>
      </c>
      <c r="FG233" s="48">
        <f>FG241</f>
        <v>1213266.0982014721</v>
      </c>
      <c r="FI233" s="391" t="s">
        <v>411</v>
      </c>
      <c r="FJ233" s="392"/>
      <c r="FK233" s="392"/>
      <c r="FL233" s="392"/>
      <c r="FM233" s="392"/>
    </row>
    <row r="234" spans="2:169" ht="18" customHeight="1" thickBot="1" x14ac:dyDescent="0.3">
      <c r="U234" s="63" t="s">
        <v>1</v>
      </c>
      <c r="V234" s="58" t="s">
        <v>0</v>
      </c>
      <c r="AC234" s="357"/>
      <c r="AD234" s="17" t="s">
        <v>19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598.81969608995871</v>
      </c>
      <c r="BK234" s="356" t="s">
        <v>499</v>
      </c>
      <c r="BL234" s="356"/>
      <c r="BM234" s="356"/>
      <c r="BN234" s="356"/>
      <c r="BP234" s="4"/>
      <c r="BQ234" s="1" t="s">
        <v>534</v>
      </c>
      <c r="BR234" s="1" t="s">
        <v>535</v>
      </c>
      <c r="BS234" s="1" t="s">
        <v>537</v>
      </c>
      <c r="BT234" s="1" t="s">
        <v>85</v>
      </c>
      <c r="BU234" s="1" t="s">
        <v>636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49</v>
      </c>
      <c r="CA234" s="1" t="s">
        <v>536</v>
      </c>
      <c r="CB234" s="1" t="s">
        <v>50</v>
      </c>
      <c r="CJ234" s="308"/>
      <c r="CR234" s="3" t="s">
        <v>507</v>
      </c>
      <c r="CV234" s="50">
        <f>CL243</f>
        <v>46.0998047134687</v>
      </c>
      <c r="CW234" s="48">
        <f>CW243</f>
        <v>4027024.8231933108</v>
      </c>
      <c r="CY234" s="360"/>
      <c r="CZ234" s="360"/>
      <c r="DA234" s="360"/>
      <c r="DB234" s="360"/>
      <c r="DC234" s="360"/>
      <c r="DS234" s="360"/>
      <c r="DT234" s="360"/>
      <c r="DU234" s="360"/>
      <c r="DV234" s="360"/>
      <c r="DW234" s="360"/>
      <c r="FI234" s="392"/>
      <c r="FJ234" s="392"/>
      <c r="FK234" s="392"/>
      <c r="FL234" s="392"/>
      <c r="FM234" s="392"/>
    </row>
    <row r="235" spans="2:169" ht="18" customHeight="1" x14ac:dyDescent="0.25">
      <c r="U235" s="65" t="s">
        <v>89</v>
      </c>
      <c r="V235" s="64" t="s">
        <v>93</v>
      </c>
      <c r="AE235" s="1" t="s">
        <v>89</v>
      </c>
      <c r="AF235" s="1"/>
      <c r="AG235" s="3" t="s">
        <v>91</v>
      </c>
      <c r="AH235" s="3" t="s">
        <v>87</v>
      </c>
      <c r="AI235" s="1" t="s">
        <v>637</v>
      </c>
      <c r="AJ235" s="4"/>
      <c r="AK235" s="4"/>
      <c r="AO235" s="3" t="s">
        <v>96</v>
      </c>
      <c r="AP235" s="1" t="s">
        <v>93</v>
      </c>
      <c r="BK235" s="356"/>
      <c r="BL235" s="356"/>
      <c r="BM235" s="356"/>
      <c r="BN235" s="356"/>
      <c r="BP235" s="4" t="s">
        <v>41</v>
      </c>
      <c r="BQ235" s="1" t="s">
        <v>88</v>
      </c>
      <c r="BR235" s="4" t="s">
        <v>282</v>
      </c>
      <c r="BS235" s="2" t="s">
        <v>90</v>
      </c>
      <c r="BT235" s="2" t="s">
        <v>86</v>
      </c>
      <c r="BU235" s="1" t="s">
        <v>95</v>
      </c>
      <c r="BV235" s="2" t="s">
        <v>95</v>
      </c>
      <c r="BW235" s="2" t="s">
        <v>25</v>
      </c>
      <c r="BX235" s="2" t="s">
        <v>98</v>
      </c>
      <c r="BY235" s="2" t="s">
        <v>95</v>
      </c>
      <c r="BZ235" s="2" t="s">
        <v>95</v>
      </c>
      <c r="CA235" s="2" t="s">
        <v>94</v>
      </c>
      <c r="CB235" s="2" t="s">
        <v>92</v>
      </c>
      <c r="CJ235" s="308"/>
      <c r="CY235" s="22" t="s">
        <v>420</v>
      </c>
      <c r="CZ235" s="22" t="s">
        <v>461</v>
      </c>
      <c r="DA235" s="159" t="s">
        <v>334</v>
      </c>
      <c r="DB235" s="361" t="s">
        <v>341</v>
      </c>
      <c r="DC235" s="138" t="s">
        <v>314</v>
      </c>
      <c r="DE235" s="4"/>
      <c r="DF235" s="1" t="s">
        <v>534</v>
      </c>
      <c r="DG235" s="1" t="s">
        <v>535</v>
      </c>
      <c r="DH235" s="1" t="s">
        <v>537</v>
      </c>
      <c r="DI235" s="1" t="s">
        <v>85</v>
      </c>
      <c r="DJ235" s="1" t="s">
        <v>636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536</v>
      </c>
      <c r="DQ235" s="1" t="s">
        <v>50</v>
      </c>
      <c r="DS235" s="22" t="s">
        <v>420</v>
      </c>
      <c r="DT235" s="22" t="s">
        <v>461</v>
      </c>
      <c r="DU235" s="159" t="s">
        <v>334</v>
      </c>
      <c r="DV235" s="361" t="s">
        <v>341</v>
      </c>
      <c r="DW235" s="138" t="s">
        <v>314</v>
      </c>
      <c r="DZ235" s="4"/>
      <c r="EA235" s="1" t="s">
        <v>534</v>
      </c>
      <c r="EB235" s="1" t="s">
        <v>535</v>
      </c>
      <c r="EC235" s="1" t="s">
        <v>537</v>
      </c>
      <c r="ED235" s="1" t="s">
        <v>85</v>
      </c>
      <c r="EE235" s="1" t="s">
        <v>636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536</v>
      </c>
      <c r="EL235" s="1" t="s">
        <v>50</v>
      </c>
      <c r="EU235" s="4"/>
      <c r="EV235" s="1" t="s">
        <v>534</v>
      </c>
      <c r="EW235" s="1" t="s">
        <v>535</v>
      </c>
      <c r="EX235" s="1" t="s">
        <v>537</v>
      </c>
      <c r="EY235" s="1" t="s">
        <v>85</v>
      </c>
      <c r="EZ235" s="1" t="s">
        <v>636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536</v>
      </c>
      <c r="FG235" s="1" t="s">
        <v>50</v>
      </c>
      <c r="FI235" s="392"/>
      <c r="FJ235" s="392"/>
      <c r="FK235" s="392"/>
      <c r="FL235" s="392"/>
      <c r="FM235" s="392"/>
    </row>
    <row r="236" spans="2:169" ht="22" customHeight="1" thickBot="1" x14ac:dyDescent="0.3">
      <c r="Q236" s="3" t="s">
        <v>517</v>
      </c>
      <c r="U236" s="50">
        <f>K242</f>
        <v>7.4647476716394348</v>
      </c>
      <c r="V236" s="48">
        <f>V242</f>
        <v>58.434372046010559</v>
      </c>
      <c r="BO236" s="358" t="s">
        <v>500</v>
      </c>
      <c r="BP236" s="8" t="s">
        <v>302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-3.5432742429276503</v>
      </c>
      <c r="BZ236" s="1">
        <f>BV236+BY236</f>
        <v>0.45672575707234975</v>
      </c>
      <c r="CA236" s="1">
        <f>BZ236*BW236</f>
        <v>9.5950789300913816E-2</v>
      </c>
      <c r="CB236" s="1">
        <f>BT238*CA236</f>
        <v>11622.70839934586</v>
      </c>
      <c r="CJ236" s="308"/>
      <c r="CK236" s="4"/>
      <c r="CL236" s="1" t="s">
        <v>534</v>
      </c>
      <c r="CM236" s="1" t="s">
        <v>535</v>
      </c>
      <c r="CN236" s="1" t="s">
        <v>537</v>
      </c>
      <c r="CO236" s="1" t="s">
        <v>85</v>
      </c>
      <c r="CP236" s="1" t="s">
        <v>636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49</v>
      </c>
      <c r="CV236" s="1" t="s">
        <v>536</v>
      </c>
      <c r="CW236" s="1" t="s">
        <v>50</v>
      </c>
      <c r="CY236" s="210" t="s">
        <v>48</v>
      </c>
      <c r="CZ236" s="9" t="s">
        <v>48</v>
      </c>
      <c r="DA236" s="1" t="s">
        <v>89</v>
      </c>
      <c r="DB236" s="362"/>
      <c r="DC236" s="136" t="s">
        <v>82</v>
      </c>
      <c r="DE236" s="4" t="s">
        <v>41</v>
      </c>
      <c r="DF236" s="1" t="s">
        <v>88</v>
      </c>
      <c r="DG236" s="4" t="s">
        <v>282</v>
      </c>
      <c r="DH236" s="2" t="s">
        <v>90</v>
      </c>
      <c r="DI236" s="2" t="s">
        <v>86</v>
      </c>
      <c r="DJ236" s="1" t="s">
        <v>95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0" t="s">
        <v>48</v>
      </c>
      <c r="DT236" s="9" t="s">
        <v>48</v>
      </c>
      <c r="DU236" s="1" t="s">
        <v>89</v>
      </c>
      <c r="DV236" s="362"/>
      <c r="DW236" s="136" t="s">
        <v>82</v>
      </c>
      <c r="DZ236" s="4" t="s">
        <v>41</v>
      </c>
      <c r="EA236" s="1" t="s">
        <v>88</v>
      </c>
      <c r="EB236" s="4" t="s">
        <v>282</v>
      </c>
      <c r="EC236" s="2" t="s">
        <v>90</v>
      </c>
      <c r="ED236" s="2" t="s">
        <v>86</v>
      </c>
      <c r="EE236" s="1" t="s">
        <v>95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282</v>
      </c>
      <c r="EX236" s="2" t="s">
        <v>90</v>
      </c>
      <c r="EY236" s="2" t="s">
        <v>86</v>
      </c>
      <c r="EZ236" s="1" t="s">
        <v>95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customHeight="1" thickBot="1" x14ac:dyDescent="0.3">
      <c r="BO237" s="358"/>
      <c r="BP237" s="60" t="s">
        <v>67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-0.53555971521393941</v>
      </c>
      <c r="BZ237" s="2">
        <f>BV237+BY237</f>
        <v>0.16444028478606054</v>
      </c>
      <c r="CA237" s="2">
        <f>BZ237*BW237</f>
        <v>0.12989400646966126</v>
      </c>
      <c r="CB237" s="2">
        <f>BT238*CA237</f>
        <v>15734.317258036763</v>
      </c>
      <c r="CJ237" s="308"/>
      <c r="CK237" s="4" t="s">
        <v>41</v>
      </c>
      <c r="CL237" s="1" t="s">
        <v>88</v>
      </c>
      <c r="CM237" s="4" t="s">
        <v>282</v>
      </c>
      <c r="CN237" s="2" t="s">
        <v>90</v>
      </c>
      <c r="CO237" s="2" t="s">
        <v>86</v>
      </c>
      <c r="CP237" s="1" t="s">
        <v>95</v>
      </c>
      <c r="CQ237" s="2" t="s">
        <v>95</v>
      </c>
      <c r="CR237" s="2" t="s">
        <v>25</v>
      </c>
      <c r="CS237" s="2" t="s">
        <v>98</v>
      </c>
      <c r="CT237" s="2" t="s">
        <v>95</v>
      </c>
      <c r="CU237" s="2" t="s">
        <v>95</v>
      </c>
      <c r="CV237" s="2" t="s">
        <v>94</v>
      </c>
      <c r="CW237" s="2" t="s">
        <v>92</v>
      </c>
      <c r="CY237" s="104">
        <f>0</f>
        <v>0</v>
      </c>
      <c r="CZ237" s="99">
        <f>CW234+DD229-DQ233</f>
        <v>15996.355248767883</v>
      </c>
      <c r="DA237" s="141">
        <f>DP233-CV234</f>
        <v>0</v>
      </c>
      <c r="DB237" s="139" t="s">
        <v>338</v>
      </c>
      <c r="DC237" s="136">
        <f>((DI238*(DP238-CV242)))/DD229</f>
        <v>0.19607706784943255</v>
      </c>
      <c r="DD237" s="369" t="s">
        <v>643</v>
      </c>
      <c r="DE237" s="17" t="s">
        <v>66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-0.15997037281540122</v>
      </c>
      <c r="DO237" s="17">
        <f>DK237+DN237</f>
        <v>235.9400296271846</v>
      </c>
      <c r="DP237" s="17">
        <f>DO237*DL237</f>
        <v>219.8919311716252</v>
      </c>
      <c r="DQ237" s="17">
        <f>DP237*$DI$241</f>
        <v>3271655.296047383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338</v>
      </c>
      <c r="DW237" s="136" t="s">
        <v>98</v>
      </c>
      <c r="DY237" s="369" t="s">
        <v>504</v>
      </c>
      <c r="DZ237" s="17" t="s">
        <v>66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-0.15997037281540122</v>
      </c>
      <c r="EJ237" s="17">
        <f>EF237+EI237</f>
        <v>235.9400296271846</v>
      </c>
      <c r="EK237" s="17">
        <f>EJ237*EG237</f>
        <v>219.8919311716252</v>
      </c>
      <c r="EL237" s="17">
        <f>EK237*$DI$241</f>
        <v>3271655.296047383</v>
      </c>
      <c r="ET237" s="390" t="s">
        <v>646</v>
      </c>
      <c r="EU237" s="17" t="s">
        <v>66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-0.15997037281540147</v>
      </c>
      <c r="FE237" s="17">
        <f>FA237+FD237</f>
        <v>235.9400296271846</v>
      </c>
      <c r="FF237" s="17">
        <f>FE237*FB237</f>
        <v>219.89193117162517</v>
      </c>
      <c r="FG237" s="17">
        <f>FF237*$EY$241</f>
        <v>981496.5888142148</v>
      </c>
    </row>
    <row r="238" spans="2:169" ht="23" customHeight="1" x14ac:dyDescent="0.25">
      <c r="E238" s="356" t="s">
        <v>499</v>
      </c>
      <c r="F238" s="356"/>
      <c r="G238" s="356"/>
      <c r="H238" s="356"/>
      <c r="J238" s="4"/>
      <c r="K238" s="1" t="s">
        <v>534</v>
      </c>
      <c r="L238" s="1" t="s">
        <v>535</v>
      </c>
      <c r="M238" s="1" t="s">
        <v>537</v>
      </c>
      <c r="N238" s="1" t="s">
        <v>85</v>
      </c>
      <c r="O238" s="1" t="s">
        <v>636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536</v>
      </c>
      <c r="V238" s="1" t="s">
        <v>50</v>
      </c>
      <c r="BP238" s="3" t="s">
        <v>19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0.22584479577057509</v>
      </c>
      <c r="CB238" s="3">
        <f>SUM(CB236:CB237)</f>
        <v>27357.025657382623</v>
      </c>
      <c r="CJ238" s="357" t="s">
        <v>507</v>
      </c>
      <c r="CK238" s="17" t="s">
        <v>66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-0.14617761379472408</v>
      </c>
      <c r="CU238" s="17">
        <f t="shared" ref="CU238:CU242" si="128">CQ238+CT238</f>
        <v>235.95382238620527</v>
      </c>
      <c r="CV238" s="17">
        <f t="shared" ref="CV238:CV242" si="129">CR238*CU238</f>
        <v>221.24444432355347</v>
      </c>
      <c r="CW238" s="17">
        <f>CV238*$CO$243</f>
        <v>3329251.3975574607</v>
      </c>
      <c r="CY238" s="4"/>
      <c r="CZ238" s="4"/>
      <c r="DB238" s="139" t="s">
        <v>612</v>
      </c>
      <c r="DC238" s="136">
        <f>DQ233/(CW234+DD229)</f>
        <v>0.99606022128883631</v>
      </c>
      <c r="DD238" s="369"/>
      <c r="DE238" s="3" t="s">
        <v>65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-6.3769988229356089</v>
      </c>
      <c r="DO238" s="3">
        <f t="shared" ref="DO238:DO240" si="133">DK238+DN238</f>
        <v>825.42300117706429</v>
      </c>
      <c r="DP238" s="3">
        <f t="shared" ref="DP238:DP240" si="134">DO238*DL238</f>
        <v>49.791495876553356</v>
      </c>
      <c r="DQ238" s="3">
        <f t="shared" ref="DQ238:DQ240" si="135">DP238*$DI$241</f>
        <v>740821.2312051761</v>
      </c>
      <c r="DS238" s="4"/>
      <c r="DT238" s="4"/>
      <c r="DV238" s="139" t="s">
        <v>612</v>
      </c>
      <c r="DW238" s="136">
        <f>EL233/DQ233</f>
        <v>1</v>
      </c>
      <c r="DY238" s="369"/>
      <c r="DZ238" s="3" t="s">
        <v>65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-6.3769988229356089</v>
      </c>
      <c r="EJ238" s="3">
        <f t="shared" ref="EJ238:EJ240" si="139">EF238+EI238</f>
        <v>825.42300117706429</v>
      </c>
      <c r="EK238" s="3">
        <f t="shared" ref="EK238:EK240" si="140">EJ238*EG238</f>
        <v>49.791495876553356</v>
      </c>
      <c r="EL238" s="3">
        <f t="shared" ref="EL238:EL240" si="141">EK238*$DI$241</f>
        <v>740821.2312051761</v>
      </c>
      <c r="EM238" s="132"/>
      <c r="EN238" s="132"/>
      <c r="EO238" s="132"/>
      <c r="EP238" s="132"/>
      <c r="EQ238" s="132"/>
      <c r="ER238" s="132"/>
      <c r="ES238" s="132"/>
      <c r="ET238" s="390"/>
      <c r="EU238" s="3" t="s">
        <v>65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-6.3769988229356107</v>
      </c>
      <c r="FE238" s="3">
        <f>FA238+FD238</f>
        <v>825.42300117706429</v>
      </c>
      <c r="FF238" s="3">
        <f>FE238*FB238</f>
        <v>49.791495876553348</v>
      </c>
      <c r="FG238" s="3">
        <f t="shared" ref="FG238:FG240" si="143">FF238*$EY$241</f>
        <v>222246.36936155282</v>
      </c>
    </row>
    <row r="239" spans="2:169" ht="19" thickBot="1" x14ac:dyDescent="0.3">
      <c r="E239" s="356"/>
      <c r="F239" s="356"/>
      <c r="G239" s="356"/>
      <c r="H239" s="356"/>
      <c r="J239" s="4" t="s">
        <v>41</v>
      </c>
      <c r="K239" s="1" t="s">
        <v>88</v>
      </c>
      <c r="L239" s="4" t="s">
        <v>282</v>
      </c>
      <c r="M239" s="2" t="s">
        <v>90</v>
      </c>
      <c r="N239" s="2" t="s">
        <v>86</v>
      </c>
      <c r="O239" s="1" t="s">
        <v>95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BQ239" s="1" t="s">
        <v>89</v>
      </c>
      <c r="BR239" s="1"/>
      <c r="BS239" s="3" t="s">
        <v>91</v>
      </c>
      <c r="BT239" s="3" t="s">
        <v>87</v>
      </c>
      <c r="BU239" s="1" t="s">
        <v>637</v>
      </c>
      <c r="BV239" s="4"/>
      <c r="BW239" s="4"/>
      <c r="CA239" s="3" t="s">
        <v>96</v>
      </c>
      <c r="CB239" s="1" t="s">
        <v>93</v>
      </c>
      <c r="CJ239" s="357"/>
      <c r="CK239" s="3" t="s">
        <v>365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-13.434484606772353</v>
      </c>
      <c r="CU239" s="3">
        <f t="shared" si="128"/>
        <v>796.91191539322756</v>
      </c>
      <c r="CV239" s="3">
        <f t="shared" si="129"/>
        <v>2.1489826094690736</v>
      </c>
      <c r="CW239" s="3">
        <f>CV239*$CO$243</f>
        <v>32337.550340647947</v>
      </c>
      <c r="CY239" s="4"/>
      <c r="CZ239" s="4"/>
      <c r="DB239" s="140" t="s">
        <v>397</v>
      </c>
      <c r="DC239" s="137">
        <f>DQ238/(CW234+DD229)</f>
        <v>0.18245854571809561</v>
      </c>
      <c r="DD239" s="369"/>
      <c r="DE239" s="235" t="s">
        <v>24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-12.046911217384114</v>
      </c>
      <c r="DO239" s="3">
        <f t="shared" si="133"/>
        <v>-8.046911217384114</v>
      </c>
      <c r="DP239" s="3">
        <f t="shared" si="134"/>
        <v>-3.997678586122911E-2</v>
      </c>
      <c r="DQ239" s="3">
        <f t="shared" si="135"/>
        <v>-594.79337183937332</v>
      </c>
      <c r="DS239" s="4"/>
      <c r="DT239" s="4"/>
      <c r="DV239" s="140" t="s">
        <v>397</v>
      </c>
      <c r="DW239" s="137">
        <f>EL233/DQ233</f>
        <v>1</v>
      </c>
      <c r="DY239" s="369"/>
      <c r="DZ239" s="235" t="s">
        <v>24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-12.046911217384114</v>
      </c>
      <c r="EJ239" s="3">
        <f t="shared" si="139"/>
        <v>-8.046911217384114</v>
      </c>
      <c r="EK239" s="3">
        <f t="shared" si="140"/>
        <v>-3.997678586122911E-2</v>
      </c>
      <c r="EL239" s="3">
        <f t="shared" si="141"/>
        <v>-594.79337183937332</v>
      </c>
      <c r="EM239" s="1"/>
      <c r="EN239" s="1"/>
      <c r="EO239" s="1"/>
      <c r="EP239" s="1"/>
      <c r="EQ239" s="1"/>
      <c r="ER239" s="1"/>
      <c r="ES239" s="1"/>
      <c r="ET239" s="390"/>
      <c r="EU239" s="235" t="s">
        <v>24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-12.046911217384114</v>
      </c>
      <c r="FE239" s="3">
        <f>FA239+FD239</f>
        <v>-8.046911217384114</v>
      </c>
      <c r="FF239" s="3">
        <f>FE239*FB239</f>
        <v>-3.9976785861229103E-2</v>
      </c>
      <c r="FG239" s="3">
        <f t="shared" si="143"/>
        <v>-178.43801155181197</v>
      </c>
    </row>
    <row r="240" spans="2:169" ht="18" customHeight="1" x14ac:dyDescent="0.25">
      <c r="I240" s="357" t="s">
        <v>505</v>
      </c>
      <c r="J240" s="8" t="s">
        <v>302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-3.5432742429276503</v>
      </c>
      <c r="T240" s="1">
        <f>P240+S240</f>
        <v>0.45672575707234975</v>
      </c>
      <c r="U240" s="1">
        <f>T240*Q240</f>
        <v>9.5950789300913816E-2</v>
      </c>
      <c r="V240" s="1">
        <f>N242*U240</f>
        <v>24.826005403346429</v>
      </c>
      <c r="CJ240" s="357"/>
      <c r="CK240" s="3" t="s">
        <v>122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-11.491816737949305</v>
      </c>
      <c r="CU240" s="3">
        <f t="shared" si="128"/>
        <v>263.5311432620507</v>
      </c>
      <c r="CV240" s="3">
        <f t="shared" si="129"/>
        <v>1.6717275425699396</v>
      </c>
      <c r="CW240" s="3">
        <f>CV240*$CO$243</f>
        <v>25155.891595166995</v>
      </c>
      <c r="DD240" s="369"/>
      <c r="DE240" s="3" t="s">
        <v>365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-13.40877850795137</v>
      </c>
      <c r="DO240" s="3">
        <f t="shared" si="133"/>
        <v>796.93762149204849</v>
      </c>
      <c r="DP240" s="3">
        <f t="shared" si="134"/>
        <v>2.1735161938787653</v>
      </c>
      <c r="DQ240" s="3">
        <f t="shared" si="135"/>
        <v>32338.593457520255</v>
      </c>
      <c r="DY240" s="369"/>
      <c r="DZ240" s="3" t="s">
        <v>365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-13.40877850795137</v>
      </c>
      <c r="EJ240" s="3">
        <f t="shared" si="139"/>
        <v>796.93762149204849</v>
      </c>
      <c r="EK240" s="3">
        <f t="shared" si="140"/>
        <v>2.1735161938787653</v>
      </c>
      <c r="EL240" s="3">
        <f t="shared" si="141"/>
        <v>32338.593457520255</v>
      </c>
      <c r="ET240" s="390"/>
      <c r="EU240" s="7" t="s">
        <v>67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-13.40877850795137</v>
      </c>
      <c r="FE240" s="3">
        <f>FA240+FD240</f>
        <v>796.93762149204849</v>
      </c>
      <c r="FF240" s="3">
        <f>FE240*FB240</f>
        <v>2.1735161938787644</v>
      </c>
      <c r="FG240" s="3">
        <f t="shared" si="143"/>
        <v>9701.578037256073</v>
      </c>
    </row>
    <row r="241" spans="9:163" ht="19" thickBot="1" x14ac:dyDescent="0.3">
      <c r="I241" s="357"/>
      <c r="J241" s="60" t="s">
        <v>67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33.60836664266413</v>
      </c>
      <c r="CJ241" s="357"/>
      <c r="CK241" s="7" t="s">
        <v>64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-14.429096466115805</v>
      </c>
      <c r="CU241" s="3">
        <f t="shared" si="128"/>
        <v>5.4709035338842291</v>
      </c>
      <c r="CV241" s="3">
        <f t="shared" si="129"/>
        <v>9.5208240600811057E-3</v>
      </c>
      <c r="CW241" s="3">
        <f>CV241*$CO$243</f>
        <v>143.26785427239435</v>
      </c>
      <c r="DE241" s="17" t="s">
        <v>19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271.81696645619604</v>
      </c>
      <c r="DQ241" s="17">
        <f>SUM(DQ237:DQ240)</f>
        <v>4044220.3273382401</v>
      </c>
      <c r="DZ241" s="17" t="s">
        <v>19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271.81696645619604</v>
      </c>
      <c r="EL241" s="17">
        <f>SUM(EL237:EL240)</f>
        <v>4044220.3273382401</v>
      </c>
      <c r="EU241" s="17" t="s">
        <v>19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271.81696645619604</v>
      </c>
      <c r="FG241" s="17">
        <f>SUM(FG237:FG240)</f>
        <v>1213266.0982014721</v>
      </c>
    </row>
    <row r="242" spans="9:163" ht="18" x14ac:dyDescent="0.25">
      <c r="J242" s="3" t="s">
        <v>19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0.22584479577057509</v>
      </c>
      <c r="V242" s="3">
        <f>SUM(V240:V241)</f>
        <v>58.434372046010559</v>
      </c>
      <c r="CA242" s="63" t="s">
        <v>1</v>
      </c>
      <c r="CB242" s="58" t="s">
        <v>0</v>
      </c>
      <c r="CJ242" s="357"/>
      <c r="CK242" s="3" t="s">
        <v>65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-6.7334616305124975</v>
      </c>
      <c r="CU242" s="3">
        <f t="shared" si="128"/>
        <v>825.06653836948749</v>
      </c>
      <c r="CV242" s="3">
        <f t="shared" si="129"/>
        <v>42.540101385045944</v>
      </c>
      <c r="CW242" s="3">
        <f>CV242*$CO$243</f>
        <v>640136.71584576298</v>
      </c>
      <c r="DF242" s="1" t="s">
        <v>89</v>
      </c>
      <c r="DG242" s="1"/>
      <c r="DH242" s="3" t="s">
        <v>91</v>
      </c>
      <c r="DI242" s="3" t="s">
        <v>87</v>
      </c>
      <c r="DJ242" s="1" t="s">
        <v>637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637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561</v>
      </c>
      <c r="EV242" s="1" t="s">
        <v>89</v>
      </c>
      <c r="EW242" s="1"/>
      <c r="EX242" s="3" t="s">
        <v>91</v>
      </c>
      <c r="EY242" s="3" t="s">
        <v>87</v>
      </c>
      <c r="EZ242" s="1" t="s">
        <v>637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637</v>
      </c>
      <c r="P243" s="4"/>
      <c r="Q243" s="4"/>
      <c r="U243" s="3" t="s">
        <v>96</v>
      </c>
      <c r="V243" s="1" t="s">
        <v>93</v>
      </c>
      <c r="CA243" s="65" t="s">
        <v>89</v>
      </c>
      <c r="CB243" s="64" t="s">
        <v>93</v>
      </c>
      <c r="CK243" s="17" t="s">
        <v>19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267.61477668469848</v>
      </c>
      <c r="CW243" s="17">
        <f>SUM(CW238:CW242)</f>
        <v>4027024.8231933108</v>
      </c>
      <c r="CY243" s="4"/>
      <c r="CZ243" s="3" t="s">
        <v>2</v>
      </c>
      <c r="DA243" s="3" t="s">
        <v>3</v>
      </c>
      <c r="DB243" s="132" t="s">
        <v>561</v>
      </c>
      <c r="EO243" s="4"/>
      <c r="EP243" s="1" t="s">
        <v>563</v>
      </c>
      <c r="EQ243" s="1" t="s">
        <v>563</v>
      </c>
      <c r="ER243" s="1" t="s">
        <v>563</v>
      </c>
    </row>
    <row r="244" spans="9:163" ht="24" customHeight="1" thickBot="1" x14ac:dyDescent="0.3">
      <c r="BW244" s="3" t="s">
        <v>459</v>
      </c>
      <c r="CA244" s="50">
        <f>BR249</f>
        <v>204.127223518021</v>
      </c>
      <c r="CB244" s="48">
        <f>CB249</f>
        <v>10583778.883576756</v>
      </c>
      <c r="CL244" s="1" t="s">
        <v>89</v>
      </c>
      <c r="CM244" s="1"/>
      <c r="CN244" s="3" t="s">
        <v>91</v>
      </c>
      <c r="CO244" s="3" t="s">
        <v>87</v>
      </c>
      <c r="CP244" s="1" t="s">
        <v>637</v>
      </c>
      <c r="CQ244" s="4"/>
      <c r="CR244" s="4"/>
      <c r="CV244" s="3" t="s">
        <v>96</v>
      </c>
      <c r="CW244" s="1" t="s">
        <v>93</v>
      </c>
      <c r="CY244" s="4"/>
      <c r="CZ244" s="1" t="s">
        <v>563</v>
      </c>
      <c r="DA244" s="1" t="s">
        <v>563</v>
      </c>
      <c r="DB244" s="1" t="s">
        <v>563</v>
      </c>
      <c r="EO244" s="4" t="s">
        <v>60</v>
      </c>
      <c r="EP244" s="3" t="s">
        <v>562</v>
      </c>
      <c r="EQ244" s="3" t="s">
        <v>562</v>
      </c>
      <c r="ER244" s="3" t="s">
        <v>562</v>
      </c>
    </row>
    <row r="245" spans="9:163" x14ac:dyDescent="0.2">
      <c r="BO245" s="4"/>
      <c r="CY245" s="4" t="s">
        <v>60</v>
      </c>
      <c r="CZ245" s="3" t="s">
        <v>562</v>
      </c>
      <c r="DA245" s="3" t="s">
        <v>562</v>
      </c>
      <c r="DB245" s="3" t="s">
        <v>562</v>
      </c>
      <c r="EO245" s="3" t="s">
        <v>18</v>
      </c>
      <c r="EP245" s="83">
        <f>DI238</f>
        <v>897.50495218664253</v>
      </c>
      <c r="EQ245" s="83" t="e">
        <f>EY238+EE157+#REF!</f>
        <v>#REF!</v>
      </c>
      <c r="ER245" s="3" t="e">
        <f>EP245-EQ245</f>
        <v>#REF!</v>
      </c>
    </row>
    <row r="246" spans="9:163" ht="18" customHeight="1" x14ac:dyDescent="0.25">
      <c r="BI246" s="313"/>
      <c r="BJ246" s="313"/>
      <c r="BK246" s="356" t="s">
        <v>458</v>
      </c>
      <c r="BL246" s="356"/>
      <c r="BM246" s="356"/>
      <c r="BN246" s="356"/>
      <c r="BO246" s="313"/>
      <c r="BP246" s="1"/>
      <c r="BQ246" s="3" t="s">
        <v>540</v>
      </c>
      <c r="BR246" s="1" t="s">
        <v>534</v>
      </c>
      <c r="BS246" s="3" t="s">
        <v>5</v>
      </c>
      <c r="BT246" s="1" t="s">
        <v>85</v>
      </c>
      <c r="BU246" s="1" t="s">
        <v>636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49</v>
      </c>
      <c r="CA246" s="1" t="s">
        <v>536</v>
      </c>
      <c r="CB246" s="1" t="s">
        <v>50</v>
      </c>
      <c r="CY246" s="3" t="s">
        <v>18</v>
      </c>
      <c r="CZ246" s="83">
        <f>CO240+CO241+CO242</f>
        <v>897.50495218664253</v>
      </c>
      <c r="DA246" s="83">
        <f>DI238</f>
        <v>897.50495218664253</v>
      </c>
      <c r="DB246" s="3">
        <f>CZ246-DA246</f>
        <v>0</v>
      </c>
      <c r="EO246" s="3" t="s">
        <v>182</v>
      </c>
      <c r="EP246" s="83">
        <f>(2*DI237)+(4*DI238)</f>
        <v>31322.959413925193</v>
      </c>
      <c r="EQ246" s="83" t="e">
        <f>(2*EY237)+(4*EY238)+(2*EE156)+(4*EE157)+(2*#REF!)+(4*#REF!)</f>
        <v>#REF!</v>
      </c>
      <c r="ER246" s="3" t="e">
        <f t="shared" ref="ER246:ER248" si="145">EP246-EQ246</f>
        <v>#REF!</v>
      </c>
    </row>
    <row r="247" spans="9:163" ht="18" x14ac:dyDescent="0.25">
      <c r="BI247" s="313"/>
      <c r="BJ247" s="313"/>
      <c r="BK247" s="356"/>
      <c r="BL247" s="356"/>
      <c r="BM247" s="356"/>
      <c r="BN247" s="356"/>
      <c r="BO247" s="313"/>
      <c r="BP247" s="1"/>
      <c r="BQ247" s="3" t="s">
        <v>539</v>
      </c>
      <c r="BR247" s="1" t="s">
        <v>88</v>
      </c>
      <c r="BS247" s="1" t="s">
        <v>90</v>
      </c>
      <c r="BT247" s="2" t="s">
        <v>86</v>
      </c>
      <c r="BU247" s="1" t="s">
        <v>95</v>
      </c>
      <c r="BV247" s="2" t="s">
        <v>95</v>
      </c>
      <c r="BW247" s="2" t="s">
        <v>25</v>
      </c>
      <c r="BX247" s="1" t="s">
        <v>98</v>
      </c>
      <c r="BY247" s="2" t="s">
        <v>95</v>
      </c>
      <c r="BZ247" s="2" t="s">
        <v>95</v>
      </c>
      <c r="CA247" s="2" t="s">
        <v>94</v>
      </c>
      <c r="CB247" s="1" t="s">
        <v>92</v>
      </c>
      <c r="CY247" s="3" t="s">
        <v>182</v>
      </c>
      <c r="CZ247" s="83">
        <f>(2*CO238)+(2*CO239)+(4*CO242)</f>
        <v>31404.116564962875</v>
      </c>
      <c r="DA247" s="83">
        <f>(4*DI238)+(2*DI237)+(2*DI240)</f>
        <v>31404.116564962875</v>
      </c>
      <c r="DB247" s="3">
        <f t="shared" ref="DB247:DB248" si="146">CZ247-DA247</f>
        <v>0</v>
      </c>
      <c r="EO247" s="3" t="s">
        <v>29</v>
      </c>
      <c r="EP247" s="83">
        <f>2*DI239</f>
        <v>147.83147366020734</v>
      </c>
      <c r="EQ247" s="83" t="e">
        <f>(2*EY239)+(2*EE158)+(2*#REF!)</f>
        <v>#REF!</v>
      </c>
      <c r="ER247" s="3" t="e">
        <f t="shared" si="145"/>
        <v>#REF!</v>
      </c>
    </row>
    <row r="248" spans="9:163" ht="18" thickBot="1" x14ac:dyDescent="0.3">
      <c r="BI248" s="4"/>
      <c r="BN248" s="132"/>
      <c r="BP248" s="95" t="s">
        <v>65</v>
      </c>
      <c r="BQ248" s="95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29</v>
      </c>
      <c r="CZ248" s="83">
        <f>CO240+(2*CO241)</f>
        <v>147.83147366020734</v>
      </c>
      <c r="DA248" s="83">
        <f>(2*DI239)</f>
        <v>147.83147366020734</v>
      </c>
      <c r="DB248" s="3">
        <f t="shared" si="146"/>
        <v>0</v>
      </c>
      <c r="EO248" s="3" t="s">
        <v>360</v>
      </c>
      <c r="EP248" s="83">
        <f>2*DI240</f>
        <v>81.157151037681089</v>
      </c>
      <c r="EQ248" s="83" t="e">
        <f>(2*EY240)+(2*#REF!)+(2*EE159)</f>
        <v>#REF!</v>
      </c>
      <c r="ER248" s="3" t="e">
        <f t="shared" si="145"/>
        <v>#REF!</v>
      </c>
    </row>
    <row r="249" spans="9:163" ht="16" x14ac:dyDescent="0.2">
      <c r="BI249" s="4"/>
      <c r="BP249" s="1" t="s">
        <v>19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9:163" ht="18" x14ac:dyDescent="0.25">
      <c r="BI250" s="4"/>
      <c r="BK250" s="4"/>
      <c r="BL250" s="4"/>
      <c r="BM250" s="4"/>
      <c r="BP250" s="1"/>
      <c r="BQ250" s="3" t="s">
        <v>48</v>
      </c>
      <c r="BR250" s="1" t="s">
        <v>89</v>
      </c>
      <c r="BS250" s="3" t="s">
        <v>91</v>
      </c>
      <c r="BT250" s="3" t="s">
        <v>87</v>
      </c>
      <c r="BU250" s="1" t="s">
        <v>637</v>
      </c>
      <c r="BV250" s="4"/>
      <c r="BW250" s="4"/>
      <c r="CA250" s="3" t="s">
        <v>96</v>
      </c>
      <c r="CB250" s="1" t="s">
        <v>93</v>
      </c>
      <c r="CJ250" s="308"/>
      <c r="CV250" s="65" t="s">
        <v>89</v>
      </c>
      <c r="CW250" s="64" t="s">
        <v>93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  <c r="CJ251" s="308"/>
      <c r="CR251" s="3" t="s">
        <v>508</v>
      </c>
      <c r="CV251" s="50">
        <f>CL258</f>
        <v>3698.8733194995434</v>
      </c>
      <c r="CW251" s="48">
        <f>CW258</f>
        <v>325339.45293214149</v>
      </c>
    </row>
    <row r="252" spans="9:163" ht="22" customHeight="1" x14ac:dyDescent="0.2"/>
    <row r="253" spans="9:163" ht="14" customHeight="1" x14ac:dyDescent="0.25">
      <c r="CK253" s="4"/>
      <c r="CL253" s="1" t="s">
        <v>534</v>
      </c>
      <c r="CM253" s="1" t="s">
        <v>535</v>
      </c>
      <c r="CN253" s="1" t="s">
        <v>537</v>
      </c>
      <c r="CO253" s="1" t="s">
        <v>85</v>
      </c>
      <c r="CP253" s="1" t="s">
        <v>636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49</v>
      </c>
      <c r="CV253" s="1" t="s">
        <v>536</v>
      </c>
      <c r="CW253" s="1" t="s">
        <v>50</v>
      </c>
    </row>
    <row r="254" spans="9:163" ht="20" customHeight="1" x14ac:dyDescent="0.25">
      <c r="CK254" s="4" t="s">
        <v>41</v>
      </c>
      <c r="CL254" s="1" t="s">
        <v>88</v>
      </c>
      <c r="CM254" s="4" t="s">
        <v>282</v>
      </c>
      <c r="CN254" s="2" t="s">
        <v>90</v>
      </c>
      <c r="CO254" s="2" t="s">
        <v>86</v>
      </c>
      <c r="CP254" s="1" t="s">
        <v>95</v>
      </c>
      <c r="CQ254" s="2" t="s">
        <v>95</v>
      </c>
      <c r="CR254" s="2" t="s">
        <v>25</v>
      </c>
      <c r="CS254" s="2" t="s">
        <v>98</v>
      </c>
      <c r="CT254" s="2" t="s">
        <v>95</v>
      </c>
      <c r="CU254" s="2" t="s">
        <v>95</v>
      </c>
      <c r="CV254" s="2" t="s">
        <v>94</v>
      </c>
      <c r="CW254" s="2" t="s">
        <v>92</v>
      </c>
    </row>
    <row r="255" spans="9:163" ht="22" customHeight="1" x14ac:dyDescent="0.25">
      <c r="CJ255" s="357" t="s">
        <v>508</v>
      </c>
      <c r="CK255" s="17" t="s">
        <v>68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-3.770106263699657</v>
      </c>
      <c r="CU255" s="17">
        <f>CT255+CQ255</f>
        <v>5.7412377363003513</v>
      </c>
      <c r="CV255" s="17">
        <f>CR255*CU255</f>
        <v>1.0914900639354279</v>
      </c>
      <c r="CW255" s="17">
        <f>CV255*$CO$258</f>
        <v>146102.40615304082</v>
      </c>
    </row>
    <row r="256" spans="9:163" ht="18" x14ac:dyDescent="0.25">
      <c r="CJ256" s="357"/>
      <c r="CK256" s="245" t="s">
        <v>64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-5.3442220925034132</v>
      </c>
      <c r="CU256" s="3">
        <f>CT256+CQ256</f>
        <v>14.555777907496621</v>
      </c>
      <c r="CV256" s="3">
        <f>CR256*CU256</f>
        <v>1.3836290786593746</v>
      </c>
      <c r="CW256" s="3">
        <f>CV256*$CO$258</f>
        <v>185206.9425960517</v>
      </c>
    </row>
    <row r="257" spans="52:101" ht="18" x14ac:dyDescent="0.25">
      <c r="AZ257" s="16"/>
      <c r="CJ257" s="357"/>
      <c r="CK257" s="7" t="s">
        <v>67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-0.76239173598594567</v>
      </c>
      <c r="CU257" s="3">
        <f>CT257+CQ257</f>
        <v>-6.2391735985945718E-2</v>
      </c>
      <c r="CV257" s="3">
        <f>CR257*CU257</f>
        <v>-4.4599415837862338E-2</v>
      </c>
      <c r="CW257" s="3">
        <f>CV257*$CO$258</f>
        <v>-5969.8958169510315</v>
      </c>
    </row>
    <row r="258" spans="52:101" x14ac:dyDescent="0.2">
      <c r="CK258" s="17" t="s">
        <v>19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2.4305197267569403</v>
      </c>
      <c r="CW258" s="17">
        <f>SUM(CW255:CW257)</f>
        <v>325339.45293214149</v>
      </c>
    </row>
    <row r="259" spans="52:101" ht="18" x14ac:dyDescent="0.25">
      <c r="CL259" s="1" t="s">
        <v>89</v>
      </c>
      <c r="CM259" s="1"/>
      <c r="CN259" s="3" t="s">
        <v>91</v>
      </c>
      <c r="CO259" s="3" t="s">
        <v>87</v>
      </c>
      <c r="CP259" s="1" t="s">
        <v>637</v>
      </c>
      <c r="CQ259" s="4"/>
      <c r="CR259" s="4"/>
      <c r="CV259" s="3" t="s">
        <v>96</v>
      </c>
      <c r="CW259" s="1" t="s">
        <v>93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89</v>
      </c>
      <c r="CW266" s="64" t="s">
        <v>93</v>
      </c>
    </row>
    <row r="267" spans="52:101" ht="16" thickBot="1" x14ac:dyDescent="0.25">
      <c r="CR267" s="3" t="s">
        <v>508</v>
      </c>
      <c r="CV267" s="50">
        <f>CL282</f>
        <v>23.982067525572877</v>
      </c>
      <c r="CW267" s="48">
        <f>CW282</f>
        <v>955653.18009036488</v>
      </c>
    </row>
    <row r="268" spans="52:101" ht="18" customHeight="1" x14ac:dyDescent="0.2"/>
    <row r="269" spans="52:101" ht="18" x14ac:dyDescent="0.25">
      <c r="CK269" s="4"/>
      <c r="CL269" s="1" t="s">
        <v>534</v>
      </c>
      <c r="CM269" s="1" t="s">
        <v>535</v>
      </c>
      <c r="CN269" s="1" t="s">
        <v>537</v>
      </c>
      <c r="CO269" s="1" t="s">
        <v>85</v>
      </c>
      <c r="CP269" s="1" t="s">
        <v>636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49</v>
      </c>
      <c r="CV269" s="1" t="s">
        <v>536</v>
      </c>
      <c r="CW269" s="1" t="s">
        <v>50</v>
      </c>
    </row>
    <row r="270" spans="52:101" ht="18" x14ac:dyDescent="0.25">
      <c r="CK270" s="4" t="s">
        <v>41</v>
      </c>
      <c r="CL270" s="1" t="s">
        <v>88</v>
      </c>
      <c r="CM270" s="4" t="s">
        <v>282</v>
      </c>
      <c r="CN270" s="1" t="s">
        <v>90</v>
      </c>
      <c r="CO270" s="1" t="s">
        <v>86</v>
      </c>
      <c r="CP270" s="1" t="s">
        <v>95</v>
      </c>
      <c r="CQ270" s="1" t="s">
        <v>95</v>
      </c>
      <c r="CR270" s="1" t="s">
        <v>25</v>
      </c>
      <c r="CS270" s="1" t="s">
        <v>98</v>
      </c>
      <c r="CT270" s="1" t="s">
        <v>95</v>
      </c>
      <c r="CU270" s="1" t="s">
        <v>95</v>
      </c>
      <c r="CV270" s="1" t="s">
        <v>94</v>
      </c>
      <c r="CW270" s="1" t="s">
        <v>92</v>
      </c>
    </row>
    <row r="271" spans="52:101" ht="27" customHeight="1" x14ac:dyDescent="0.25">
      <c r="CJ271" s="358" t="s">
        <v>684</v>
      </c>
      <c r="CK271" s="17" t="s">
        <v>654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-8.4770767695667359</v>
      </c>
      <c r="CU271" s="17">
        <f>CT271+CQ271</f>
        <v>6207.0229232304337</v>
      </c>
      <c r="CV271" s="17">
        <f>CR271*CU271</f>
        <v>148.50746118426292</v>
      </c>
      <c r="CW271" s="17">
        <f t="shared" ref="CW271:CW281" si="150">CV271*$CO$282</f>
        <v>232274.56478949948</v>
      </c>
    </row>
    <row r="272" spans="52:101" ht="17" x14ac:dyDescent="0.25">
      <c r="CJ272" s="358"/>
      <c r="CK272" s="3" t="s">
        <v>655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-12.374067279239105</v>
      </c>
      <c r="CU272" s="3">
        <f t="shared" ref="CU272:CU281" si="153">CT272+CQ272</f>
        <v>8475.9059327207597</v>
      </c>
      <c r="CV272" s="3">
        <f t="shared" ref="CV272:CV281" si="154">CR272*CU272</f>
        <v>36.458624592735916</v>
      </c>
      <c r="CW272" s="3">
        <f t="shared" si="150"/>
        <v>57023.472710197137</v>
      </c>
    </row>
    <row r="273" spans="88:101" ht="17" x14ac:dyDescent="0.25">
      <c r="CJ273" s="358"/>
      <c r="CK273" s="3" t="s">
        <v>656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-13.604825277758417</v>
      </c>
      <c r="CU273" s="3">
        <f t="shared" si="153"/>
        <v>9403.3751747222414</v>
      </c>
      <c r="CV273" s="3">
        <f t="shared" si="154"/>
        <v>23.525064251338623</v>
      </c>
      <c r="CW273" s="3">
        <f t="shared" si="150"/>
        <v>36794.609624662618</v>
      </c>
    </row>
    <row r="274" spans="88:101" ht="17" x14ac:dyDescent="0.25">
      <c r="CJ274" s="358"/>
      <c r="CK274" s="3" t="s">
        <v>668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-15.633581783412039</v>
      </c>
      <c r="CU274" s="3">
        <f t="shared" si="153"/>
        <v>16515.126418216591</v>
      </c>
      <c r="CV274" s="3">
        <f t="shared" si="154"/>
        <v>16.910428361978727</v>
      </c>
      <c r="CW274" s="3">
        <f t="shared" si="150"/>
        <v>26448.922881450795</v>
      </c>
    </row>
    <row r="275" spans="88:101" ht="17" x14ac:dyDescent="0.25">
      <c r="CJ275" s="358"/>
      <c r="CK275" s="3" t="s">
        <v>675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-14.126168068318691</v>
      </c>
      <c r="CU275" s="3">
        <f t="shared" si="153"/>
        <v>7600.9938319316825</v>
      </c>
      <c r="CV275" s="3">
        <f t="shared" si="154"/>
        <v>15.115312694862192</v>
      </c>
      <c r="CW275" s="3">
        <f t="shared" si="150"/>
        <v>23641.254451856163</v>
      </c>
    </row>
    <row r="276" spans="88:101" ht="17" x14ac:dyDescent="0.25">
      <c r="CJ276" s="358"/>
      <c r="CK276" s="3" t="s">
        <v>677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-14.296495888565424</v>
      </c>
      <c r="CU276" s="3">
        <f t="shared" si="153"/>
        <v>8037.4035041114357</v>
      </c>
      <c r="CV276" s="3">
        <f t="shared" si="154"/>
        <v>14.828234962916724</v>
      </c>
      <c r="CW276" s="3">
        <f t="shared" si="150"/>
        <v>23192.247683329868</v>
      </c>
    </row>
    <row r="277" spans="88:101" ht="17" customHeight="1" x14ac:dyDescent="0.25">
      <c r="CJ277" s="358"/>
      <c r="CK277" s="4" t="s">
        <v>678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-15.017084529395856</v>
      </c>
      <c r="CU277" s="3">
        <f t="shared" si="153"/>
        <v>-14.788791249395855</v>
      </c>
      <c r="CV277" s="3">
        <f t="shared" si="154"/>
        <v>-1.9865650319215829E-2</v>
      </c>
      <c r="CW277" s="3">
        <f t="shared" si="150"/>
        <v>-31.071067038382619</v>
      </c>
    </row>
    <row r="278" spans="88:101" x14ac:dyDescent="0.2">
      <c r="CJ278" s="358"/>
      <c r="CK278" s="3" t="s">
        <v>18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-0.6355402168202291</v>
      </c>
      <c r="CU278" s="3">
        <f t="shared" si="153"/>
        <v>409.66445978317978</v>
      </c>
      <c r="CV278" s="3">
        <f t="shared" si="154"/>
        <v>309.66288697051391</v>
      </c>
      <c r="CW278" s="3">
        <f t="shared" si="150"/>
        <v>484331.30382110423</v>
      </c>
    </row>
    <row r="279" spans="88:101" ht="17" x14ac:dyDescent="0.25">
      <c r="CJ279" s="358"/>
      <c r="CK279" s="3" t="s">
        <v>66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-3.6739155099130243</v>
      </c>
      <c r="CU279" s="3">
        <f t="shared" si="153"/>
        <v>232.42608449008696</v>
      </c>
      <c r="CV279" s="3">
        <f t="shared" si="154"/>
        <v>46.099307592245651</v>
      </c>
      <c r="CW279" s="3">
        <f t="shared" si="150"/>
        <v>72102.078391875461</v>
      </c>
    </row>
    <row r="280" spans="88:101" ht="18" x14ac:dyDescent="0.25">
      <c r="CJ280" s="358"/>
      <c r="CK280" s="7" t="s">
        <v>67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-13.664571512842798</v>
      </c>
      <c r="CU280" s="3">
        <f t="shared" si="153"/>
        <v>-12.964571512842799</v>
      </c>
      <c r="CV280" s="3">
        <f t="shared" si="154"/>
        <v>-3.1592173120946407E-2</v>
      </c>
      <c r="CW280" s="3">
        <f t="shared" si="150"/>
        <v>-49.412051111139398</v>
      </c>
    </row>
    <row r="281" spans="88:101" ht="18" x14ac:dyDescent="0.25">
      <c r="CJ281" s="358"/>
      <c r="CK281" s="310" t="s">
        <v>24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-11.471724409670619</v>
      </c>
      <c r="CU281" s="3">
        <f t="shared" si="153"/>
        <v>-7.4717244096706192</v>
      </c>
      <c r="CV281" s="3">
        <f t="shared" si="154"/>
        <v>-4.7818594091812924E-2</v>
      </c>
      <c r="CW281" s="3">
        <f t="shared" si="150"/>
        <v>-74.791145461306769</v>
      </c>
    </row>
    <row r="282" spans="88:101" x14ac:dyDescent="0.2">
      <c r="CK282" s="17" t="s">
        <v>19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611.00804419332258</v>
      </c>
      <c r="CW282" s="17">
        <f>SUM(CW271:CW281)</f>
        <v>955653.18009036488</v>
      </c>
    </row>
    <row r="283" spans="88:101" ht="18" x14ac:dyDescent="0.25">
      <c r="CL283" s="1" t="s">
        <v>89</v>
      </c>
      <c r="CM283" s="1"/>
      <c r="CN283" s="3" t="s">
        <v>91</v>
      </c>
      <c r="CO283" s="3" t="s">
        <v>87</v>
      </c>
      <c r="CP283" s="1" t="s">
        <v>637</v>
      </c>
      <c r="CQ283" s="4"/>
      <c r="CR283" s="4"/>
      <c r="CV283" s="3" t="s">
        <v>96</v>
      </c>
      <c r="CW283" s="1" t="s">
        <v>93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AS44:AS45"/>
    <mergeCell ref="AB67:AB70"/>
    <mergeCell ref="CC126:CG127"/>
    <mergeCell ref="AQ126:AU127"/>
    <mergeCell ref="P111:Q112"/>
    <mergeCell ref="Z44:Z45"/>
    <mergeCell ref="AT128:AT129"/>
    <mergeCell ref="Z128:Z129"/>
    <mergeCell ref="BL44:BL45"/>
    <mergeCell ref="AB46:AB47"/>
    <mergeCell ref="AB48:AB51"/>
    <mergeCell ref="P25:P26"/>
    <mergeCell ref="W42:AA43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CF128:CF129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BI104" r:id="rId8" xr:uid="{C0E610DB-FD23-49C0-9161-DEEFFEB47B1F}"/>
    <hyperlink ref="AJ123" r:id="rId9" xr:uid="{8F21522B-D8EB-49FD-88DB-792AD0FBF37F}"/>
    <hyperlink ref="ET110" r:id="rId10" xr:uid="{E520A503-6F94-42E6-B461-D6CD1E365E64}"/>
    <hyperlink ref="BM156" r:id="rId11" xr:uid="{56AA5492-5E7B-6740-9CD6-917BF070EA2B}"/>
    <hyperlink ref="AO22" r:id="rId12" xr:uid="{9679CAA2-2512-3646-B9B7-B3BAD1D49758}"/>
    <hyperlink ref="DB225" r:id="rId13" xr:uid="{7858FC41-8418-EC45-9A69-6746A901800B}"/>
  </hyperlinks>
  <pageMargins left="0.7" right="0.7" top="0.75" bottom="0.75" header="0.3" footer="0.3"/>
  <pageSetup scale="10" orientation="landscape" r:id="rId14"/>
  <drawing r:id="rId1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1"/>
      <c r="E5" s="212" t="s">
        <v>264</v>
      </c>
      <c r="F5" s="215" t="s">
        <v>235</v>
      </c>
      <c r="G5" s="218" t="s">
        <v>313</v>
      </c>
      <c r="H5" s="215" t="s">
        <v>235</v>
      </c>
      <c r="I5" s="218" t="s">
        <v>313</v>
      </c>
    </row>
    <row r="6" spans="4:9" ht="20" thickBot="1" x14ac:dyDescent="0.3">
      <c r="D6" s="211"/>
      <c r="E6" s="269" t="s">
        <v>98</v>
      </c>
      <c r="F6" s="270" t="s">
        <v>48</v>
      </c>
      <c r="G6" s="271" t="s">
        <v>48</v>
      </c>
      <c r="H6" s="270" t="s">
        <v>422</v>
      </c>
      <c r="I6" s="271" t="s">
        <v>422</v>
      </c>
    </row>
    <row r="7" spans="4:9" ht="19" x14ac:dyDescent="0.25">
      <c r="D7" s="395" t="s">
        <v>421</v>
      </c>
      <c r="E7" s="214" t="s">
        <v>548</v>
      </c>
      <c r="F7" s="217">
        <f>Ore_to_PI!F72</f>
        <v>88160.656904773379</v>
      </c>
      <c r="G7" s="272">
        <f>1.06*F7</f>
        <v>93450.29631905978</v>
      </c>
      <c r="H7" s="273">
        <f>F7/1000000000</f>
        <v>8.8160656904773385E-5</v>
      </c>
      <c r="I7" s="274">
        <f>G7/1000000000</f>
        <v>9.3450296319059779E-5</v>
      </c>
    </row>
    <row r="8" spans="4:9" ht="20" thickBot="1" x14ac:dyDescent="0.3">
      <c r="D8" s="396"/>
      <c r="E8" s="214" t="s">
        <v>423</v>
      </c>
      <c r="F8" s="217">
        <f>Ore_to_PI!$AS$28+Ore_to_PI!$BL$35</f>
        <v>622271.50143934821</v>
      </c>
      <c r="G8" s="272">
        <f>F8</f>
        <v>622271.50143934821</v>
      </c>
      <c r="H8" s="273">
        <f t="shared" ref="H8:H18" si="0">F8/1000000000</f>
        <v>6.2227150143934825E-4</v>
      </c>
      <c r="I8" s="274">
        <f t="shared" ref="I8:I18" si="1">G8/1000000000</f>
        <v>6.2227150143934825E-4</v>
      </c>
    </row>
    <row r="9" spans="4:9" ht="19" x14ac:dyDescent="0.25">
      <c r="D9" s="397" t="s">
        <v>20</v>
      </c>
      <c r="E9" s="214" t="s">
        <v>548</v>
      </c>
      <c r="F9" s="217">
        <f>Ore_to_PI!K144</f>
        <v>241.59146310558401</v>
      </c>
      <c r="G9" s="272">
        <f>F9*1.06</f>
        <v>256.08695089191906</v>
      </c>
      <c r="H9" s="273">
        <f t="shared" si="0"/>
        <v>2.4159146310558403E-7</v>
      </c>
      <c r="I9" s="274">
        <f t="shared" si="1"/>
        <v>2.5608695089191904E-7</v>
      </c>
    </row>
    <row r="10" spans="4:9" ht="19" x14ac:dyDescent="0.25">
      <c r="D10" s="398"/>
      <c r="E10" s="214" t="s">
        <v>549</v>
      </c>
      <c r="F10" s="217">
        <f>Ore_to_PI!K155</f>
        <v>22.443944839719084</v>
      </c>
      <c r="G10" s="272">
        <f>F10*1.04</f>
        <v>23.341702633307847</v>
      </c>
      <c r="H10" s="273">
        <f t="shared" si="0"/>
        <v>2.2443944839719083E-8</v>
      </c>
      <c r="I10" s="274">
        <f t="shared" si="1"/>
        <v>2.3341702633307846E-8</v>
      </c>
    </row>
    <row r="11" spans="4:9" ht="19" x14ac:dyDescent="0.25">
      <c r="D11" s="398"/>
      <c r="E11" s="214" t="s">
        <v>265</v>
      </c>
      <c r="F11" s="217">
        <f>Ore_to_PI!AS113+Ore_to_PI!BK116</f>
        <v>2859.5637429090343</v>
      </c>
      <c r="G11" s="272">
        <f>F11</f>
        <v>2859.5637429090343</v>
      </c>
      <c r="H11" s="273">
        <f t="shared" si="0"/>
        <v>2.8595637429090342E-6</v>
      </c>
      <c r="I11" s="274">
        <f t="shared" si="1"/>
        <v>2.8595637429090342E-6</v>
      </c>
    </row>
    <row r="12" spans="4:9" ht="20" thickBot="1" x14ac:dyDescent="0.3">
      <c r="D12" s="399"/>
      <c r="E12" s="214" t="s">
        <v>424</v>
      </c>
      <c r="F12" s="217">
        <f>Ore_to_PI!BQ156</f>
        <v>1039915823.7694199</v>
      </c>
      <c r="G12" s="272">
        <f>F12*1.04</f>
        <v>1081512456.7201967</v>
      </c>
      <c r="H12" s="273">
        <f t="shared" si="0"/>
        <v>1.0399158237694199</v>
      </c>
      <c r="I12" s="274">
        <f t="shared" si="1"/>
        <v>1.0815124567201968</v>
      </c>
    </row>
    <row r="13" spans="4:9" ht="19" x14ac:dyDescent="0.25">
      <c r="D13" s="400" t="s">
        <v>350</v>
      </c>
      <c r="E13" s="214" t="s">
        <v>548</v>
      </c>
      <c r="F13" s="217">
        <f>Ore_to_PI!K226</f>
        <v>21827.121921766418</v>
      </c>
      <c r="G13" s="272">
        <f>F13*1.06</f>
        <v>23136.749237072403</v>
      </c>
      <c r="H13" s="273">
        <f t="shared" si="0"/>
        <v>2.1827121921766417E-5</v>
      </c>
      <c r="I13" s="274">
        <f t="shared" si="1"/>
        <v>2.3136749237072402E-5</v>
      </c>
    </row>
    <row r="14" spans="4:9" ht="19" x14ac:dyDescent="0.25">
      <c r="D14" s="401"/>
      <c r="E14" s="214" t="s">
        <v>424</v>
      </c>
      <c r="F14" s="217">
        <f>Ore_to_PI!BQ248</f>
        <v>10206361.17590105</v>
      </c>
      <c r="G14" s="272">
        <f>F14*1.04</f>
        <v>10614615.622937093</v>
      </c>
      <c r="H14" s="273">
        <f t="shared" si="0"/>
        <v>1.020636117590105E-2</v>
      </c>
      <c r="I14" s="274">
        <f t="shared" si="1"/>
        <v>1.0614615622937093E-2</v>
      </c>
    </row>
    <row r="15" spans="4:9" ht="20" thickBot="1" x14ac:dyDescent="0.3">
      <c r="D15" s="402"/>
      <c r="E15" s="214" t="s">
        <v>423</v>
      </c>
      <c r="F15" s="217">
        <f>Ore_to_PI!AA195+Ore_to_PI!AS190+Ore_to_PI!BK195+Ore_to_PI!DB229</f>
        <v>114140.71648877421</v>
      </c>
      <c r="G15" s="272">
        <f>F15</f>
        <v>114140.71648877421</v>
      </c>
      <c r="H15" s="273">
        <f t="shared" si="0"/>
        <v>1.1414071648877421E-4</v>
      </c>
      <c r="I15" s="274">
        <f t="shared" si="1"/>
        <v>1.1414071648877421E-4</v>
      </c>
    </row>
    <row r="16" spans="4:9" ht="19" x14ac:dyDescent="0.25">
      <c r="D16" s="403" t="s">
        <v>349</v>
      </c>
      <c r="E16" s="214" t="s">
        <v>423</v>
      </c>
      <c r="F16" s="217">
        <f>Ore_to_PI!ES117</f>
        <v>318930.1042317453</v>
      </c>
      <c r="G16" s="272">
        <f>F16</f>
        <v>318930.1042317453</v>
      </c>
      <c r="H16" s="273">
        <f t="shared" si="0"/>
        <v>3.1893010423174529E-4</v>
      </c>
      <c r="I16" s="274">
        <f t="shared" si="1"/>
        <v>3.1893010423174529E-4</v>
      </c>
    </row>
    <row r="17" spans="4:9" ht="19" x14ac:dyDescent="0.25">
      <c r="D17" s="403"/>
      <c r="E17" s="214" t="s">
        <v>424</v>
      </c>
      <c r="F17" s="217">
        <f>Ore_to_PI!EB118</f>
        <v>2246377.2558931625</v>
      </c>
      <c r="G17" s="272">
        <f>F17*1.04</f>
        <v>2336232.3461288889</v>
      </c>
      <c r="H17" s="273">
        <f t="shared" si="0"/>
        <v>2.2463772558931625E-3</v>
      </c>
      <c r="I17" s="274">
        <f t="shared" si="1"/>
        <v>2.3362323461288887E-3</v>
      </c>
    </row>
    <row r="18" spans="4:9" ht="20" thickBot="1" x14ac:dyDescent="0.3">
      <c r="D18" s="404"/>
      <c r="E18" s="213" t="s">
        <v>533</v>
      </c>
      <c r="F18" s="216">
        <f>Ore_to_PI!EB105</f>
        <v>194131.36779323628</v>
      </c>
      <c r="G18" s="275">
        <f>1.06*F18</f>
        <v>205779.24986083046</v>
      </c>
      <c r="H18" s="273">
        <f t="shared" si="0"/>
        <v>1.9413136779323627E-4</v>
      </c>
      <c r="I18" s="274">
        <f t="shared" si="1"/>
        <v>2.0577924986083047E-4</v>
      </c>
    </row>
    <row r="19" spans="4:9" x14ac:dyDescent="0.2">
      <c r="F19">
        <f>SUM(F7:F18)</f>
        <v>1053731147.2691444</v>
      </c>
    </row>
    <row r="23" spans="4:9" x14ac:dyDescent="0.2">
      <c r="E23" s="201" t="s">
        <v>551</v>
      </c>
      <c r="F23" s="3" t="s">
        <v>550</v>
      </c>
      <c r="G23" s="3" t="s">
        <v>615</v>
      </c>
    </row>
    <row r="24" spans="4:9" x14ac:dyDescent="0.2">
      <c r="E24" s="201" t="s">
        <v>548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201" t="s">
        <v>423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201" t="s">
        <v>424</v>
      </c>
      <c r="F26">
        <f>Ore_to_PI!CB152+Ore_to_PI!CB244+Ore_to_PI!EM114</f>
        <v>1091283756.7089078</v>
      </c>
      <c r="G26">
        <f t="shared" si="2"/>
        <v>1.0912837567089078</v>
      </c>
    </row>
    <row r="27" spans="4:9" x14ac:dyDescent="0.2">
      <c r="E27" s="201" t="s">
        <v>549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201" t="s">
        <v>533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A175" zoomScale="125" zoomScaleNormal="20" workbookViewId="0">
      <selection activeCell="BS118" sqref="BS118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204" t="s">
        <v>560</v>
      </c>
      <c r="AT1" s="256"/>
      <c r="AU1" s="204" t="s">
        <v>405</v>
      </c>
      <c r="AV1" s="204" t="s">
        <v>406</v>
      </c>
      <c r="AW1" s="204" t="s">
        <v>407</v>
      </c>
      <c r="AX1" s="204" t="s">
        <v>541</v>
      </c>
      <c r="AY1" s="204" t="s">
        <v>520</v>
      </c>
      <c r="AZ1" s="204" t="s">
        <v>519</v>
      </c>
      <c r="BA1" s="204" t="s">
        <v>432</v>
      </c>
      <c r="BB1" s="204" t="s">
        <v>429</v>
      </c>
      <c r="BC1" s="204" t="s">
        <v>444</v>
      </c>
      <c r="BD1" s="204" t="s">
        <v>430</v>
      </c>
      <c r="BE1" s="204" t="s">
        <v>425</v>
      </c>
      <c r="BF1" s="204" t="s">
        <v>642</v>
      </c>
      <c r="BG1" s="204" t="s">
        <v>645</v>
      </c>
      <c r="BH1" s="204" t="s">
        <v>81</v>
      </c>
      <c r="BI1" s="204" t="s">
        <v>417</v>
      </c>
      <c r="BN1" s="256"/>
      <c r="BO1" s="204" t="s">
        <v>405</v>
      </c>
      <c r="BP1" s="204" t="s">
        <v>406</v>
      </c>
      <c r="BQ1" s="204" t="s">
        <v>407</v>
      </c>
      <c r="BR1" s="204" t="s">
        <v>541</v>
      </c>
      <c r="BS1" s="204" t="s">
        <v>520</v>
      </c>
      <c r="BT1" s="204" t="s">
        <v>519</v>
      </c>
      <c r="BU1" s="204" t="s">
        <v>432</v>
      </c>
      <c r="BV1" s="204" t="s">
        <v>429</v>
      </c>
      <c r="BW1" s="204" t="s">
        <v>444</v>
      </c>
      <c r="BX1" s="204" t="s">
        <v>430</v>
      </c>
      <c r="BY1" s="204" t="s">
        <v>425</v>
      </c>
      <c r="BZ1" s="204" t="s">
        <v>642</v>
      </c>
      <c r="CA1" s="204" t="s">
        <v>645</v>
      </c>
      <c r="CB1" s="204" t="s">
        <v>81</v>
      </c>
      <c r="CC1" s="204" t="s">
        <v>417</v>
      </c>
    </row>
    <row r="2" spans="2:81" x14ac:dyDescent="0.2">
      <c r="B2" s="201" t="s">
        <v>413</v>
      </c>
      <c r="C2" s="280">
        <v>1</v>
      </c>
      <c r="AT2" s="201" t="s">
        <v>413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G2" s="280">
        <v>0</v>
      </c>
      <c r="BH2" s="280">
        <v>0</v>
      </c>
      <c r="BI2" s="280">
        <v>0</v>
      </c>
      <c r="BN2" s="201" t="s">
        <v>413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  <c r="CA2" s="280">
        <v>0</v>
      </c>
      <c r="CB2" s="280">
        <v>0</v>
      </c>
      <c r="CC2" s="280">
        <v>0</v>
      </c>
    </row>
    <row r="3" spans="2:81" x14ac:dyDescent="0.2">
      <c r="B3" s="201" t="s">
        <v>415</v>
      </c>
      <c r="C3" s="280">
        <v>1</v>
      </c>
      <c r="AT3" s="201" t="s">
        <v>415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G3" s="280">
        <v>0</v>
      </c>
      <c r="BH3" s="280">
        <v>0</v>
      </c>
      <c r="BI3" s="280">
        <v>0</v>
      </c>
      <c r="BN3" s="201" t="s">
        <v>415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  <c r="CA3" s="280">
        <v>0</v>
      </c>
      <c r="CB3" s="280">
        <v>0</v>
      </c>
      <c r="CC3" s="280">
        <v>0</v>
      </c>
    </row>
    <row r="4" spans="2:81" x14ac:dyDescent="0.2">
      <c r="B4" s="201" t="s">
        <v>416</v>
      </c>
      <c r="C4" s="280">
        <v>1</v>
      </c>
      <c r="AT4" s="201" t="s">
        <v>416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G4" s="280">
        <v>0</v>
      </c>
      <c r="BH4" s="280">
        <v>0</v>
      </c>
      <c r="BI4" s="280">
        <v>0</v>
      </c>
      <c r="BN4" s="201" t="s">
        <v>416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  <c r="CA4" s="280">
        <v>0</v>
      </c>
      <c r="CB4" s="280">
        <v>0</v>
      </c>
      <c r="CC4" s="280">
        <v>0</v>
      </c>
    </row>
    <row r="5" spans="2:81" x14ac:dyDescent="0.2">
      <c r="B5" s="201" t="s">
        <v>436</v>
      </c>
      <c r="C5" s="280">
        <v>1</v>
      </c>
      <c r="AT5" s="201" t="s">
        <v>436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G5" s="280">
        <v>0</v>
      </c>
      <c r="BH5" s="280">
        <v>0</v>
      </c>
      <c r="BI5" s="280">
        <v>0</v>
      </c>
      <c r="BN5" s="201" t="s">
        <v>436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  <c r="CA5" s="280">
        <v>0</v>
      </c>
      <c r="CB5" s="280">
        <v>0</v>
      </c>
      <c r="CC5" s="280">
        <v>0</v>
      </c>
    </row>
    <row r="6" spans="2:81" x14ac:dyDescent="0.2">
      <c r="B6" s="201" t="s">
        <v>459</v>
      </c>
      <c r="C6" s="280">
        <v>1</v>
      </c>
      <c r="AM6" s="201"/>
      <c r="AT6" s="201" t="s">
        <v>459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G6" s="280">
        <v>0</v>
      </c>
      <c r="BH6" s="280">
        <v>0</v>
      </c>
      <c r="BI6" s="280">
        <v>0</v>
      </c>
      <c r="BN6" s="201" t="s">
        <v>459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  <c r="CA6" s="280">
        <v>0</v>
      </c>
      <c r="CB6" s="280">
        <v>0</v>
      </c>
      <c r="CC6" s="280">
        <v>0</v>
      </c>
    </row>
    <row r="7" spans="2:81" x14ac:dyDescent="0.2">
      <c r="B7" s="201" t="s">
        <v>552</v>
      </c>
      <c r="C7" s="280">
        <v>1</v>
      </c>
      <c r="AM7" s="201"/>
      <c r="AT7" s="201" t="s">
        <v>552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G7" s="280">
        <v>0</v>
      </c>
      <c r="BH7" s="280">
        <v>0</v>
      </c>
      <c r="BI7" s="280">
        <v>0</v>
      </c>
      <c r="BN7" s="201" t="s">
        <v>552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  <c r="CA7" s="280">
        <v>0</v>
      </c>
      <c r="CB7" s="280">
        <v>0</v>
      </c>
      <c r="CC7" s="280">
        <v>0</v>
      </c>
    </row>
    <row r="8" spans="2:81" x14ac:dyDescent="0.2">
      <c r="B8" s="201" t="s">
        <v>553</v>
      </c>
      <c r="C8" s="280">
        <v>1</v>
      </c>
      <c r="AM8" s="201"/>
      <c r="AT8" s="201" t="s">
        <v>553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G8" s="280">
        <v>0</v>
      </c>
      <c r="BH8" s="280">
        <v>0</v>
      </c>
      <c r="BI8" s="280">
        <v>0</v>
      </c>
      <c r="BN8" s="201" t="s">
        <v>553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  <c r="CA8" s="280">
        <v>0</v>
      </c>
      <c r="CB8" s="280">
        <v>0</v>
      </c>
      <c r="CC8" s="280">
        <v>0</v>
      </c>
    </row>
    <row r="9" spans="2:81" x14ac:dyDescent="0.2">
      <c r="B9" s="201" t="s">
        <v>496</v>
      </c>
      <c r="C9" s="280">
        <v>1</v>
      </c>
      <c r="AM9" s="201"/>
      <c r="AT9" s="201" t="s">
        <v>496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G9" s="280">
        <v>0</v>
      </c>
      <c r="BH9" s="280">
        <v>0</v>
      </c>
      <c r="BI9" s="280">
        <v>0</v>
      </c>
      <c r="BN9" s="201" t="s">
        <v>496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  <c r="CA9" s="280">
        <v>0</v>
      </c>
      <c r="CB9" s="280">
        <v>0</v>
      </c>
      <c r="CC9" s="280">
        <v>0</v>
      </c>
    </row>
    <row r="10" spans="2:81" x14ac:dyDescent="0.2">
      <c r="B10" s="201" t="s">
        <v>545</v>
      </c>
      <c r="C10" s="280">
        <v>1</v>
      </c>
      <c r="AM10" s="201"/>
      <c r="AT10" s="201" t="s">
        <v>545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G10" s="280">
        <v>0</v>
      </c>
      <c r="BH10" s="280">
        <v>0</v>
      </c>
      <c r="BI10" s="280">
        <v>0</v>
      </c>
      <c r="BN10" s="201" t="s">
        <v>545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  <c r="CA10" s="280">
        <v>0</v>
      </c>
      <c r="CB10" s="280">
        <v>0</v>
      </c>
      <c r="CC10" s="280">
        <v>0</v>
      </c>
    </row>
    <row r="11" spans="2:81" ht="16" x14ac:dyDescent="0.2">
      <c r="B11" s="202" t="s">
        <v>527</v>
      </c>
      <c r="C11" s="280">
        <v>1</v>
      </c>
      <c r="AT11" s="202" t="s">
        <v>527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G11" s="280">
        <v>0</v>
      </c>
      <c r="BH11" s="280">
        <v>0</v>
      </c>
      <c r="BI11" s="280">
        <v>0</v>
      </c>
      <c r="BN11" s="202" t="s">
        <v>527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  <c r="CA11" s="280">
        <v>0</v>
      </c>
      <c r="CB11" s="280">
        <v>0</v>
      </c>
      <c r="CC11" s="280">
        <v>0</v>
      </c>
    </row>
    <row r="12" spans="2:81" x14ac:dyDescent="0.2">
      <c r="B12" s="201" t="s">
        <v>494</v>
      </c>
      <c r="C12" s="280">
        <v>1</v>
      </c>
      <c r="AT12" s="201" t="s">
        <v>494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G12" s="280">
        <v>0</v>
      </c>
      <c r="BH12" s="280">
        <v>0</v>
      </c>
      <c r="BI12" s="280">
        <v>0</v>
      </c>
      <c r="BN12" s="201" t="s">
        <v>494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  <c r="CA12" s="280">
        <v>0</v>
      </c>
      <c r="CB12" s="280">
        <v>0</v>
      </c>
      <c r="CC12" s="280">
        <v>0</v>
      </c>
    </row>
    <row r="13" spans="2:81" ht="16" x14ac:dyDescent="0.2">
      <c r="B13" s="202" t="s">
        <v>497</v>
      </c>
      <c r="C13" s="280">
        <v>1</v>
      </c>
      <c r="AT13" s="202" t="s">
        <v>497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G13" s="280">
        <v>0</v>
      </c>
      <c r="BH13" s="280">
        <v>0</v>
      </c>
      <c r="BI13" s="280">
        <v>0</v>
      </c>
      <c r="BN13" s="202" t="s">
        <v>497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  <c r="CA13" s="280">
        <v>0</v>
      </c>
      <c r="CB13" s="280">
        <v>0</v>
      </c>
      <c r="CC13" s="280">
        <v>0</v>
      </c>
    </row>
    <row r="14" spans="2:81" x14ac:dyDescent="0.2">
      <c r="B14" s="201" t="s">
        <v>522</v>
      </c>
      <c r="C14" s="280">
        <v>1</v>
      </c>
      <c r="AT14" s="201" t="s">
        <v>522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G14" s="280">
        <v>0</v>
      </c>
      <c r="BH14" s="280">
        <v>0</v>
      </c>
      <c r="BI14" s="280">
        <v>0</v>
      </c>
      <c r="BN14" s="201" t="s">
        <v>522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  <c r="CA14" s="280">
        <v>0</v>
      </c>
      <c r="CB14" s="280">
        <v>0</v>
      </c>
      <c r="CC14" s="280">
        <v>0</v>
      </c>
    </row>
    <row r="15" spans="2:81" x14ac:dyDescent="0.2">
      <c r="B15" s="203" t="s">
        <v>515</v>
      </c>
      <c r="C15" s="280">
        <v>1</v>
      </c>
      <c r="AT15" s="203" t="s">
        <v>515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G15" s="280">
        <v>0</v>
      </c>
      <c r="BH15" s="280">
        <v>0</v>
      </c>
      <c r="BI15" s="280">
        <v>0</v>
      </c>
      <c r="BN15" s="203" t="s">
        <v>515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  <c r="CA15" s="280">
        <v>0</v>
      </c>
      <c r="CB15" s="280">
        <v>0</v>
      </c>
      <c r="CC15" s="280">
        <v>0</v>
      </c>
    </row>
    <row r="16" spans="2:81" x14ac:dyDescent="0.2">
      <c r="B16" s="201" t="s">
        <v>501</v>
      </c>
      <c r="C16" s="280">
        <v>1</v>
      </c>
      <c r="AT16" s="201" t="s">
        <v>501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G16" s="280">
        <v>0</v>
      </c>
      <c r="BH16" s="280">
        <v>0</v>
      </c>
      <c r="BI16" s="280">
        <v>0</v>
      </c>
      <c r="BN16" s="201" t="s">
        <v>501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  <c r="CA16" s="280">
        <v>0</v>
      </c>
      <c r="CB16" s="280">
        <v>0</v>
      </c>
      <c r="CC16" s="280">
        <v>0</v>
      </c>
    </row>
    <row r="17" spans="2:81" ht="16" x14ac:dyDescent="0.2">
      <c r="B17" s="202" t="s">
        <v>526</v>
      </c>
      <c r="C17" s="280">
        <v>1</v>
      </c>
      <c r="AT17" s="202" t="s">
        <v>526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G17" s="280">
        <v>0</v>
      </c>
      <c r="BH17" s="280">
        <v>0</v>
      </c>
      <c r="BI17" s="280">
        <v>0</v>
      </c>
      <c r="BN17" s="202" t="s">
        <v>526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  <c r="CA17" s="280">
        <v>0</v>
      </c>
      <c r="CB17" s="280">
        <v>0</v>
      </c>
      <c r="CC17" s="280">
        <v>0</v>
      </c>
    </row>
    <row r="18" spans="2:81" ht="16" x14ac:dyDescent="0.2">
      <c r="B18" s="202" t="s">
        <v>521</v>
      </c>
      <c r="C18" s="280">
        <v>1</v>
      </c>
      <c r="AT18" s="202" t="s">
        <v>521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G18" s="280">
        <v>0</v>
      </c>
      <c r="BH18" s="280">
        <v>0</v>
      </c>
      <c r="BI18" s="280">
        <v>0</v>
      </c>
      <c r="BN18" s="202" t="s">
        <v>521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  <c r="CA18" s="280">
        <v>0</v>
      </c>
      <c r="CB18" s="280">
        <v>0</v>
      </c>
      <c r="CC18" s="280">
        <v>0</v>
      </c>
    </row>
    <row r="19" spans="2:81" ht="16" x14ac:dyDescent="0.2">
      <c r="B19" s="202" t="s">
        <v>518</v>
      </c>
      <c r="C19" s="280">
        <v>1</v>
      </c>
      <c r="AT19" s="202" t="s">
        <v>518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G19" s="280">
        <v>0</v>
      </c>
      <c r="BH19" s="280">
        <v>0</v>
      </c>
      <c r="BI19" s="280">
        <v>0</v>
      </c>
      <c r="BN19" s="202" t="s">
        <v>518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  <c r="CA19" s="280">
        <v>0</v>
      </c>
      <c r="CB19" s="280">
        <v>0</v>
      </c>
      <c r="CC19" s="280">
        <v>0</v>
      </c>
    </row>
    <row r="20" spans="2:81" ht="16" x14ac:dyDescent="0.2">
      <c r="B20" s="202" t="s">
        <v>524</v>
      </c>
      <c r="C20" s="280">
        <v>1</v>
      </c>
      <c r="AT20" s="202" t="s">
        <v>524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G20" s="280">
        <v>0</v>
      </c>
      <c r="BH20" s="280">
        <v>0</v>
      </c>
      <c r="BI20" s="280">
        <v>0</v>
      </c>
      <c r="BN20" s="202" t="s">
        <v>524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  <c r="CA20" s="280">
        <v>0</v>
      </c>
      <c r="CB20" s="280">
        <v>0</v>
      </c>
      <c r="CC20" s="280">
        <v>0</v>
      </c>
    </row>
    <row r="21" spans="2:81" x14ac:dyDescent="0.2">
      <c r="B21" s="203" t="s">
        <v>523</v>
      </c>
      <c r="C21" s="280">
        <v>1</v>
      </c>
      <c r="AT21" s="203" t="s">
        <v>523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G21" s="280">
        <v>0</v>
      </c>
      <c r="BH21" s="280">
        <v>0</v>
      </c>
      <c r="BI21" s="280">
        <v>0</v>
      </c>
      <c r="BN21" s="203" t="s">
        <v>523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  <c r="CA21" s="280">
        <v>0</v>
      </c>
      <c r="CB21" s="280">
        <v>0</v>
      </c>
      <c r="CC21" s="280">
        <v>0</v>
      </c>
    </row>
    <row r="22" spans="2:81" x14ac:dyDescent="0.2">
      <c r="B22" s="203" t="s">
        <v>509</v>
      </c>
      <c r="C22" s="280">
        <v>1</v>
      </c>
      <c r="AT22" s="203" t="s">
        <v>509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G22" s="280">
        <v>0</v>
      </c>
      <c r="BH22" s="280">
        <v>0</v>
      </c>
      <c r="BI22" s="280">
        <v>0</v>
      </c>
      <c r="BN22" s="203" t="s">
        <v>509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  <c r="CA22" s="280">
        <v>0</v>
      </c>
      <c r="CB22" s="280">
        <v>0</v>
      </c>
      <c r="CC22" s="280">
        <v>0</v>
      </c>
    </row>
    <row r="23" spans="2:81" x14ac:dyDescent="0.2">
      <c r="B23" s="203" t="s">
        <v>542</v>
      </c>
      <c r="C23" s="280">
        <v>1</v>
      </c>
      <c r="AT23" s="203" t="s">
        <v>542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G23" s="280">
        <v>0</v>
      </c>
      <c r="BH23" s="280">
        <v>0</v>
      </c>
      <c r="BI23" s="280">
        <v>0</v>
      </c>
      <c r="BN23" s="203" t="s">
        <v>542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  <c r="CA23" s="280">
        <v>0</v>
      </c>
      <c r="CB23" s="280">
        <v>0</v>
      </c>
      <c r="CC23" s="280">
        <v>0</v>
      </c>
    </row>
    <row r="24" spans="2:81" x14ac:dyDescent="0.2">
      <c r="B24" s="203" t="s">
        <v>510</v>
      </c>
      <c r="C24" s="280">
        <v>1</v>
      </c>
      <c r="AT24" s="203" t="s">
        <v>510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G24" s="280">
        <v>0</v>
      </c>
      <c r="BH24" s="280">
        <v>0</v>
      </c>
      <c r="BI24" s="280">
        <v>0</v>
      </c>
      <c r="BN24" s="203" t="s">
        <v>510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  <c r="CA24" s="280">
        <v>0</v>
      </c>
      <c r="CB24" s="280">
        <v>0</v>
      </c>
      <c r="CC24" s="280">
        <v>0</v>
      </c>
    </row>
    <row r="25" spans="2:81" x14ac:dyDescent="0.2">
      <c r="B25" s="203" t="s">
        <v>512</v>
      </c>
      <c r="C25" s="280">
        <v>1</v>
      </c>
      <c r="AT25" s="203" t="s">
        <v>512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G25" s="280">
        <v>0</v>
      </c>
      <c r="BH25" s="280">
        <v>0</v>
      </c>
      <c r="BI25" s="280">
        <v>0</v>
      </c>
      <c r="BN25" s="203" t="s">
        <v>512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  <c r="CA25" s="280">
        <v>0</v>
      </c>
      <c r="CB25" s="280">
        <v>0</v>
      </c>
      <c r="CC25" s="280">
        <v>0</v>
      </c>
    </row>
    <row r="26" spans="2:81" x14ac:dyDescent="0.2">
      <c r="B26" s="203" t="s">
        <v>511</v>
      </c>
      <c r="C26" s="280">
        <v>1</v>
      </c>
      <c r="AT26" s="203" t="s">
        <v>511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G26" s="280">
        <v>0</v>
      </c>
      <c r="BH26" s="280">
        <v>0</v>
      </c>
      <c r="BI26" s="280">
        <v>0</v>
      </c>
      <c r="BN26" s="203" t="s">
        <v>511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  <c r="CA26" s="280">
        <v>0</v>
      </c>
      <c r="CB26" s="280">
        <v>0</v>
      </c>
      <c r="CC26" s="280">
        <v>0</v>
      </c>
    </row>
    <row r="27" spans="2:81" x14ac:dyDescent="0.2">
      <c r="B27" s="203" t="s">
        <v>607</v>
      </c>
      <c r="C27" s="280">
        <v>1</v>
      </c>
      <c r="AT27" s="203" t="s">
        <v>607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G27" s="280">
        <v>0</v>
      </c>
      <c r="BH27" s="280">
        <v>0</v>
      </c>
      <c r="BI27" s="280">
        <v>0</v>
      </c>
      <c r="BN27" s="203" t="s">
        <v>607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  <c r="CA27" s="280">
        <v>0</v>
      </c>
      <c r="CB27" s="280">
        <v>0</v>
      </c>
      <c r="CC27" s="280">
        <v>0</v>
      </c>
    </row>
    <row r="28" spans="2:81" ht="16" x14ac:dyDescent="0.2">
      <c r="B28" s="249" t="s">
        <v>507</v>
      </c>
      <c r="C28" s="280">
        <v>1</v>
      </c>
      <c r="AT28" s="249" t="s">
        <v>507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G28" s="280">
        <v>0</v>
      </c>
      <c r="BH28" s="280">
        <v>0</v>
      </c>
      <c r="BI28" s="280">
        <v>0</v>
      </c>
      <c r="BN28" s="249" t="s">
        <v>507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  <c r="CA28" s="280">
        <v>0</v>
      </c>
      <c r="CB28" s="280">
        <v>0</v>
      </c>
      <c r="CC28" s="280">
        <v>0</v>
      </c>
    </row>
    <row r="29" spans="2:81" ht="16" x14ac:dyDescent="0.2">
      <c r="B29" s="249"/>
      <c r="C29" s="280"/>
      <c r="AT29" s="249" t="s">
        <v>684</v>
      </c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G29" s="280"/>
      <c r="BH29" s="280"/>
      <c r="BI29" s="280"/>
      <c r="BN29" s="249" t="s">
        <v>684</v>
      </c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  <c r="BZ29" s="280"/>
      <c r="CA29" s="280"/>
      <c r="CB29" s="280"/>
      <c r="CC29" s="280"/>
    </row>
    <row r="30" spans="2:81" x14ac:dyDescent="0.2">
      <c r="B30" s="203" t="s">
        <v>506</v>
      </c>
      <c r="C30" s="280">
        <v>1</v>
      </c>
      <c r="AT30" s="203" t="s">
        <v>506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G30" s="280">
        <v>0</v>
      </c>
      <c r="BH30" s="280">
        <v>0</v>
      </c>
      <c r="BI30" s="280">
        <v>0</v>
      </c>
      <c r="BN30" s="203" t="s">
        <v>506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  <c r="CA30" s="280">
        <v>0</v>
      </c>
      <c r="CB30" s="280">
        <v>0</v>
      </c>
      <c r="CC30" s="280">
        <v>0</v>
      </c>
    </row>
    <row r="31" spans="2:81" x14ac:dyDescent="0.2">
      <c r="B31" s="201" t="s">
        <v>508</v>
      </c>
      <c r="C31" s="280">
        <v>1</v>
      </c>
      <c r="AT31" s="201" t="s">
        <v>508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G31" s="280">
        <v>0</v>
      </c>
      <c r="BH31" s="280">
        <v>0</v>
      </c>
      <c r="BI31" s="280">
        <v>0</v>
      </c>
      <c r="BN31" s="201" t="s">
        <v>508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  <c r="CA31" s="280">
        <v>0</v>
      </c>
      <c r="CB31" s="280">
        <v>0</v>
      </c>
      <c r="CC31" s="280">
        <v>0</v>
      </c>
    </row>
    <row r="32" spans="2:81" x14ac:dyDescent="0.2">
      <c r="B32" s="203" t="s">
        <v>504</v>
      </c>
      <c r="C32" s="280">
        <v>1</v>
      </c>
      <c r="AT32" s="203" t="s">
        <v>643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G32" s="280">
        <v>0</v>
      </c>
      <c r="BH32" s="280">
        <v>0</v>
      </c>
      <c r="BI32" s="280">
        <v>0</v>
      </c>
      <c r="BN32" s="203" t="s">
        <v>643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  <c r="CA32" s="280">
        <v>0</v>
      </c>
      <c r="CB32" s="280">
        <v>0</v>
      </c>
      <c r="CC32" s="280">
        <v>0</v>
      </c>
    </row>
    <row r="33" spans="2:81" x14ac:dyDescent="0.2">
      <c r="B33" s="203"/>
      <c r="C33" s="280"/>
      <c r="AT33" s="203" t="s">
        <v>646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G33" s="280">
        <v>0</v>
      </c>
      <c r="BH33" s="280">
        <v>0</v>
      </c>
      <c r="BI33" s="280">
        <v>0</v>
      </c>
      <c r="BN33" s="203" t="s">
        <v>646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  <c r="CA33" s="280">
        <v>0</v>
      </c>
      <c r="CB33" s="280">
        <v>0</v>
      </c>
      <c r="CC33" s="280">
        <v>0</v>
      </c>
    </row>
    <row r="34" spans="2:81" x14ac:dyDescent="0.2">
      <c r="B34" s="203" t="s">
        <v>530</v>
      </c>
      <c r="C34" s="280">
        <v>1</v>
      </c>
      <c r="AT34" s="203" t="s">
        <v>530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G34" s="280">
        <v>0</v>
      </c>
      <c r="BH34" s="280">
        <v>0</v>
      </c>
      <c r="BI34" s="280">
        <v>0</v>
      </c>
      <c r="BN34" s="203" t="s">
        <v>530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  <c r="CA34" s="280">
        <v>0</v>
      </c>
      <c r="CB34" s="280">
        <v>0</v>
      </c>
      <c r="CC34" s="280">
        <v>0</v>
      </c>
    </row>
    <row r="35" spans="2:81" x14ac:dyDescent="0.2">
      <c r="B35" s="203" t="s">
        <v>531</v>
      </c>
      <c r="C35" s="280">
        <v>1</v>
      </c>
      <c r="AT35" s="203" t="s">
        <v>531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G35" s="280">
        <v>0</v>
      </c>
      <c r="BH35" s="280">
        <v>0</v>
      </c>
      <c r="BI35" s="280">
        <v>0</v>
      </c>
      <c r="BN35" s="203" t="s">
        <v>531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  <c r="CA35" s="280">
        <v>0</v>
      </c>
      <c r="CB35" s="280">
        <v>0</v>
      </c>
      <c r="CC35" s="280">
        <v>0</v>
      </c>
    </row>
    <row r="36" spans="2:81" x14ac:dyDescent="0.2">
      <c r="B36" s="203" t="s">
        <v>532</v>
      </c>
      <c r="C36" s="280">
        <v>1</v>
      </c>
      <c r="AT36" s="203" t="s">
        <v>532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G36" s="280">
        <v>0</v>
      </c>
      <c r="BH36" s="280">
        <v>0</v>
      </c>
      <c r="BI36" s="280">
        <v>0</v>
      </c>
      <c r="BN36" s="203" t="s">
        <v>532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  <c r="CA36" s="280">
        <v>0</v>
      </c>
      <c r="CB36" s="280">
        <v>0</v>
      </c>
      <c r="CC36" s="280">
        <v>0</v>
      </c>
    </row>
    <row r="37" spans="2:81" x14ac:dyDescent="0.2">
      <c r="B37" s="203" t="s">
        <v>543</v>
      </c>
      <c r="C37" s="280">
        <v>1</v>
      </c>
      <c r="AT37" s="203" t="s">
        <v>543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G37" s="280">
        <v>0</v>
      </c>
      <c r="BH37" s="280">
        <v>0</v>
      </c>
      <c r="BI37" s="280">
        <v>0</v>
      </c>
      <c r="BN37" s="203" t="s">
        <v>543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  <c r="CA37" s="280">
        <v>0</v>
      </c>
      <c r="CB37" s="280">
        <v>0</v>
      </c>
      <c r="CC37" s="280">
        <v>0</v>
      </c>
    </row>
    <row r="38" spans="2:81" x14ac:dyDescent="0.2">
      <c r="C38" s="169" t="s">
        <v>559</v>
      </c>
      <c r="AT38" s="203"/>
      <c r="AU38" s="405" t="s">
        <v>556</v>
      </c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G38" s="405"/>
      <c r="BH38" s="405"/>
      <c r="BI38" s="405"/>
      <c r="BN38" s="203"/>
      <c r="BO38" s="405" t="s">
        <v>557</v>
      </c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  <c r="CA38" s="405"/>
      <c r="CB38" s="405"/>
      <c r="CC38" s="405"/>
    </row>
    <row r="39" spans="2:81" x14ac:dyDescent="0.2">
      <c r="AT39" s="203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203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203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203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56"/>
      <c r="AU41" s="204" t="s">
        <v>405</v>
      </c>
      <c r="AV41" s="204" t="s">
        <v>406</v>
      </c>
      <c r="AW41" s="204" t="s">
        <v>407</v>
      </c>
      <c r="AX41" s="204" t="s">
        <v>541</v>
      </c>
      <c r="AY41" s="204" t="s">
        <v>520</v>
      </c>
      <c r="AZ41" s="204" t="s">
        <v>519</v>
      </c>
      <c r="BA41" s="204" t="s">
        <v>432</v>
      </c>
      <c r="BB41" s="204" t="s">
        <v>429</v>
      </c>
      <c r="BC41" s="204" t="s">
        <v>444</v>
      </c>
      <c r="BD41" s="204" t="s">
        <v>430</v>
      </c>
      <c r="BE41" s="204" t="s">
        <v>425</v>
      </c>
      <c r="BF41" s="204" t="s">
        <v>642</v>
      </c>
      <c r="BG41" s="204" t="s">
        <v>645</v>
      </c>
      <c r="BH41" s="204" t="s">
        <v>81</v>
      </c>
      <c r="BI41" s="204" t="s">
        <v>417</v>
      </c>
      <c r="BN41" s="203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201" t="s">
        <v>413</v>
      </c>
      <c r="AU42" s="280">
        <f>AU87</f>
        <v>109233.7126431732</v>
      </c>
      <c r="AV42" s="280">
        <f t="shared" ref="AV42:BI42" si="0">AV87</f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  <c r="BG42" s="280">
        <f>BG87</f>
        <v>0</v>
      </c>
      <c r="BH42" s="280">
        <f t="shared" si="0"/>
        <v>0</v>
      </c>
      <c r="BI42" s="280">
        <f t="shared" si="0"/>
        <v>0</v>
      </c>
      <c r="BN42" s="203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201" t="s">
        <v>415</v>
      </c>
      <c r="AU43" s="280">
        <f t="shared" ref="AU43:AU68" si="1">AU88</f>
        <v>0</v>
      </c>
      <c r="AV43" s="280">
        <f t="shared" ref="AV43:BI43" si="2">AV88</f>
        <v>25394.240916408646</v>
      </c>
      <c r="AW43" s="280">
        <f t="shared" si="2"/>
        <v>0</v>
      </c>
      <c r="AX43" s="280">
        <f t="shared" si="2"/>
        <v>0</v>
      </c>
      <c r="AY43" s="280">
        <f t="shared" si="2"/>
        <v>0</v>
      </c>
      <c r="AZ43" s="280">
        <f t="shared" si="2"/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si="2"/>
        <v>0</v>
      </c>
      <c r="BE43" s="280">
        <f t="shared" si="2"/>
        <v>0</v>
      </c>
      <c r="BF43" s="280">
        <f t="shared" si="2"/>
        <v>0</v>
      </c>
      <c r="BG43" s="280">
        <f t="shared" si="2"/>
        <v>0</v>
      </c>
      <c r="BH43" s="280">
        <f t="shared" si="2"/>
        <v>0</v>
      </c>
      <c r="BI43" s="280">
        <f t="shared" si="2"/>
        <v>0</v>
      </c>
      <c r="BN43" s="203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201" t="s">
        <v>416</v>
      </c>
      <c r="AU44" s="280">
        <f t="shared" si="1"/>
        <v>0</v>
      </c>
      <c r="AV44" s="280">
        <f t="shared" ref="AV44:BI44" si="3">AV89</f>
        <v>0</v>
      </c>
      <c r="AW44" s="280">
        <f t="shared" si="3"/>
        <v>8851059.7091535721</v>
      </c>
      <c r="AX44" s="280">
        <f t="shared" si="3"/>
        <v>0</v>
      </c>
      <c r="AY44" s="280">
        <f t="shared" si="3"/>
        <v>0</v>
      </c>
      <c r="AZ44" s="280">
        <f t="shared" si="3"/>
        <v>0</v>
      </c>
      <c r="BA44" s="280">
        <f t="shared" si="3"/>
        <v>0</v>
      </c>
      <c r="BB44" s="280">
        <f t="shared" si="3"/>
        <v>0</v>
      </c>
      <c r="BC44" s="280">
        <f t="shared" si="3"/>
        <v>0</v>
      </c>
      <c r="BD44" s="280">
        <f t="shared" si="3"/>
        <v>0</v>
      </c>
      <c r="BE44" s="280">
        <f t="shared" si="3"/>
        <v>0</v>
      </c>
      <c r="BF44" s="280">
        <f t="shared" si="3"/>
        <v>0</v>
      </c>
      <c r="BG44" s="280">
        <f t="shared" si="3"/>
        <v>0</v>
      </c>
      <c r="BH44" s="280">
        <f t="shared" si="3"/>
        <v>0</v>
      </c>
      <c r="BI44" s="280">
        <f t="shared" si="3"/>
        <v>0</v>
      </c>
      <c r="BN44" s="203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201" t="s">
        <v>436</v>
      </c>
      <c r="AU45" s="280">
        <f t="shared" si="1"/>
        <v>236.0188688118763</v>
      </c>
      <c r="AV45" s="280">
        <f t="shared" ref="AV45:BI45" si="4">AV90</f>
        <v>0.70761030268572533</v>
      </c>
      <c r="AW45" s="280">
        <f t="shared" si="4"/>
        <v>58.434372046010559</v>
      </c>
      <c r="AX45" s="280">
        <f t="shared" si="4"/>
        <v>0</v>
      </c>
      <c r="AY45" s="280">
        <f t="shared" si="4"/>
        <v>0</v>
      </c>
      <c r="AZ45" s="280">
        <f t="shared" si="4"/>
        <v>0</v>
      </c>
      <c r="BA45" s="280">
        <f t="shared" si="4"/>
        <v>0</v>
      </c>
      <c r="BB45" s="280">
        <f t="shared" si="4"/>
        <v>0</v>
      </c>
      <c r="BC45" s="280">
        <f t="shared" si="4"/>
        <v>0</v>
      </c>
      <c r="BD45" s="280">
        <f t="shared" si="4"/>
        <v>2787379.6921424987</v>
      </c>
      <c r="BE45" s="280">
        <f t="shared" si="4"/>
        <v>27357.025657382623</v>
      </c>
      <c r="BF45" s="280">
        <f t="shared" si="4"/>
        <v>0</v>
      </c>
      <c r="BG45" s="280">
        <f t="shared" si="4"/>
        <v>0</v>
      </c>
      <c r="BH45" s="280">
        <f t="shared" si="4"/>
        <v>0</v>
      </c>
      <c r="BI45" s="280">
        <f t="shared" si="4"/>
        <v>22325.965032153523</v>
      </c>
      <c r="BN45" s="203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201" t="s">
        <v>459</v>
      </c>
      <c r="AU46" s="280">
        <f t="shared" si="1"/>
        <v>0</v>
      </c>
      <c r="AV46" s="280">
        <f t="shared" ref="AV46:BI46" si="5">AV91</f>
        <v>0</v>
      </c>
      <c r="AW46" s="280">
        <f t="shared" si="5"/>
        <v>0</v>
      </c>
      <c r="AX46" s="280">
        <f t="shared" si="5"/>
        <v>0</v>
      </c>
      <c r="AY46" s="280">
        <f t="shared" si="5"/>
        <v>0</v>
      </c>
      <c r="AZ46" s="280">
        <f t="shared" si="5"/>
        <v>0</v>
      </c>
      <c r="BA46" s="280">
        <f t="shared" si="5"/>
        <v>0</v>
      </c>
      <c r="BB46" s="280">
        <f t="shared" si="5"/>
        <v>0</v>
      </c>
      <c r="BC46" s="280">
        <f t="shared" si="5"/>
        <v>0</v>
      </c>
      <c r="BD46" s="280">
        <f t="shared" si="5"/>
        <v>1078370532.5161049</v>
      </c>
      <c r="BE46" s="280">
        <f t="shared" si="5"/>
        <v>10583778.883576756</v>
      </c>
      <c r="BF46" s="280">
        <f t="shared" si="5"/>
        <v>0</v>
      </c>
      <c r="BG46" s="280">
        <f t="shared" si="5"/>
        <v>0</v>
      </c>
      <c r="BH46" s="280">
        <f t="shared" si="5"/>
        <v>0</v>
      </c>
      <c r="BI46" s="280">
        <f t="shared" si="5"/>
        <v>2329445.3092260091</v>
      </c>
      <c r="BN46" s="203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201" t="s">
        <v>552</v>
      </c>
      <c r="AU47" s="280">
        <f t="shared" si="1"/>
        <v>94146.207140653787</v>
      </c>
      <c r="AV47" s="280">
        <f t="shared" ref="AV47:BI47" si="6">AV92</f>
        <v>257.99399332425372</v>
      </c>
      <c r="AW47" s="280">
        <f t="shared" si="6"/>
        <v>23309.045257575242</v>
      </c>
      <c r="AX47" s="280">
        <f t="shared" si="6"/>
        <v>0</v>
      </c>
      <c r="AY47" s="280">
        <f t="shared" si="6"/>
        <v>0</v>
      </c>
      <c r="AZ47" s="280">
        <f t="shared" si="6"/>
        <v>0</v>
      </c>
      <c r="BA47" s="280">
        <f t="shared" si="6"/>
        <v>0</v>
      </c>
      <c r="BB47" s="280">
        <f t="shared" si="6"/>
        <v>0</v>
      </c>
      <c r="BC47" s="280">
        <f t="shared" si="6"/>
        <v>0</v>
      </c>
      <c r="BD47" s="280">
        <f t="shared" si="6"/>
        <v>0</v>
      </c>
      <c r="BE47" s="280">
        <f t="shared" si="6"/>
        <v>0</v>
      </c>
      <c r="BF47" s="280">
        <f t="shared" si="6"/>
        <v>0</v>
      </c>
      <c r="BG47" s="280">
        <f t="shared" si="6"/>
        <v>0</v>
      </c>
      <c r="BH47" s="280">
        <f t="shared" si="6"/>
        <v>0</v>
      </c>
      <c r="BI47" s="280">
        <f t="shared" si="6"/>
        <v>0</v>
      </c>
      <c r="BN47" s="203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201" t="s">
        <v>553</v>
      </c>
      <c r="AU48" s="280">
        <f t="shared" si="1"/>
        <v>0</v>
      </c>
      <c r="AV48" s="280">
        <f t="shared" ref="AV48:BI48" si="7">AV93</f>
        <v>24.076233417548465</v>
      </c>
      <c r="AW48" s="280">
        <f t="shared" si="7"/>
        <v>0</v>
      </c>
      <c r="AX48" s="280">
        <f t="shared" si="7"/>
        <v>0</v>
      </c>
      <c r="AY48" s="280">
        <f t="shared" si="7"/>
        <v>0</v>
      </c>
      <c r="AZ48" s="280">
        <f t="shared" si="7"/>
        <v>0</v>
      </c>
      <c r="BA48" s="280">
        <f t="shared" si="7"/>
        <v>0</v>
      </c>
      <c r="BB48" s="280">
        <f t="shared" si="7"/>
        <v>0</v>
      </c>
      <c r="BC48" s="280">
        <f t="shared" si="7"/>
        <v>0</v>
      </c>
      <c r="BD48" s="280">
        <f t="shared" si="7"/>
        <v>0</v>
      </c>
      <c r="BE48" s="280">
        <f t="shared" si="7"/>
        <v>0</v>
      </c>
      <c r="BF48" s="280">
        <f t="shared" si="7"/>
        <v>0</v>
      </c>
      <c r="BG48" s="280">
        <f t="shared" si="7"/>
        <v>0</v>
      </c>
      <c r="BH48" s="280">
        <f t="shared" si="7"/>
        <v>0</v>
      </c>
      <c r="BI48" s="280">
        <f t="shared" si="7"/>
        <v>0</v>
      </c>
      <c r="BN48" s="203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201" t="s">
        <v>496</v>
      </c>
      <c r="AU49" s="280">
        <f t="shared" si="1"/>
        <v>0</v>
      </c>
      <c r="AV49" s="280">
        <f t="shared" ref="AV49:BI49" si="8">AV94</f>
        <v>0</v>
      </c>
      <c r="AW49" s="280">
        <f t="shared" si="8"/>
        <v>0</v>
      </c>
      <c r="AX49" s="280">
        <f t="shared" si="8"/>
        <v>0</v>
      </c>
      <c r="AY49" s="280">
        <f t="shared" si="8"/>
        <v>0</v>
      </c>
      <c r="AZ49" s="280">
        <f t="shared" si="8"/>
        <v>0</v>
      </c>
      <c r="BA49" s="280">
        <f t="shared" si="8"/>
        <v>0</v>
      </c>
      <c r="BB49" s="280">
        <f t="shared" si="8"/>
        <v>0</v>
      </c>
      <c r="BC49" s="280">
        <f t="shared" si="8"/>
        <v>0</v>
      </c>
      <c r="BD49" s="280">
        <f t="shared" si="8"/>
        <v>0</v>
      </c>
      <c r="BE49" s="280">
        <f t="shared" si="8"/>
        <v>0</v>
      </c>
      <c r="BF49" s="280">
        <f t="shared" si="8"/>
        <v>0</v>
      </c>
      <c r="BG49" s="280">
        <f t="shared" si="8"/>
        <v>0</v>
      </c>
      <c r="BH49" s="280">
        <f t="shared" si="8"/>
        <v>0</v>
      </c>
      <c r="BI49" s="280">
        <f t="shared" si="8"/>
        <v>29112.263489807588</v>
      </c>
      <c r="BN49" s="203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201" t="s">
        <v>545</v>
      </c>
      <c r="AU50" s="280">
        <f t="shared" si="1"/>
        <v>0</v>
      </c>
      <c r="AV50" s="280">
        <f t="shared" ref="AV50:BI50" si="9">AV95</f>
        <v>0</v>
      </c>
      <c r="AW50" s="280">
        <f t="shared" si="9"/>
        <v>80616.370239891301</v>
      </c>
      <c r="AX50" s="280">
        <f t="shared" si="9"/>
        <v>609792.2517593482</v>
      </c>
      <c r="AY50" s="280">
        <f t="shared" si="9"/>
        <v>2824.8856477449194</v>
      </c>
      <c r="AZ50" s="280">
        <f t="shared" si="9"/>
        <v>282.1287710315147</v>
      </c>
      <c r="BA50" s="280">
        <f t="shared" si="9"/>
        <v>12626.098826338684</v>
      </c>
      <c r="BB50" s="280">
        <f t="shared" si="9"/>
        <v>34.678095164114971</v>
      </c>
      <c r="BC50" s="280">
        <f t="shared" si="9"/>
        <v>50.358084153937838</v>
      </c>
      <c r="BD50" s="280">
        <f t="shared" si="9"/>
        <v>0</v>
      </c>
      <c r="BE50" s="280">
        <f t="shared" si="9"/>
        <v>0</v>
      </c>
      <c r="BF50" s="280">
        <f t="shared" si="9"/>
        <v>33191.859393697465</v>
      </c>
      <c r="BG50" s="280">
        <f t="shared" si="9"/>
        <v>0</v>
      </c>
      <c r="BH50" s="280">
        <f t="shared" si="9"/>
        <v>0</v>
      </c>
      <c r="BI50" s="280">
        <f t="shared" si="9"/>
        <v>318930.1042317453</v>
      </c>
      <c r="BN50" s="203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202" t="s">
        <v>527</v>
      </c>
      <c r="AU51" s="280">
        <f t="shared" si="1"/>
        <v>0</v>
      </c>
      <c r="AV51" s="280">
        <f t="shared" ref="AV51:BI51" si="10">AV96</f>
        <v>0</v>
      </c>
      <c r="AW51" s="280">
        <f t="shared" si="10"/>
        <v>0</v>
      </c>
      <c r="AX51" s="280">
        <f t="shared" si="10"/>
        <v>109233.7126431732</v>
      </c>
      <c r="AY51" s="280">
        <f t="shared" si="10"/>
        <v>0</v>
      </c>
      <c r="AZ51" s="280">
        <f t="shared" si="10"/>
        <v>0</v>
      </c>
      <c r="BA51" s="280">
        <f t="shared" si="10"/>
        <v>0</v>
      </c>
      <c r="BB51" s="280">
        <f t="shared" si="10"/>
        <v>0</v>
      </c>
      <c r="BC51" s="280">
        <f t="shared" si="10"/>
        <v>0</v>
      </c>
      <c r="BD51" s="280">
        <f t="shared" si="10"/>
        <v>0</v>
      </c>
      <c r="BE51" s="280">
        <f t="shared" si="10"/>
        <v>0</v>
      </c>
      <c r="BF51" s="280">
        <f t="shared" si="10"/>
        <v>0</v>
      </c>
      <c r="BG51" s="280">
        <f t="shared" si="10"/>
        <v>0</v>
      </c>
      <c r="BH51" s="280">
        <f t="shared" si="10"/>
        <v>0</v>
      </c>
      <c r="BI51" s="280">
        <f t="shared" si="10"/>
        <v>0</v>
      </c>
      <c r="BN51" s="203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201" t="s">
        <v>494</v>
      </c>
      <c r="AU52" s="280">
        <f t="shared" si="1"/>
        <v>0</v>
      </c>
      <c r="AV52" s="280">
        <f t="shared" ref="AV52:BI52" si="11">AV97</f>
        <v>0</v>
      </c>
      <c r="AW52" s="280">
        <f t="shared" si="11"/>
        <v>0</v>
      </c>
      <c r="AX52" s="280">
        <f t="shared" si="11"/>
        <v>0</v>
      </c>
      <c r="AY52" s="280">
        <f t="shared" si="11"/>
        <v>0</v>
      </c>
      <c r="AZ52" s="280">
        <f t="shared" si="11"/>
        <v>0</v>
      </c>
      <c r="BA52" s="280">
        <f t="shared" si="11"/>
        <v>0</v>
      </c>
      <c r="BB52" s="280">
        <f t="shared" si="11"/>
        <v>0</v>
      </c>
      <c r="BC52" s="280">
        <f t="shared" si="11"/>
        <v>0</v>
      </c>
      <c r="BD52" s="280">
        <f t="shared" si="11"/>
        <v>0</v>
      </c>
      <c r="BE52" s="280">
        <f t="shared" si="11"/>
        <v>0</v>
      </c>
      <c r="BF52" s="280">
        <f t="shared" si="11"/>
        <v>0</v>
      </c>
      <c r="BG52" s="280">
        <f t="shared" si="11"/>
        <v>0</v>
      </c>
      <c r="BH52" s="280">
        <f t="shared" si="11"/>
        <v>0</v>
      </c>
      <c r="BI52" s="280">
        <f t="shared" si="11"/>
        <v>0</v>
      </c>
      <c r="BN52" s="203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202" t="s">
        <v>497</v>
      </c>
      <c r="AU53" s="280">
        <f t="shared" si="1"/>
        <v>0</v>
      </c>
      <c r="AV53" s="280">
        <f t="shared" ref="AV53:BI53" si="12">AV98</f>
        <v>0</v>
      </c>
      <c r="AW53" s="280">
        <f t="shared" si="12"/>
        <v>0</v>
      </c>
      <c r="AX53" s="280">
        <f t="shared" si="12"/>
        <v>0</v>
      </c>
      <c r="AY53" s="280">
        <f t="shared" si="12"/>
        <v>25394.240916408646</v>
      </c>
      <c r="AZ53" s="280">
        <f t="shared" si="12"/>
        <v>0</v>
      </c>
      <c r="BA53" s="280">
        <f t="shared" si="12"/>
        <v>0</v>
      </c>
      <c r="BB53" s="280">
        <f t="shared" si="12"/>
        <v>0</v>
      </c>
      <c r="BC53" s="280">
        <f t="shared" si="12"/>
        <v>0</v>
      </c>
      <c r="BD53" s="280">
        <f t="shared" si="12"/>
        <v>0</v>
      </c>
      <c r="BE53" s="280">
        <f t="shared" si="12"/>
        <v>0</v>
      </c>
      <c r="BF53" s="280">
        <f t="shared" si="12"/>
        <v>0</v>
      </c>
      <c r="BG53" s="280">
        <f t="shared" si="12"/>
        <v>0</v>
      </c>
      <c r="BH53" s="280">
        <f t="shared" si="12"/>
        <v>0</v>
      </c>
      <c r="BI53" s="280">
        <f t="shared" si="12"/>
        <v>0</v>
      </c>
      <c r="BN53" s="203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201" t="s">
        <v>522</v>
      </c>
      <c r="AU54" s="280">
        <f t="shared" si="1"/>
        <v>0</v>
      </c>
      <c r="AV54" s="280">
        <f t="shared" ref="AV54:BI54" si="13">AV99</f>
        <v>0</v>
      </c>
      <c r="AW54" s="280">
        <f t="shared" si="13"/>
        <v>0</v>
      </c>
      <c r="AX54" s="280">
        <f t="shared" si="13"/>
        <v>0</v>
      </c>
      <c r="AY54" s="280">
        <f t="shared" si="13"/>
        <v>0</v>
      </c>
      <c r="AZ54" s="280">
        <f t="shared" si="13"/>
        <v>0</v>
      </c>
      <c r="BA54" s="280">
        <f t="shared" si="13"/>
        <v>0</v>
      </c>
      <c r="BB54" s="280">
        <f t="shared" si="13"/>
        <v>0</v>
      </c>
      <c r="BC54" s="280">
        <f t="shared" si="13"/>
        <v>0</v>
      </c>
      <c r="BD54" s="280">
        <f t="shared" si="13"/>
        <v>0</v>
      </c>
      <c r="BE54" s="280">
        <f t="shared" si="13"/>
        <v>0</v>
      </c>
      <c r="BF54" s="280">
        <f t="shared" si="13"/>
        <v>0</v>
      </c>
      <c r="BG54" s="280">
        <f t="shared" si="13"/>
        <v>0</v>
      </c>
      <c r="BH54" s="280">
        <f t="shared" si="13"/>
        <v>0</v>
      </c>
      <c r="BI54" s="280">
        <f t="shared" si="13"/>
        <v>0</v>
      </c>
      <c r="BN54" s="203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203" t="s">
        <v>515</v>
      </c>
      <c r="AU55" s="280">
        <f t="shared" si="1"/>
        <v>0</v>
      </c>
      <c r="AV55" s="280">
        <f t="shared" ref="AV55:BI55" si="14">AV100</f>
        <v>0</v>
      </c>
      <c r="AW55" s="280">
        <f t="shared" si="14"/>
        <v>0</v>
      </c>
      <c r="AX55" s="280">
        <f t="shared" si="14"/>
        <v>0</v>
      </c>
      <c r="AY55" s="280">
        <f t="shared" si="14"/>
        <v>0</v>
      </c>
      <c r="AZ55" s="280">
        <f t="shared" si="14"/>
        <v>8856308.1430966556</v>
      </c>
      <c r="BA55" s="280">
        <f t="shared" si="14"/>
        <v>0</v>
      </c>
      <c r="BB55" s="280">
        <f t="shared" si="14"/>
        <v>0</v>
      </c>
      <c r="BC55" s="280">
        <f t="shared" si="14"/>
        <v>0</v>
      </c>
      <c r="BD55" s="280">
        <f t="shared" si="14"/>
        <v>0</v>
      </c>
      <c r="BE55" s="280">
        <f t="shared" si="14"/>
        <v>0</v>
      </c>
      <c r="BF55" s="280">
        <f t="shared" si="14"/>
        <v>0</v>
      </c>
      <c r="BG55" s="280">
        <f t="shared" si="14"/>
        <v>0</v>
      </c>
      <c r="BH55" s="280">
        <f t="shared" si="14"/>
        <v>0</v>
      </c>
      <c r="BI55" s="280">
        <f t="shared" si="14"/>
        <v>0</v>
      </c>
      <c r="BN55" s="203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201" t="s">
        <v>501</v>
      </c>
      <c r="AU56" s="280">
        <f t="shared" si="1"/>
        <v>0</v>
      </c>
      <c r="AV56" s="280">
        <f t="shared" ref="AV56:BI56" si="15">AV101</f>
        <v>0</v>
      </c>
      <c r="AW56" s="280">
        <f t="shared" si="15"/>
        <v>0</v>
      </c>
      <c r="AX56" s="280">
        <f t="shared" si="15"/>
        <v>0</v>
      </c>
      <c r="AY56" s="280">
        <f t="shared" si="15"/>
        <v>0</v>
      </c>
      <c r="AZ56" s="280">
        <f t="shared" si="15"/>
        <v>0</v>
      </c>
      <c r="BA56" s="280">
        <f t="shared" si="15"/>
        <v>0</v>
      </c>
      <c r="BB56" s="280">
        <f t="shared" si="15"/>
        <v>0</v>
      </c>
      <c r="BC56" s="280">
        <f t="shared" si="15"/>
        <v>0</v>
      </c>
      <c r="BD56" s="280">
        <f t="shared" si="15"/>
        <v>0</v>
      </c>
      <c r="BE56" s="280">
        <f t="shared" si="15"/>
        <v>0</v>
      </c>
      <c r="BF56" s="280">
        <f t="shared" si="15"/>
        <v>0</v>
      </c>
      <c r="BG56" s="280">
        <f t="shared" si="15"/>
        <v>0</v>
      </c>
      <c r="BH56" s="280">
        <f t="shared" si="15"/>
        <v>0</v>
      </c>
      <c r="BI56" s="280">
        <f t="shared" si="15"/>
        <v>0</v>
      </c>
      <c r="BN56" s="203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202" t="s">
        <v>526</v>
      </c>
      <c r="AU57" s="280">
        <f t="shared" si="1"/>
        <v>0</v>
      </c>
      <c r="AV57" s="280">
        <f t="shared" ref="AV57:BI57" si="16">AV102</f>
        <v>0</v>
      </c>
      <c r="AW57" s="280">
        <f t="shared" si="16"/>
        <v>0</v>
      </c>
      <c r="AX57" s="280">
        <f t="shared" si="16"/>
        <v>0</v>
      </c>
      <c r="AY57" s="280">
        <f t="shared" si="16"/>
        <v>0</v>
      </c>
      <c r="AZ57" s="280">
        <f t="shared" si="16"/>
        <v>0</v>
      </c>
      <c r="BA57" s="280">
        <f t="shared" si="16"/>
        <v>109233.7126431732</v>
      </c>
      <c r="BB57" s="280">
        <f t="shared" si="16"/>
        <v>0</v>
      </c>
      <c r="BC57" s="280">
        <f t="shared" si="16"/>
        <v>0</v>
      </c>
      <c r="BD57" s="280">
        <f t="shared" si="16"/>
        <v>0</v>
      </c>
      <c r="BE57" s="280">
        <f t="shared" si="16"/>
        <v>0</v>
      </c>
      <c r="BF57" s="280">
        <f t="shared" si="16"/>
        <v>0</v>
      </c>
      <c r="BG57" s="280">
        <f t="shared" si="16"/>
        <v>0</v>
      </c>
      <c r="BH57" s="280">
        <f t="shared" si="16"/>
        <v>0</v>
      </c>
      <c r="BI57" s="280">
        <f t="shared" si="16"/>
        <v>0</v>
      </c>
      <c r="BN57" s="203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202" t="s">
        <v>521</v>
      </c>
      <c r="AU58" s="280">
        <f t="shared" si="1"/>
        <v>0</v>
      </c>
      <c r="AV58" s="280">
        <f t="shared" ref="AV58:BI58" si="17">AV103</f>
        <v>0</v>
      </c>
      <c r="AW58" s="280">
        <f t="shared" si="17"/>
        <v>0</v>
      </c>
      <c r="AX58" s="280">
        <f t="shared" si="17"/>
        <v>0</v>
      </c>
      <c r="AY58" s="280">
        <f t="shared" si="17"/>
        <v>0</v>
      </c>
      <c r="AZ58" s="280">
        <f t="shared" si="17"/>
        <v>0</v>
      </c>
      <c r="BA58" s="280">
        <f t="shared" si="17"/>
        <v>0</v>
      </c>
      <c r="BB58" s="280">
        <f t="shared" si="17"/>
        <v>25394.240916408646</v>
      </c>
      <c r="BC58" s="280">
        <f t="shared" si="17"/>
        <v>0</v>
      </c>
      <c r="BD58" s="280">
        <f t="shared" si="17"/>
        <v>0</v>
      </c>
      <c r="BE58" s="280">
        <f t="shared" si="17"/>
        <v>0</v>
      </c>
      <c r="BF58" s="280">
        <f t="shared" si="17"/>
        <v>0</v>
      </c>
      <c r="BG58" s="280">
        <f t="shared" si="17"/>
        <v>0</v>
      </c>
      <c r="BH58" s="280">
        <f t="shared" si="17"/>
        <v>0</v>
      </c>
      <c r="BI58" s="280">
        <f t="shared" si="17"/>
        <v>0</v>
      </c>
      <c r="BN58" s="203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202" t="s">
        <v>518</v>
      </c>
      <c r="AU59" s="280">
        <f t="shared" si="1"/>
        <v>0</v>
      </c>
      <c r="AV59" s="280">
        <f t="shared" ref="AV59:BI59" si="18">AV104</f>
        <v>0</v>
      </c>
      <c r="AW59" s="280">
        <f t="shared" si="18"/>
        <v>0</v>
      </c>
      <c r="AX59" s="280">
        <f t="shared" si="18"/>
        <v>0</v>
      </c>
      <c r="AY59" s="280">
        <f t="shared" si="18"/>
        <v>0</v>
      </c>
      <c r="AZ59" s="280">
        <f t="shared" si="18"/>
        <v>0</v>
      </c>
      <c r="BA59" s="280">
        <f t="shared" si="18"/>
        <v>0</v>
      </c>
      <c r="BB59" s="280">
        <f t="shared" si="18"/>
        <v>0</v>
      </c>
      <c r="BC59" s="280">
        <f t="shared" si="18"/>
        <v>8856308.1430966556</v>
      </c>
      <c r="BD59" s="280">
        <f t="shared" si="18"/>
        <v>0</v>
      </c>
      <c r="BE59" s="280">
        <f t="shared" si="18"/>
        <v>0</v>
      </c>
      <c r="BF59" s="280">
        <f t="shared" si="18"/>
        <v>0</v>
      </c>
      <c r="BG59" s="280">
        <f t="shared" si="18"/>
        <v>0</v>
      </c>
      <c r="BH59" s="280">
        <f t="shared" si="18"/>
        <v>0</v>
      </c>
      <c r="BI59" s="280">
        <f t="shared" si="18"/>
        <v>0</v>
      </c>
      <c r="BN59" s="203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202" t="s">
        <v>524</v>
      </c>
      <c r="AU60" s="280">
        <f t="shared" si="1"/>
        <v>0</v>
      </c>
      <c r="AV60" s="280">
        <f t="shared" ref="AV60:BI60" si="19">AV105</f>
        <v>0</v>
      </c>
      <c r="AW60" s="280">
        <f t="shared" si="19"/>
        <v>0</v>
      </c>
      <c r="AX60" s="280">
        <f t="shared" si="19"/>
        <v>0</v>
      </c>
      <c r="AY60" s="280">
        <f t="shared" si="19"/>
        <v>0</v>
      </c>
      <c r="AZ60" s="280">
        <f t="shared" si="19"/>
        <v>0</v>
      </c>
      <c r="BA60" s="280">
        <f t="shared" si="19"/>
        <v>0</v>
      </c>
      <c r="BB60" s="280">
        <f t="shared" si="19"/>
        <v>0</v>
      </c>
      <c r="BC60" s="280">
        <f t="shared" si="19"/>
        <v>0</v>
      </c>
      <c r="BD60" s="280">
        <f t="shared" si="19"/>
        <v>0</v>
      </c>
      <c r="BE60" s="280">
        <f t="shared" si="19"/>
        <v>0</v>
      </c>
      <c r="BF60" s="280">
        <f t="shared" si="19"/>
        <v>0</v>
      </c>
      <c r="BG60" s="280">
        <f t="shared" si="19"/>
        <v>0</v>
      </c>
      <c r="BH60" s="280">
        <f t="shared" si="19"/>
        <v>88965.799815334409</v>
      </c>
      <c r="BI60" s="280">
        <f t="shared" si="19"/>
        <v>0</v>
      </c>
      <c r="BN60" s="203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203" t="s">
        <v>523</v>
      </c>
      <c r="AU61" s="280">
        <f t="shared" si="1"/>
        <v>0</v>
      </c>
      <c r="AV61" s="280">
        <f t="shared" ref="AV61:BI61" si="20">AV106</f>
        <v>0</v>
      </c>
      <c r="AW61" s="280">
        <f t="shared" si="20"/>
        <v>0</v>
      </c>
      <c r="AX61" s="280">
        <f t="shared" si="20"/>
        <v>0</v>
      </c>
      <c r="AY61" s="280">
        <f t="shared" si="20"/>
        <v>0</v>
      </c>
      <c r="AZ61" s="280">
        <f t="shared" si="20"/>
        <v>0</v>
      </c>
      <c r="BA61" s="280">
        <f t="shared" si="20"/>
        <v>0</v>
      </c>
      <c r="BB61" s="280">
        <f t="shared" si="20"/>
        <v>0</v>
      </c>
      <c r="BC61" s="280">
        <f t="shared" si="20"/>
        <v>0</v>
      </c>
      <c r="BD61" s="280">
        <f t="shared" si="20"/>
        <v>0</v>
      </c>
      <c r="BE61" s="280">
        <f t="shared" si="20"/>
        <v>0</v>
      </c>
      <c r="BF61" s="280">
        <f t="shared" si="20"/>
        <v>0</v>
      </c>
      <c r="BG61" s="280">
        <f t="shared" si="20"/>
        <v>0</v>
      </c>
      <c r="BH61" s="280">
        <f t="shared" si="20"/>
        <v>0</v>
      </c>
      <c r="BI61" s="280">
        <f t="shared" si="20"/>
        <v>0</v>
      </c>
      <c r="BN61" s="203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203" t="s">
        <v>509</v>
      </c>
      <c r="AU62" s="280">
        <f t="shared" si="1"/>
        <v>0</v>
      </c>
      <c r="AV62" s="280">
        <f t="shared" ref="AV62:BI62" si="21">AV107</f>
        <v>0</v>
      </c>
      <c r="AW62" s="280">
        <f t="shared" si="21"/>
        <v>0</v>
      </c>
      <c r="AX62" s="280">
        <f t="shared" si="21"/>
        <v>0</v>
      </c>
      <c r="AY62" s="280">
        <f t="shared" si="21"/>
        <v>0</v>
      </c>
      <c r="AZ62" s="280">
        <f t="shared" si="21"/>
        <v>0</v>
      </c>
      <c r="BA62" s="280">
        <f t="shared" si="21"/>
        <v>0</v>
      </c>
      <c r="BB62" s="280">
        <f t="shared" si="21"/>
        <v>0</v>
      </c>
      <c r="BC62" s="280">
        <f t="shared" si="21"/>
        <v>0</v>
      </c>
      <c r="BD62" s="280">
        <f t="shared" si="21"/>
        <v>25394.240916408646</v>
      </c>
      <c r="BE62" s="280">
        <f t="shared" si="21"/>
        <v>0</v>
      </c>
      <c r="BF62" s="280">
        <f t="shared" si="21"/>
        <v>0</v>
      </c>
      <c r="BG62" s="280">
        <f t="shared" si="21"/>
        <v>0</v>
      </c>
      <c r="BH62" s="280">
        <f t="shared" si="21"/>
        <v>0</v>
      </c>
      <c r="BI62" s="280">
        <f t="shared" si="21"/>
        <v>0</v>
      </c>
      <c r="BN62" s="203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203" t="s">
        <v>542</v>
      </c>
      <c r="AU63" s="280">
        <f t="shared" si="1"/>
        <v>0</v>
      </c>
      <c r="AV63" s="280">
        <f t="shared" ref="AV63:BI63" si="22">AV108</f>
        <v>0</v>
      </c>
      <c r="AW63" s="280">
        <f t="shared" si="22"/>
        <v>0</v>
      </c>
      <c r="AX63" s="280">
        <f t="shared" si="22"/>
        <v>0</v>
      </c>
      <c r="AY63" s="280">
        <f t="shared" si="22"/>
        <v>0</v>
      </c>
      <c r="AZ63" s="280">
        <f t="shared" si="22"/>
        <v>0</v>
      </c>
      <c r="BA63" s="280">
        <f t="shared" si="22"/>
        <v>0</v>
      </c>
      <c r="BB63" s="280">
        <f t="shared" si="22"/>
        <v>0</v>
      </c>
      <c r="BC63" s="280">
        <f t="shared" si="22"/>
        <v>0</v>
      </c>
      <c r="BD63" s="280">
        <f t="shared" si="22"/>
        <v>0</v>
      </c>
      <c r="BE63" s="280">
        <f t="shared" si="22"/>
        <v>8856308.1430966556</v>
      </c>
      <c r="BF63" s="280">
        <f t="shared" si="22"/>
        <v>0</v>
      </c>
      <c r="BG63" s="280">
        <f t="shared" si="22"/>
        <v>0</v>
      </c>
      <c r="BH63" s="280">
        <f t="shared" si="22"/>
        <v>0</v>
      </c>
      <c r="BI63" s="280">
        <f t="shared" si="22"/>
        <v>0</v>
      </c>
      <c r="BN63" s="203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203" t="s">
        <v>510</v>
      </c>
      <c r="AU64" s="280">
        <f t="shared" si="1"/>
        <v>0</v>
      </c>
      <c r="AV64" s="280">
        <f t="shared" ref="AV64:BI64" si="23">AV109</f>
        <v>0</v>
      </c>
      <c r="AW64" s="280">
        <f t="shared" si="23"/>
        <v>0</v>
      </c>
      <c r="AX64" s="280">
        <f t="shared" si="23"/>
        <v>0</v>
      </c>
      <c r="AY64" s="280">
        <f t="shared" si="23"/>
        <v>0</v>
      </c>
      <c r="AZ64" s="280">
        <f t="shared" si="23"/>
        <v>0</v>
      </c>
      <c r="BA64" s="280">
        <f t="shared" si="23"/>
        <v>0</v>
      </c>
      <c r="BB64" s="280">
        <f t="shared" si="23"/>
        <v>0</v>
      </c>
      <c r="BC64" s="280">
        <f t="shared" si="23"/>
        <v>0</v>
      </c>
      <c r="BD64" s="280">
        <f t="shared" si="23"/>
        <v>0</v>
      </c>
      <c r="BE64" s="280">
        <f t="shared" si="23"/>
        <v>0</v>
      </c>
      <c r="BF64" s="280">
        <f t="shared" si="23"/>
        <v>0</v>
      </c>
      <c r="BG64" s="280">
        <f t="shared" si="23"/>
        <v>0</v>
      </c>
      <c r="BH64" s="280">
        <f t="shared" si="23"/>
        <v>242016.07607977447</v>
      </c>
      <c r="BI64" s="280">
        <f t="shared" si="23"/>
        <v>0</v>
      </c>
      <c r="BN64" s="203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203" t="s">
        <v>512</v>
      </c>
      <c r="AU65" s="280">
        <f t="shared" si="1"/>
        <v>0</v>
      </c>
      <c r="AV65" s="280">
        <f t="shared" ref="AV65:BI65" si="24">AV110</f>
        <v>0</v>
      </c>
      <c r="AW65" s="280">
        <f t="shared" si="24"/>
        <v>0</v>
      </c>
      <c r="AX65" s="280">
        <f t="shared" si="24"/>
        <v>0</v>
      </c>
      <c r="AY65" s="280">
        <f t="shared" si="24"/>
        <v>0</v>
      </c>
      <c r="AZ65" s="280">
        <f t="shared" si="24"/>
        <v>0</v>
      </c>
      <c r="BA65" s="280">
        <f t="shared" si="24"/>
        <v>0</v>
      </c>
      <c r="BB65" s="280">
        <f t="shared" si="24"/>
        <v>0</v>
      </c>
      <c r="BC65" s="280">
        <f t="shared" si="24"/>
        <v>0</v>
      </c>
      <c r="BD65" s="280">
        <f t="shared" si="24"/>
        <v>0</v>
      </c>
      <c r="BE65" s="280">
        <f t="shared" si="24"/>
        <v>0</v>
      </c>
      <c r="BF65" s="280">
        <f t="shared" si="24"/>
        <v>0</v>
      </c>
      <c r="BG65" s="280">
        <f t="shared" si="24"/>
        <v>0</v>
      </c>
      <c r="BH65" s="280">
        <f t="shared" si="24"/>
        <v>0</v>
      </c>
      <c r="BI65" s="280">
        <f t="shared" si="24"/>
        <v>0</v>
      </c>
      <c r="BN65" s="203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203" t="s">
        <v>511</v>
      </c>
      <c r="AU66" s="280">
        <f t="shared" si="1"/>
        <v>0</v>
      </c>
      <c r="AV66" s="280">
        <f t="shared" ref="AV66:BI66" si="25">AV111</f>
        <v>0</v>
      </c>
      <c r="AW66" s="280">
        <f t="shared" si="25"/>
        <v>0</v>
      </c>
      <c r="AX66" s="280">
        <f t="shared" si="25"/>
        <v>0</v>
      </c>
      <c r="AY66" s="280">
        <f t="shared" si="25"/>
        <v>0</v>
      </c>
      <c r="AZ66" s="280">
        <f t="shared" si="25"/>
        <v>0</v>
      </c>
      <c r="BA66" s="280">
        <f t="shared" si="25"/>
        <v>0</v>
      </c>
      <c r="BB66" s="280">
        <f t="shared" si="25"/>
        <v>0</v>
      </c>
      <c r="BC66" s="280">
        <f t="shared" si="25"/>
        <v>0</v>
      </c>
      <c r="BD66" s="280">
        <f t="shared" si="25"/>
        <v>0</v>
      </c>
      <c r="BE66" s="280">
        <f t="shared" si="25"/>
        <v>0</v>
      </c>
      <c r="BF66" s="280">
        <f t="shared" si="25"/>
        <v>0</v>
      </c>
      <c r="BG66" s="280">
        <f t="shared" si="25"/>
        <v>0</v>
      </c>
      <c r="BH66" s="280">
        <f t="shared" si="25"/>
        <v>0</v>
      </c>
      <c r="BI66" s="280">
        <f t="shared" si="25"/>
        <v>0</v>
      </c>
      <c r="BN66" s="203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203" t="s">
        <v>607</v>
      </c>
      <c r="AU67" s="280">
        <f t="shared" si="1"/>
        <v>0</v>
      </c>
      <c r="AV67" s="280">
        <f t="shared" ref="AV67:BI67" si="26">AV112</f>
        <v>0</v>
      </c>
      <c r="AW67" s="280">
        <f t="shared" si="26"/>
        <v>0</v>
      </c>
      <c r="AX67" s="280">
        <f t="shared" si="26"/>
        <v>0</v>
      </c>
      <c r="AY67" s="280">
        <f t="shared" si="26"/>
        <v>0</v>
      </c>
      <c r="AZ67" s="280">
        <f t="shared" si="26"/>
        <v>0</v>
      </c>
      <c r="BA67" s="280">
        <f t="shared" si="26"/>
        <v>0</v>
      </c>
      <c r="BB67" s="280">
        <f t="shared" si="26"/>
        <v>0</v>
      </c>
      <c r="BC67" s="280">
        <f t="shared" si="26"/>
        <v>0</v>
      </c>
      <c r="BD67" s="280">
        <f t="shared" si="26"/>
        <v>0</v>
      </c>
      <c r="BE67" s="280">
        <f t="shared" si="26"/>
        <v>0</v>
      </c>
      <c r="BF67" s="280">
        <f t="shared" si="26"/>
        <v>0</v>
      </c>
      <c r="BG67" s="280">
        <f t="shared" si="26"/>
        <v>0</v>
      </c>
      <c r="BH67" s="280">
        <f t="shared" si="26"/>
        <v>6408288.6211381694</v>
      </c>
      <c r="BI67" s="280">
        <f t="shared" si="26"/>
        <v>0</v>
      </c>
      <c r="BN67" s="203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49" t="s">
        <v>507</v>
      </c>
      <c r="AU68" s="280">
        <f t="shared" si="1"/>
        <v>0</v>
      </c>
      <c r="AV68" s="280">
        <f t="shared" ref="AV68:BI68" si="27">AV113</f>
        <v>0</v>
      </c>
      <c r="AW68" s="280">
        <f t="shared" si="27"/>
        <v>0</v>
      </c>
      <c r="AX68" s="280">
        <f t="shared" si="27"/>
        <v>0</v>
      </c>
      <c r="AY68" s="280">
        <f t="shared" si="27"/>
        <v>0</v>
      </c>
      <c r="AZ68" s="280">
        <f t="shared" si="27"/>
        <v>0</v>
      </c>
      <c r="BA68" s="280">
        <f t="shared" si="27"/>
        <v>0</v>
      </c>
      <c r="BB68" s="280">
        <f t="shared" si="27"/>
        <v>0</v>
      </c>
      <c r="BC68" s="280">
        <f t="shared" si="27"/>
        <v>0</v>
      </c>
      <c r="BD68" s="280">
        <f t="shared" si="27"/>
        <v>0</v>
      </c>
      <c r="BE68" s="280">
        <f t="shared" si="27"/>
        <v>0</v>
      </c>
      <c r="BF68" s="280">
        <f t="shared" si="27"/>
        <v>4027024.8231933108</v>
      </c>
      <c r="BG68" s="280">
        <f t="shared" si="27"/>
        <v>0</v>
      </c>
      <c r="BH68" s="280">
        <f t="shared" si="27"/>
        <v>0</v>
      </c>
      <c r="BI68" s="280">
        <f t="shared" si="27"/>
        <v>0</v>
      </c>
      <c r="BN68" s="203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49" t="s">
        <v>684</v>
      </c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  <c r="BG69" s="280"/>
      <c r="BH69" s="280"/>
      <c r="BI69" s="280"/>
      <c r="BN69" s="203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203" t="s">
        <v>506</v>
      </c>
      <c r="AU70" s="280">
        <f t="shared" ref="AU70:AU77" si="28">AU115</f>
        <v>0</v>
      </c>
      <c r="AV70" s="280">
        <f t="shared" ref="AV70:BI70" si="29">AV115</f>
        <v>0</v>
      </c>
      <c r="AW70" s="280">
        <f t="shared" si="29"/>
        <v>0</v>
      </c>
      <c r="AX70" s="280">
        <f t="shared" si="29"/>
        <v>0</v>
      </c>
      <c r="AY70" s="280">
        <f t="shared" si="29"/>
        <v>0</v>
      </c>
      <c r="AZ70" s="280">
        <f t="shared" si="29"/>
        <v>0</v>
      </c>
      <c r="BA70" s="280">
        <f t="shared" si="29"/>
        <v>0</v>
      </c>
      <c r="BB70" s="280">
        <f t="shared" si="29"/>
        <v>0</v>
      </c>
      <c r="BC70" s="280">
        <f t="shared" si="29"/>
        <v>0</v>
      </c>
      <c r="BD70" s="280">
        <f t="shared" si="29"/>
        <v>0</v>
      </c>
      <c r="BE70" s="280">
        <f t="shared" si="29"/>
        <v>0</v>
      </c>
      <c r="BF70" s="280">
        <f t="shared" si="29"/>
        <v>0</v>
      </c>
      <c r="BG70" s="280">
        <f t="shared" si="29"/>
        <v>0</v>
      </c>
      <c r="BH70" s="280">
        <f t="shared" si="29"/>
        <v>0</v>
      </c>
      <c r="BI70" s="280">
        <f t="shared" si="29"/>
        <v>0</v>
      </c>
      <c r="BN70" s="203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201" t="s">
        <v>508</v>
      </c>
      <c r="AU71" s="280">
        <f t="shared" si="28"/>
        <v>0</v>
      </c>
      <c r="AV71" s="280">
        <f t="shared" ref="AV71:BI71" si="30">AV116</f>
        <v>0</v>
      </c>
      <c r="AW71" s="280">
        <f t="shared" si="30"/>
        <v>0</v>
      </c>
      <c r="AX71" s="280">
        <f t="shared" si="30"/>
        <v>0</v>
      </c>
      <c r="AY71" s="280">
        <f t="shared" si="30"/>
        <v>0</v>
      </c>
      <c r="AZ71" s="280">
        <f t="shared" si="30"/>
        <v>0</v>
      </c>
      <c r="BA71" s="280">
        <f t="shared" si="30"/>
        <v>0</v>
      </c>
      <c r="BB71" s="280">
        <f t="shared" si="30"/>
        <v>0</v>
      </c>
      <c r="BC71" s="280">
        <f t="shared" si="30"/>
        <v>0</v>
      </c>
      <c r="BD71" s="280">
        <f t="shared" si="30"/>
        <v>0</v>
      </c>
      <c r="BE71" s="280">
        <f t="shared" si="30"/>
        <v>0</v>
      </c>
      <c r="BF71" s="280">
        <f t="shared" si="30"/>
        <v>0</v>
      </c>
      <c r="BG71" s="280">
        <f t="shared" si="30"/>
        <v>0</v>
      </c>
      <c r="BH71" s="280">
        <f t="shared" si="30"/>
        <v>0</v>
      </c>
      <c r="BI71" s="280">
        <f t="shared" si="30"/>
        <v>0</v>
      </c>
      <c r="BN71" s="203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203" t="s">
        <v>643</v>
      </c>
      <c r="AU72" s="280">
        <f t="shared" si="28"/>
        <v>0</v>
      </c>
      <c r="AV72" s="280">
        <f t="shared" ref="AV72:BI72" si="31">AV117</f>
        <v>0</v>
      </c>
      <c r="AW72" s="280">
        <f t="shared" si="31"/>
        <v>0</v>
      </c>
      <c r="AX72" s="280">
        <f t="shared" si="31"/>
        <v>0</v>
      </c>
      <c r="AY72" s="280">
        <f t="shared" si="31"/>
        <v>0</v>
      </c>
      <c r="AZ72" s="280">
        <f t="shared" si="31"/>
        <v>0</v>
      </c>
      <c r="BA72" s="280">
        <f t="shared" si="31"/>
        <v>0</v>
      </c>
      <c r="BB72" s="280">
        <f t="shared" si="31"/>
        <v>0</v>
      </c>
      <c r="BC72" s="280">
        <f t="shared" si="31"/>
        <v>0</v>
      </c>
      <c r="BD72" s="280">
        <f t="shared" si="31"/>
        <v>0</v>
      </c>
      <c r="BE72" s="280">
        <f t="shared" si="31"/>
        <v>0</v>
      </c>
      <c r="BF72" s="280">
        <f t="shared" si="31"/>
        <v>0</v>
      </c>
      <c r="BG72" s="280">
        <f t="shared" si="31"/>
        <v>4044220.3273382401</v>
      </c>
      <c r="BH72" s="280">
        <f t="shared" si="31"/>
        <v>0</v>
      </c>
      <c r="BI72" s="280">
        <f t="shared" si="31"/>
        <v>0</v>
      </c>
      <c r="BN72" s="203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203" t="s">
        <v>646</v>
      </c>
      <c r="AU73" s="280">
        <f t="shared" si="28"/>
        <v>0</v>
      </c>
      <c r="AV73" s="280">
        <f t="shared" ref="AV73" si="32">AV118</f>
        <v>0</v>
      </c>
      <c r="AW73" s="280">
        <f t="shared" ref="AW73" si="33">AW118</f>
        <v>0</v>
      </c>
      <c r="AX73" s="280">
        <f t="shared" ref="AX73" si="34">AX118</f>
        <v>0</v>
      </c>
      <c r="AY73" s="280">
        <f t="shared" ref="AY73" si="35">AY118</f>
        <v>0</v>
      </c>
      <c r="AZ73" s="280">
        <f t="shared" ref="AZ73" si="36">AZ118</f>
        <v>0</v>
      </c>
      <c r="BA73" s="280">
        <f t="shared" ref="BA73" si="37">BA118</f>
        <v>0</v>
      </c>
      <c r="BB73" s="280">
        <f t="shared" ref="BB73" si="38">BB118</f>
        <v>0</v>
      </c>
      <c r="BC73" s="280">
        <f t="shared" ref="BC73" si="39">BC118</f>
        <v>0</v>
      </c>
      <c r="BD73" s="280">
        <f t="shared" ref="BD73" si="40">BD118</f>
        <v>0</v>
      </c>
      <c r="BE73" s="280">
        <f t="shared" ref="BE73" si="41">BE118</f>
        <v>0</v>
      </c>
      <c r="BF73" s="280">
        <f t="shared" ref="BF73:BI73" si="42">BF118</f>
        <v>0</v>
      </c>
      <c r="BG73" s="280">
        <f t="shared" si="42"/>
        <v>0</v>
      </c>
      <c r="BH73" s="280">
        <f t="shared" si="42"/>
        <v>0</v>
      </c>
      <c r="BI73" s="280">
        <f t="shared" si="42"/>
        <v>2830954.2291367673</v>
      </c>
      <c r="BN73" s="203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203" t="s">
        <v>530</v>
      </c>
      <c r="AU74" s="280">
        <f t="shared" si="28"/>
        <v>0</v>
      </c>
      <c r="AV74" s="280">
        <f t="shared" ref="AV74:BI74" si="43">AV119</f>
        <v>0</v>
      </c>
      <c r="AW74" s="280">
        <f t="shared" si="43"/>
        <v>0</v>
      </c>
      <c r="AX74" s="280">
        <f t="shared" si="43"/>
        <v>0</v>
      </c>
      <c r="AY74" s="280">
        <f t="shared" si="43"/>
        <v>0</v>
      </c>
      <c r="AZ74" s="280">
        <f t="shared" si="43"/>
        <v>0</v>
      </c>
      <c r="BA74" s="280">
        <f t="shared" si="43"/>
        <v>0</v>
      </c>
      <c r="BB74" s="280">
        <f t="shared" si="43"/>
        <v>0</v>
      </c>
      <c r="BC74" s="280">
        <f t="shared" si="43"/>
        <v>0</v>
      </c>
      <c r="BD74" s="280">
        <f t="shared" si="43"/>
        <v>0</v>
      </c>
      <c r="BE74" s="280">
        <f t="shared" si="43"/>
        <v>0</v>
      </c>
      <c r="BF74" s="280">
        <f t="shared" si="43"/>
        <v>0</v>
      </c>
      <c r="BG74" s="280">
        <f t="shared" si="43"/>
        <v>0</v>
      </c>
      <c r="BH74" s="280">
        <f t="shared" si="43"/>
        <v>0</v>
      </c>
      <c r="BI74" s="280">
        <f t="shared" si="43"/>
        <v>6688312.3779436089</v>
      </c>
      <c r="BN74" s="203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203" t="s">
        <v>531</v>
      </c>
      <c r="AU75" s="280">
        <f t="shared" si="28"/>
        <v>0</v>
      </c>
      <c r="AV75" s="280">
        <f t="shared" ref="AV75:BI75" si="44">AV120</f>
        <v>0</v>
      </c>
      <c r="AW75" s="280">
        <f t="shared" si="44"/>
        <v>0</v>
      </c>
      <c r="AX75" s="280">
        <f t="shared" si="44"/>
        <v>0</v>
      </c>
      <c r="AY75" s="280">
        <f t="shared" si="44"/>
        <v>0</v>
      </c>
      <c r="AZ75" s="280">
        <f t="shared" si="44"/>
        <v>0</v>
      </c>
      <c r="BA75" s="280">
        <f t="shared" si="44"/>
        <v>0</v>
      </c>
      <c r="BB75" s="280">
        <f t="shared" si="44"/>
        <v>0</v>
      </c>
      <c r="BC75" s="280">
        <f t="shared" si="44"/>
        <v>0</v>
      </c>
      <c r="BD75" s="280">
        <f t="shared" si="44"/>
        <v>0</v>
      </c>
      <c r="BE75" s="280">
        <f t="shared" si="44"/>
        <v>0</v>
      </c>
      <c r="BF75" s="280">
        <f t="shared" si="44"/>
        <v>0</v>
      </c>
      <c r="BG75" s="280">
        <f t="shared" si="44"/>
        <v>0</v>
      </c>
      <c r="BH75" s="280">
        <f t="shared" si="44"/>
        <v>0</v>
      </c>
      <c r="BI75" s="280">
        <f t="shared" si="44"/>
        <v>0</v>
      </c>
      <c r="BN75" s="203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203" t="s">
        <v>532</v>
      </c>
      <c r="AU76" s="280">
        <f t="shared" si="28"/>
        <v>0</v>
      </c>
      <c r="AV76" s="280">
        <f t="shared" ref="AV76:BI76" si="45">AV121</f>
        <v>0</v>
      </c>
      <c r="AW76" s="280">
        <f t="shared" si="45"/>
        <v>0</v>
      </c>
      <c r="AX76" s="280">
        <f t="shared" si="45"/>
        <v>0</v>
      </c>
      <c r="AY76" s="280">
        <f t="shared" si="45"/>
        <v>0</v>
      </c>
      <c r="AZ76" s="280">
        <f t="shared" si="45"/>
        <v>0</v>
      </c>
      <c r="BA76" s="280">
        <f t="shared" si="45"/>
        <v>0</v>
      </c>
      <c r="BB76" s="280">
        <f t="shared" si="45"/>
        <v>0</v>
      </c>
      <c r="BC76" s="280">
        <f t="shared" si="45"/>
        <v>0</v>
      </c>
      <c r="BD76" s="280">
        <f t="shared" si="45"/>
        <v>0</v>
      </c>
      <c r="BE76" s="280">
        <f t="shared" si="45"/>
        <v>0</v>
      </c>
      <c r="BF76" s="280">
        <f t="shared" si="45"/>
        <v>0</v>
      </c>
      <c r="BG76" s="280">
        <f t="shared" si="45"/>
        <v>0</v>
      </c>
      <c r="BH76" s="280">
        <f t="shared" si="45"/>
        <v>0</v>
      </c>
      <c r="BI76" s="280">
        <f t="shared" si="45"/>
        <v>0</v>
      </c>
      <c r="BN76" s="203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203" t="s">
        <v>543</v>
      </c>
      <c r="AU77" s="280">
        <f t="shared" si="28"/>
        <v>0</v>
      </c>
      <c r="AV77" s="280">
        <f t="shared" ref="AV77:BI77" si="46">AV122</f>
        <v>0</v>
      </c>
      <c r="AW77" s="280">
        <f t="shared" si="46"/>
        <v>0</v>
      </c>
      <c r="AX77" s="280">
        <f t="shared" si="46"/>
        <v>0</v>
      </c>
      <c r="AY77" s="280">
        <f t="shared" si="46"/>
        <v>0</v>
      </c>
      <c r="AZ77" s="280">
        <f t="shared" si="46"/>
        <v>0</v>
      </c>
      <c r="BA77" s="280">
        <f t="shared" si="46"/>
        <v>0</v>
      </c>
      <c r="BB77" s="280">
        <f t="shared" si="46"/>
        <v>0</v>
      </c>
      <c r="BC77" s="280">
        <f t="shared" si="46"/>
        <v>0</v>
      </c>
      <c r="BD77" s="280">
        <f t="shared" si="46"/>
        <v>0</v>
      </c>
      <c r="BE77" s="280">
        <f t="shared" si="46"/>
        <v>0</v>
      </c>
      <c r="BF77" s="280">
        <f t="shared" si="46"/>
        <v>0</v>
      </c>
      <c r="BG77" s="280">
        <f t="shared" si="46"/>
        <v>0</v>
      </c>
      <c r="BH77" s="280">
        <f t="shared" si="46"/>
        <v>0</v>
      </c>
      <c r="BI77" s="280">
        <f t="shared" si="46"/>
        <v>0</v>
      </c>
      <c r="BN77" s="203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203"/>
      <c r="AU78" s="405" t="s">
        <v>558</v>
      </c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  <c r="BG78" s="405"/>
      <c r="BH78" s="405"/>
      <c r="BI78" s="405"/>
      <c r="BN78" s="203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203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203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203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203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203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203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56"/>
      <c r="AU86" s="204" t="s">
        <v>405</v>
      </c>
      <c r="AV86" s="204" t="s">
        <v>406</v>
      </c>
      <c r="AW86" s="204" t="s">
        <v>407</v>
      </c>
      <c r="AX86" s="204" t="s">
        <v>541</v>
      </c>
      <c r="AY86" s="204" t="s">
        <v>520</v>
      </c>
      <c r="AZ86" s="204" t="s">
        <v>519</v>
      </c>
      <c r="BA86" s="204" t="s">
        <v>432</v>
      </c>
      <c r="BB86" s="204" t="s">
        <v>429</v>
      </c>
      <c r="BC86" s="204" t="s">
        <v>444</v>
      </c>
      <c r="BD86" s="204" t="s">
        <v>430</v>
      </c>
      <c r="BE86" s="204" t="s">
        <v>425</v>
      </c>
      <c r="BF86" s="204" t="s">
        <v>642</v>
      </c>
      <c r="BG86" s="204" t="s">
        <v>645</v>
      </c>
      <c r="BH86" s="204" t="s">
        <v>81</v>
      </c>
      <c r="BI86" s="204" t="s">
        <v>417</v>
      </c>
      <c r="BN86" s="204"/>
      <c r="BO86" s="204" t="s">
        <v>411</v>
      </c>
      <c r="BP86" s="204" t="s">
        <v>353</v>
      </c>
    </row>
    <row r="87" spans="36:81" x14ac:dyDescent="0.2">
      <c r="AJ87" s="201"/>
      <c r="AK87" s="201"/>
      <c r="AT87" s="201" t="s">
        <v>413</v>
      </c>
      <c r="AU87" s="227">
        <f>Ore_to_PI!$V$42</f>
        <v>109233.7126431732</v>
      </c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27"/>
      <c r="BJ87" s="248">
        <f>SUM(AU87:BI87)</f>
        <v>109233.7126431732</v>
      </c>
      <c r="BN87" s="201" t="s">
        <v>413</v>
      </c>
      <c r="BO87" s="240"/>
      <c r="BP87" s="240"/>
      <c r="BQ87" s="248">
        <f>SUM(BO87:BP87)</f>
        <v>0</v>
      </c>
    </row>
    <row r="88" spans="36:81" x14ac:dyDescent="0.2">
      <c r="AJ88" s="201"/>
      <c r="AK88" s="201"/>
      <c r="AT88" s="201" t="s">
        <v>415</v>
      </c>
      <c r="AU88" s="227"/>
      <c r="AV88" s="227">
        <f>Ore_to_PI!$V$126</f>
        <v>25394.240916408646</v>
      </c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27"/>
      <c r="BH88" s="227"/>
      <c r="BI88" s="227"/>
      <c r="BJ88" s="248">
        <f>SUM(AU88:BI88)</f>
        <v>25394.240916408646</v>
      </c>
      <c r="BN88" s="201" t="s">
        <v>415</v>
      </c>
      <c r="BO88" s="240"/>
      <c r="BP88" s="240"/>
      <c r="BQ88" s="248">
        <f>SUM(BO88:BP88)</f>
        <v>0</v>
      </c>
    </row>
    <row r="89" spans="36:81" x14ac:dyDescent="0.2">
      <c r="AJ89" s="201"/>
      <c r="AK89" s="201"/>
      <c r="AT89" s="201" t="s">
        <v>416</v>
      </c>
      <c r="AU89" s="227"/>
      <c r="AV89" s="227"/>
      <c r="AW89" s="227">
        <f>Ore_to_PI!$V$206</f>
        <v>8851059.7091535721</v>
      </c>
      <c r="AX89" s="227"/>
      <c r="AY89" s="227"/>
      <c r="AZ89" s="227"/>
      <c r="BA89" s="227"/>
      <c r="BB89" s="227"/>
      <c r="BC89" s="227"/>
      <c r="BD89" s="227"/>
      <c r="BE89" s="227"/>
      <c r="BF89" s="227"/>
      <c r="BG89" s="227"/>
      <c r="BH89" s="227"/>
      <c r="BI89" s="227"/>
      <c r="BJ89" s="248">
        <f t="shared" ref="BJ89:BJ122" si="47">SUM(AU89:BI89)</f>
        <v>8851059.7091535721</v>
      </c>
      <c r="BN89" s="201" t="s">
        <v>416</v>
      </c>
      <c r="BO89" s="240"/>
      <c r="BP89" s="240"/>
      <c r="BQ89" s="248">
        <f>SUM(BO89:BP89)</f>
        <v>0</v>
      </c>
    </row>
    <row r="90" spans="36:81" x14ac:dyDescent="0.2">
      <c r="AJ90" s="201"/>
      <c r="AK90" s="201"/>
      <c r="AT90" s="201" t="s">
        <v>436</v>
      </c>
      <c r="AU90" s="227">
        <f>Ore_to_PI!V72</f>
        <v>236.0188688118763</v>
      </c>
      <c r="AV90" s="227">
        <f>Ore_to_PI!V163</f>
        <v>0.70761030268572533</v>
      </c>
      <c r="AW90" s="227">
        <f>Ore_to_PI!V236</f>
        <v>58.434372046010559</v>
      </c>
      <c r="AX90" s="227"/>
      <c r="AY90" s="227"/>
      <c r="AZ90" s="227"/>
      <c r="BA90" s="227"/>
      <c r="BB90" s="227"/>
      <c r="BC90" s="227"/>
      <c r="BD90" s="227">
        <f>Ore_to_PI!CB140</f>
        <v>2787379.6921424987</v>
      </c>
      <c r="BE90" s="227">
        <f>Ore_to_PI!CB232</f>
        <v>27357.025657382623</v>
      </c>
      <c r="BF90" s="227"/>
      <c r="BG90" s="227"/>
      <c r="BH90" s="227"/>
      <c r="BI90" s="239">
        <f>Ore_to_PI!EM140</f>
        <v>22325.965032153523</v>
      </c>
      <c r="BJ90" s="248">
        <f t="shared" si="47"/>
        <v>2837357.8436831953</v>
      </c>
      <c r="BN90" s="201" t="s">
        <v>436</v>
      </c>
      <c r="BO90" s="240"/>
      <c r="BP90" s="240"/>
      <c r="BQ90" s="248">
        <f t="shared" ref="BQ90:BQ94" si="48">SUM(BO90:BP90)</f>
        <v>0</v>
      </c>
    </row>
    <row r="91" spans="36:81" x14ac:dyDescent="0.2">
      <c r="AJ91" s="201"/>
      <c r="AK91" s="201"/>
      <c r="AM91" s="201"/>
      <c r="AT91" s="201" t="s">
        <v>459</v>
      </c>
      <c r="AU91" s="227"/>
      <c r="AV91" s="227"/>
      <c r="AW91" s="227"/>
      <c r="AX91" s="227"/>
      <c r="AY91" s="227"/>
      <c r="AZ91" s="227"/>
      <c r="BA91" s="227"/>
      <c r="BB91" s="227"/>
      <c r="BC91" s="227"/>
      <c r="BD91" s="227">
        <f>Ore_to_PI!CB152</f>
        <v>1078370532.5161049</v>
      </c>
      <c r="BE91" s="227">
        <f>Ore_to_PI!CB244</f>
        <v>10583778.883576756</v>
      </c>
      <c r="BF91" s="227"/>
      <c r="BG91" s="227"/>
      <c r="BH91" s="227"/>
      <c r="BI91" s="227">
        <f>Ore_to_PI!EM114</f>
        <v>2329445.3092260091</v>
      </c>
      <c r="BJ91" s="248">
        <f t="shared" si="47"/>
        <v>1091283756.7089078</v>
      </c>
      <c r="BN91" s="201" t="s">
        <v>459</v>
      </c>
      <c r="BO91" s="240"/>
      <c r="BP91" s="240"/>
      <c r="BQ91" s="248">
        <f t="shared" si="48"/>
        <v>0</v>
      </c>
    </row>
    <row r="92" spans="36:81" x14ac:dyDescent="0.2">
      <c r="AJ92" s="201"/>
      <c r="AK92" s="201"/>
      <c r="AM92" s="201"/>
      <c r="AT92" s="201" t="s">
        <v>552</v>
      </c>
      <c r="AU92" s="227">
        <f>Ore_to_PI!V59</f>
        <v>94146.207140653787</v>
      </c>
      <c r="AV92" s="227">
        <f>Ore_to_PI!V140</f>
        <v>257.99399332425372</v>
      </c>
      <c r="AW92" s="227">
        <f>Ore_to_PI!V222</f>
        <v>23309.045257575242</v>
      </c>
      <c r="AX92" s="227"/>
      <c r="AY92" s="227"/>
      <c r="AZ92" s="227"/>
      <c r="BA92" s="227"/>
      <c r="BB92" s="227"/>
      <c r="BC92" s="227"/>
      <c r="BD92" s="227"/>
      <c r="BE92" s="227"/>
      <c r="BF92" s="227"/>
      <c r="BG92" s="227"/>
      <c r="BH92" s="227"/>
      <c r="BI92" s="227"/>
      <c r="BJ92" s="248">
        <f t="shared" si="47"/>
        <v>117713.24639155329</v>
      </c>
      <c r="BN92" s="201" t="s">
        <v>552</v>
      </c>
      <c r="BO92" s="240"/>
      <c r="BP92" s="240"/>
      <c r="BQ92" s="248">
        <f t="shared" si="48"/>
        <v>0</v>
      </c>
    </row>
    <row r="93" spans="36:81" x14ac:dyDescent="0.2">
      <c r="AJ93" s="201"/>
      <c r="AK93" s="201"/>
      <c r="AM93" s="201"/>
      <c r="AT93" s="201" t="s">
        <v>553</v>
      </c>
      <c r="AU93" s="227"/>
      <c r="AV93" s="227">
        <f>Ore_to_PI!V151</f>
        <v>24.076233417548465</v>
      </c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27"/>
      <c r="BH93" s="227"/>
      <c r="BI93" s="227"/>
      <c r="BJ93" s="248">
        <f t="shared" si="47"/>
        <v>24.076233417548465</v>
      </c>
      <c r="BN93" s="201" t="s">
        <v>553</v>
      </c>
      <c r="BO93" s="240"/>
      <c r="BP93" s="240"/>
      <c r="BQ93" s="248">
        <f t="shared" si="48"/>
        <v>0</v>
      </c>
    </row>
    <row r="94" spans="36:81" x14ac:dyDescent="0.2">
      <c r="AJ94" s="201"/>
      <c r="AK94" s="201"/>
      <c r="AM94" s="201"/>
      <c r="AT94" s="201" t="s">
        <v>496</v>
      </c>
      <c r="AU94" s="227"/>
      <c r="AV94" s="227"/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27"/>
      <c r="BH94" s="227"/>
      <c r="BI94" s="227">
        <f>Ore_to_PI!EM101</f>
        <v>29112.263489807588</v>
      </c>
      <c r="BJ94" s="248">
        <f t="shared" si="47"/>
        <v>29112.263489807588</v>
      </c>
      <c r="BN94" s="201" t="s">
        <v>496</v>
      </c>
      <c r="BO94" s="240"/>
      <c r="BP94" s="240"/>
      <c r="BQ94" s="248">
        <f t="shared" si="48"/>
        <v>0</v>
      </c>
    </row>
    <row r="95" spans="36:81" x14ac:dyDescent="0.2">
      <c r="AJ95" s="201"/>
      <c r="AK95" s="201"/>
      <c r="AM95" s="201"/>
      <c r="AT95" s="201" t="s">
        <v>545</v>
      </c>
      <c r="AU95" s="227"/>
      <c r="AV95" s="227"/>
      <c r="AW95" s="227">
        <f>Ore_to_PI!AC195</f>
        <v>80616.370239891301</v>
      </c>
      <c r="AX95" s="227">
        <f>Ore_to_PI!AU28</f>
        <v>609792.2517593482</v>
      </c>
      <c r="AY95" s="227">
        <f>Ore_to_PI!AU113</f>
        <v>2824.8856477449194</v>
      </c>
      <c r="AZ95" s="227">
        <f>Ore_to_PI!AU190</f>
        <v>282.1287710315147</v>
      </c>
      <c r="BA95" s="227">
        <f>Ore_to_PI!BN35</f>
        <v>12626.098826338684</v>
      </c>
      <c r="BB95" s="227">
        <f>Ore_to_PI!BM116</f>
        <v>34.678095164114971</v>
      </c>
      <c r="BC95" s="227">
        <f>Ore_to_PI!BM195</f>
        <v>50.358084153937838</v>
      </c>
      <c r="BD95" s="227"/>
      <c r="BE95" s="227"/>
      <c r="BF95" s="227">
        <f>Ore_to_PI!DD229</f>
        <v>33191.859393697465</v>
      </c>
      <c r="BG95" s="227"/>
      <c r="BH95" s="227"/>
      <c r="BI95" s="227">
        <f>Ore_to_PI!EU117</f>
        <v>318930.1042317453</v>
      </c>
      <c r="BJ95" s="248">
        <f t="shared" si="47"/>
        <v>1058348.7350491155</v>
      </c>
      <c r="BN95" s="201" t="s">
        <v>545</v>
      </c>
      <c r="BO95" s="240"/>
      <c r="BP95" s="240"/>
      <c r="BQ95" s="248">
        <f t="shared" ref="BQ95:BQ101" si="49">SUM(BO95:BP95)</f>
        <v>0</v>
      </c>
    </row>
    <row r="96" spans="36:81" ht="16" x14ac:dyDescent="0.2">
      <c r="AJ96" s="242"/>
      <c r="AK96" s="242"/>
      <c r="AT96" s="202" t="s">
        <v>527</v>
      </c>
      <c r="AU96" s="227"/>
      <c r="AV96" s="227"/>
      <c r="AW96" s="227"/>
      <c r="AX96" s="227">
        <f>Ore_to_PI!$AO$42</f>
        <v>109233.7126431732</v>
      </c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27"/>
      <c r="BJ96" s="248">
        <f t="shared" si="47"/>
        <v>109233.7126431732</v>
      </c>
      <c r="BN96" s="202" t="s">
        <v>527</v>
      </c>
      <c r="BO96" s="240"/>
      <c r="BP96" s="240"/>
      <c r="BQ96" s="248">
        <f t="shared" si="49"/>
        <v>0</v>
      </c>
    </row>
    <row r="97" spans="36:74" ht="16" x14ac:dyDescent="0.2">
      <c r="AJ97" s="202"/>
      <c r="AK97" s="202"/>
      <c r="AT97" s="201" t="s">
        <v>494</v>
      </c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27"/>
      <c r="BH97" s="227"/>
      <c r="BI97" s="227"/>
      <c r="BJ97" s="248">
        <f t="shared" si="47"/>
        <v>0</v>
      </c>
      <c r="BN97" s="201" t="s">
        <v>494</v>
      </c>
      <c r="BO97" s="240"/>
      <c r="BP97" s="240">
        <f>Ore_to_PI!AO63</f>
        <v>2418.6577581793781</v>
      </c>
      <c r="BQ97" s="248">
        <f t="shared" si="49"/>
        <v>2418.6577581793781</v>
      </c>
    </row>
    <row r="98" spans="36:74" ht="16" x14ac:dyDescent="0.2">
      <c r="AJ98" s="203"/>
      <c r="AK98" s="203"/>
      <c r="AT98" s="202" t="s">
        <v>497</v>
      </c>
      <c r="AU98" s="227"/>
      <c r="AV98" s="227"/>
      <c r="AW98" s="227"/>
      <c r="AX98" s="227"/>
      <c r="AY98" s="227">
        <f>Ore_to_PI!$AP$126</f>
        <v>25394.240916408646</v>
      </c>
      <c r="AZ98" s="227"/>
      <c r="BA98" s="227"/>
      <c r="BB98" s="227"/>
      <c r="BC98" s="227"/>
      <c r="BD98" s="227"/>
      <c r="BE98" s="227"/>
      <c r="BF98" s="227"/>
      <c r="BG98" s="227"/>
      <c r="BH98" s="227"/>
      <c r="BI98" s="227"/>
      <c r="BJ98" s="248">
        <f t="shared" si="47"/>
        <v>25394.240916408646</v>
      </c>
      <c r="BN98" s="202" t="s">
        <v>497</v>
      </c>
      <c r="BO98" s="240"/>
      <c r="BP98" s="244"/>
      <c r="BQ98" s="248">
        <f t="shared" si="49"/>
        <v>0</v>
      </c>
    </row>
    <row r="99" spans="36:74" x14ac:dyDescent="0.2">
      <c r="AJ99" s="203"/>
      <c r="AK99" s="203"/>
      <c r="AT99" s="201" t="s">
        <v>522</v>
      </c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39"/>
      <c r="BI99" s="227"/>
      <c r="BJ99" s="248">
        <f t="shared" si="47"/>
        <v>0</v>
      </c>
      <c r="BN99" s="201" t="s">
        <v>522</v>
      </c>
      <c r="BO99" s="240"/>
      <c r="BP99" s="240">
        <f>Ore_to_PI!AP142</f>
        <v>7.2399197950896488</v>
      </c>
      <c r="BQ99" s="248">
        <f t="shared" si="49"/>
        <v>7.2399197950896488</v>
      </c>
    </row>
    <row r="100" spans="36:74" x14ac:dyDescent="0.2">
      <c r="AJ100" s="203"/>
      <c r="AK100" s="203"/>
      <c r="AT100" s="203" t="s">
        <v>515</v>
      </c>
      <c r="AU100" s="227"/>
      <c r="AV100" s="227"/>
      <c r="AW100" s="227"/>
      <c r="AX100" s="227"/>
      <c r="AY100" s="227"/>
      <c r="AZ100" s="227">
        <f>Ore_to_PI!$AP$206</f>
        <v>8856308.1430966556</v>
      </c>
      <c r="BA100" s="227"/>
      <c r="BB100" s="227"/>
      <c r="BC100" s="227"/>
      <c r="BD100" s="227"/>
      <c r="BE100" s="227"/>
      <c r="BF100" s="227"/>
      <c r="BG100" s="227"/>
      <c r="BH100" s="227"/>
      <c r="BI100" s="239"/>
      <c r="BJ100" s="248">
        <f t="shared" si="47"/>
        <v>8856308.1430966556</v>
      </c>
      <c r="BN100" s="203" t="s">
        <v>515</v>
      </c>
      <c r="BO100" s="240"/>
      <c r="BP100" s="240"/>
      <c r="BQ100" s="248">
        <f t="shared" si="49"/>
        <v>0</v>
      </c>
    </row>
    <row r="101" spans="36:74" x14ac:dyDescent="0.2">
      <c r="AJ101" s="203"/>
      <c r="AK101" s="203"/>
      <c r="AT101" s="201" t="s">
        <v>501</v>
      </c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/>
      <c r="BF101" s="227"/>
      <c r="BG101" s="227"/>
      <c r="BH101" s="227"/>
      <c r="BI101" s="227"/>
      <c r="BJ101" s="248">
        <f t="shared" si="47"/>
        <v>0</v>
      </c>
      <c r="BN101" s="201" t="s">
        <v>501</v>
      </c>
      <c r="BO101" s="240"/>
      <c r="BP101" s="240">
        <f>Ore_to_PI!AP227</f>
        <v>598.81969608995871</v>
      </c>
      <c r="BQ101" s="248">
        <f t="shared" si="49"/>
        <v>598.81969608995871</v>
      </c>
      <c r="BR101" s="25"/>
      <c r="BS101" s="25"/>
      <c r="BT101" s="25"/>
      <c r="BU101" s="25"/>
      <c r="BV101" s="25"/>
    </row>
    <row r="102" spans="36:74" ht="16" x14ac:dyDescent="0.2">
      <c r="AJ102" s="203"/>
      <c r="AK102" s="203"/>
      <c r="AT102" s="202" t="s">
        <v>526</v>
      </c>
      <c r="AU102" s="227"/>
      <c r="AV102" s="227"/>
      <c r="AW102" s="227"/>
      <c r="AX102" s="227"/>
      <c r="AY102" s="227"/>
      <c r="AZ102" s="227"/>
      <c r="BA102" s="227">
        <f>Ore_to_PI!$BH$42</f>
        <v>109233.7126431732</v>
      </c>
      <c r="BB102" s="227"/>
      <c r="BC102" s="227"/>
      <c r="BD102" s="227"/>
      <c r="BE102" s="227"/>
      <c r="BF102" s="227"/>
      <c r="BG102" s="227"/>
      <c r="BH102" s="227"/>
      <c r="BI102" s="227"/>
      <c r="BJ102" s="248">
        <f t="shared" si="47"/>
        <v>109233.7126431732</v>
      </c>
      <c r="BN102" s="202" t="s">
        <v>526</v>
      </c>
      <c r="BO102" s="240"/>
      <c r="BP102" s="240"/>
      <c r="BQ102" s="248">
        <f t="shared" ref="BQ102:BQ122" si="50">SUM(BO102:BP102)</f>
        <v>0</v>
      </c>
    </row>
    <row r="103" spans="36:74" ht="16" x14ac:dyDescent="0.2">
      <c r="AJ103" s="203"/>
      <c r="AK103" s="203"/>
      <c r="AT103" s="202" t="s">
        <v>521</v>
      </c>
      <c r="AU103" s="227"/>
      <c r="AV103" s="227"/>
      <c r="AW103" s="227"/>
      <c r="AX103" s="227"/>
      <c r="AY103" s="227"/>
      <c r="AZ103" s="227"/>
      <c r="BA103" s="227"/>
      <c r="BB103" s="227">
        <f>Ore_to_PI!$BI$126</f>
        <v>25394.240916408646</v>
      </c>
      <c r="BC103" s="227"/>
      <c r="BD103" s="227"/>
      <c r="BE103" s="227"/>
      <c r="BF103" s="227"/>
      <c r="BG103" s="227"/>
      <c r="BH103" s="227"/>
      <c r="BI103" s="227"/>
      <c r="BJ103" s="248">
        <f t="shared" si="47"/>
        <v>25394.240916408646</v>
      </c>
      <c r="BN103" s="202" t="s">
        <v>521</v>
      </c>
      <c r="BO103" s="240"/>
      <c r="BP103" s="240"/>
      <c r="BQ103" s="248">
        <f t="shared" si="50"/>
        <v>0</v>
      </c>
    </row>
    <row r="104" spans="36:74" ht="16" x14ac:dyDescent="0.2">
      <c r="AJ104" s="203"/>
      <c r="AK104" s="203"/>
      <c r="AT104" s="202" t="s">
        <v>518</v>
      </c>
      <c r="AU104" s="227"/>
      <c r="AV104" s="227"/>
      <c r="AW104" s="227"/>
      <c r="AX104" s="227"/>
      <c r="AY104" s="227"/>
      <c r="AZ104" s="227"/>
      <c r="BA104" s="227"/>
      <c r="BB104" s="227"/>
      <c r="BC104" s="227">
        <f>Ore_to_PI!$BI$206</f>
        <v>8856308.1430966556</v>
      </c>
      <c r="BD104" s="227"/>
      <c r="BE104" s="227"/>
      <c r="BF104" s="227"/>
      <c r="BG104" s="227"/>
      <c r="BH104" s="227"/>
      <c r="BI104" s="227"/>
      <c r="BJ104" s="248">
        <f t="shared" si="47"/>
        <v>8856308.1430966556</v>
      </c>
      <c r="BN104" s="202" t="s">
        <v>518</v>
      </c>
      <c r="BO104" s="240"/>
      <c r="BP104" s="240"/>
      <c r="BQ104" s="248">
        <f t="shared" si="50"/>
        <v>0</v>
      </c>
    </row>
    <row r="105" spans="36:74" ht="16" x14ac:dyDescent="0.2">
      <c r="AJ105" s="249"/>
      <c r="AK105" s="249"/>
      <c r="AT105" s="202" t="s">
        <v>524</v>
      </c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27"/>
      <c r="BG105" s="227"/>
      <c r="BH105" s="227">
        <f>Ore_to_PI!CA42</f>
        <v>88965.799815334409</v>
      </c>
      <c r="BI105" s="227"/>
      <c r="BJ105" s="248">
        <f t="shared" si="47"/>
        <v>88965.799815334409</v>
      </c>
      <c r="BN105" s="202" t="s">
        <v>524</v>
      </c>
      <c r="BO105" s="240"/>
      <c r="BP105" s="240"/>
      <c r="BQ105" s="248">
        <f t="shared" si="50"/>
        <v>0</v>
      </c>
    </row>
    <row r="106" spans="36:74" x14ac:dyDescent="0.2">
      <c r="AJ106" s="203"/>
      <c r="AK106" s="203"/>
      <c r="AT106" s="203" t="s">
        <v>523</v>
      </c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27"/>
      <c r="BG106" s="227"/>
      <c r="BH106" s="227"/>
      <c r="BI106" s="239"/>
      <c r="BJ106" s="248">
        <f t="shared" si="47"/>
        <v>0</v>
      </c>
      <c r="BK106" s="25"/>
      <c r="BL106" s="25"/>
      <c r="BN106" s="203" t="s">
        <v>523</v>
      </c>
      <c r="BO106" s="240"/>
      <c r="BP106" s="240">
        <f>Ore_to_PI!CA55</f>
        <v>21743.416787545681</v>
      </c>
      <c r="BQ106" s="248">
        <f t="shared" si="50"/>
        <v>21743.416787545681</v>
      </c>
    </row>
    <row r="107" spans="36:74" x14ac:dyDescent="0.2">
      <c r="AJ107" s="203"/>
      <c r="AK107" s="203"/>
      <c r="AT107" s="203" t="s">
        <v>509</v>
      </c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>
        <f>Ore_to_PI!$CB$126</f>
        <v>25394.240916408646</v>
      </c>
      <c r="BE107" s="227"/>
      <c r="BF107" s="227"/>
      <c r="BG107" s="227"/>
      <c r="BH107" s="227"/>
      <c r="BI107" s="227"/>
      <c r="BJ107" s="248">
        <f t="shared" si="47"/>
        <v>25394.240916408646</v>
      </c>
      <c r="BN107" s="203" t="s">
        <v>509</v>
      </c>
      <c r="BO107" s="240"/>
      <c r="BP107" s="240"/>
      <c r="BQ107" s="248">
        <f t="shared" si="50"/>
        <v>0</v>
      </c>
    </row>
    <row r="108" spans="36:74" x14ac:dyDescent="0.2">
      <c r="AJ108" s="203"/>
      <c r="AK108" s="203"/>
      <c r="AT108" s="203" t="s">
        <v>542</v>
      </c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Ore_to_PI!$CB$206</f>
        <v>8856308.1430966556</v>
      </c>
      <c r="BF108" s="227"/>
      <c r="BG108" s="227"/>
      <c r="BH108" s="227"/>
      <c r="BI108" s="227"/>
      <c r="BJ108" s="248">
        <f t="shared" si="47"/>
        <v>8856308.1430966556</v>
      </c>
      <c r="BN108" s="203" t="s">
        <v>542</v>
      </c>
      <c r="BO108" s="240"/>
      <c r="BP108" s="240"/>
      <c r="BQ108" s="248">
        <f t="shared" si="50"/>
        <v>0</v>
      </c>
    </row>
    <row r="109" spans="36:74" x14ac:dyDescent="0.2">
      <c r="AJ109" s="203"/>
      <c r="AK109" s="203"/>
      <c r="AT109" s="203" t="s">
        <v>510</v>
      </c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  <c r="BH109" s="227">
        <f>Ore_to_PI!$CW$126</f>
        <v>242016.07607977447</v>
      </c>
      <c r="BI109" s="227"/>
      <c r="BJ109" s="248">
        <f t="shared" si="47"/>
        <v>242016.07607977447</v>
      </c>
      <c r="BN109" s="203" t="s">
        <v>510</v>
      </c>
      <c r="BO109" s="240"/>
      <c r="BP109" s="240"/>
      <c r="BQ109" s="248">
        <f t="shared" si="50"/>
        <v>0</v>
      </c>
    </row>
    <row r="110" spans="36:74" x14ac:dyDescent="0.2">
      <c r="AJ110" s="203"/>
      <c r="AK110" s="203"/>
      <c r="AT110" s="203" t="s">
        <v>512</v>
      </c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/>
      <c r="BH110" s="227"/>
      <c r="BI110" s="239"/>
      <c r="BJ110" s="248">
        <f t="shared" si="47"/>
        <v>0</v>
      </c>
      <c r="BN110" s="203" t="s">
        <v>512</v>
      </c>
      <c r="BO110" s="240"/>
      <c r="BP110" s="240">
        <f>Ore_to_PI!CW114</f>
        <v>7739.2511800711582</v>
      </c>
      <c r="BQ110" s="248">
        <f t="shared" si="50"/>
        <v>7739.2511800711582</v>
      </c>
    </row>
    <row r="111" spans="36:74" x14ac:dyDescent="0.2">
      <c r="AJ111" s="203"/>
      <c r="AK111" s="203"/>
      <c r="AT111" s="203" t="s">
        <v>511</v>
      </c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27"/>
      <c r="BH111" s="227"/>
      <c r="BI111" s="227"/>
      <c r="BJ111" s="248">
        <f t="shared" si="47"/>
        <v>0</v>
      </c>
      <c r="BN111" s="203" t="s">
        <v>511</v>
      </c>
      <c r="BO111" s="240"/>
      <c r="BP111" s="240">
        <f>Ore_to_PI!CW138</f>
        <v>33179125.659109436</v>
      </c>
      <c r="BQ111" s="248">
        <f t="shared" si="50"/>
        <v>33179125.659109436</v>
      </c>
    </row>
    <row r="112" spans="36:74" x14ac:dyDescent="0.2">
      <c r="AJ112" s="203"/>
      <c r="AK112" s="203"/>
      <c r="AT112" s="203" t="s">
        <v>607</v>
      </c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27"/>
      <c r="BH112" s="227">
        <f>Ore_to_PI!$CW$206</f>
        <v>6408288.6211381694</v>
      </c>
      <c r="BI112" s="227"/>
      <c r="BJ112" s="248">
        <f t="shared" si="47"/>
        <v>6408288.6211381694</v>
      </c>
      <c r="BN112" s="203" t="s">
        <v>607</v>
      </c>
      <c r="BO112" s="240"/>
      <c r="BP112" s="240"/>
      <c r="BQ112" s="248">
        <f t="shared" si="50"/>
        <v>0</v>
      </c>
    </row>
    <row r="113" spans="5:69" ht="16" x14ac:dyDescent="0.2">
      <c r="AJ113" s="203"/>
      <c r="AK113" s="203"/>
      <c r="AT113" s="249" t="s">
        <v>507</v>
      </c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27">
        <f>Ore_to_PI!$CW$234</f>
        <v>4027024.8231933108</v>
      </c>
      <c r="BG113" s="227"/>
      <c r="BH113" s="227"/>
      <c r="BI113" s="227"/>
      <c r="BJ113" s="248">
        <f t="shared" si="47"/>
        <v>4027024.8231933108</v>
      </c>
      <c r="BN113" s="249" t="s">
        <v>507</v>
      </c>
      <c r="BO113" s="240"/>
      <c r="BP113" s="240"/>
      <c r="BQ113" s="248">
        <f t="shared" si="50"/>
        <v>0</v>
      </c>
    </row>
    <row r="114" spans="5:69" ht="16" x14ac:dyDescent="0.2">
      <c r="AJ114" s="203"/>
      <c r="AK114" s="203"/>
      <c r="AT114" s="249" t="s">
        <v>684</v>
      </c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27"/>
      <c r="BG114" s="227"/>
      <c r="BH114" s="227"/>
      <c r="BI114" s="227"/>
      <c r="BJ114" s="248">
        <f t="shared" si="47"/>
        <v>0</v>
      </c>
      <c r="BN114" s="249" t="s">
        <v>684</v>
      </c>
      <c r="BO114" s="240"/>
      <c r="BP114" s="240">
        <f>Ore_to_PI!CW267</f>
        <v>955653.18009036488</v>
      </c>
      <c r="BQ114" s="248">
        <f t="shared" si="50"/>
        <v>955653.18009036488</v>
      </c>
    </row>
    <row r="115" spans="5:69" x14ac:dyDescent="0.2">
      <c r="AJ115" s="203"/>
      <c r="AK115" s="203"/>
      <c r="AT115" s="203" t="s">
        <v>506</v>
      </c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27"/>
      <c r="BG115" s="227"/>
      <c r="BH115" s="227"/>
      <c r="BI115" s="227"/>
      <c r="BJ115" s="248">
        <f t="shared" si="47"/>
        <v>0</v>
      </c>
      <c r="BN115" s="203" t="s">
        <v>506</v>
      </c>
      <c r="BO115" s="240"/>
      <c r="BP115" s="240">
        <f>Ore_to_PI!CW218</f>
        <v>9078.7224010297414</v>
      </c>
      <c r="BQ115" s="248">
        <f t="shared" si="50"/>
        <v>9078.7224010297414</v>
      </c>
    </row>
    <row r="116" spans="5:69" x14ac:dyDescent="0.2">
      <c r="AJ116" s="203"/>
      <c r="AK116" s="203"/>
      <c r="AT116" s="201" t="s">
        <v>508</v>
      </c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27"/>
      <c r="BH116" s="227"/>
      <c r="BI116" s="227"/>
      <c r="BJ116" s="248">
        <f t="shared" si="47"/>
        <v>0</v>
      </c>
      <c r="BN116" s="201" t="s">
        <v>508</v>
      </c>
      <c r="BO116" s="240"/>
      <c r="BP116" s="240">
        <f>Ore_to_PI!CW251</f>
        <v>325339.45293214149</v>
      </c>
      <c r="BQ116" s="248">
        <f t="shared" si="50"/>
        <v>325339.45293214149</v>
      </c>
    </row>
    <row r="117" spans="5:69" x14ac:dyDescent="0.2">
      <c r="AJ117" s="203"/>
      <c r="AK117" s="203"/>
      <c r="AT117" s="203" t="s">
        <v>643</v>
      </c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27">
        <f>Ore_to_PI!$DQ$233</f>
        <v>4044220.3273382401</v>
      </c>
      <c r="BH117" s="227"/>
      <c r="BI117" s="239"/>
      <c r="BJ117" s="248">
        <f t="shared" si="47"/>
        <v>4044220.3273382401</v>
      </c>
      <c r="BN117" s="203" t="s">
        <v>643</v>
      </c>
      <c r="BO117" s="240"/>
      <c r="BP117" s="240"/>
      <c r="BQ117" s="248">
        <f t="shared" si="50"/>
        <v>0</v>
      </c>
    </row>
    <row r="118" spans="5:69" x14ac:dyDescent="0.2">
      <c r="AJ118" s="203"/>
      <c r="AK118" s="203"/>
      <c r="AT118" s="203" t="s">
        <v>646</v>
      </c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>
        <f>Ore_to_PI!$CB$225</f>
        <v>0</v>
      </c>
      <c r="BF118" s="227"/>
      <c r="BG118" s="227"/>
      <c r="BH118" s="227"/>
      <c r="BI118" s="239">
        <f>Ore_to_PI!$EM$152</f>
        <v>2830954.2291367673</v>
      </c>
      <c r="BJ118" s="248">
        <f t="shared" si="47"/>
        <v>2830954.2291367673</v>
      </c>
      <c r="BN118" s="203" t="s">
        <v>644</v>
      </c>
      <c r="BO118" s="240">
        <f>Ore_to_PI!$FG$233</f>
        <v>1213266.0982014721</v>
      </c>
      <c r="BP118" s="240"/>
      <c r="BQ118" s="248">
        <f t="shared" si="50"/>
        <v>1213266.0982014721</v>
      </c>
    </row>
    <row r="119" spans="5:69" x14ac:dyDescent="0.2">
      <c r="AJ119" s="203"/>
      <c r="AK119" s="203"/>
      <c r="AT119" s="203" t="s">
        <v>530</v>
      </c>
      <c r="AU119" s="227"/>
      <c r="AV119" s="227"/>
      <c r="AW119" s="227"/>
      <c r="AX119" s="227"/>
      <c r="AY119" s="227"/>
      <c r="AZ119" s="227"/>
      <c r="BA119" s="227"/>
      <c r="BB119" s="227"/>
      <c r="BC119" s="227"/>
      <c r="BD119" s="227"/>
      <c r="BE119" s="227"/>
      <c r="BF119" s="227"/>
      <c r="BG119" s="227"/>
      <c r="BH119" s="227"/>
      <c r="BI119" s="239">
        <f>Ore_to_PI!EM126</f>
        <v>6688312.3779436089</v>
      </c>
      <c r="BJ119" s="248">
        <f t="shared" si="47"/>
        <v>6688312.3779436089</v>
      </c>
      <c r="BN119" s="203" t="s">
        <v>530</v>
      </c>
      <c r="BO119" s="240"/>
      <c r="BP119" s="240"/>
      <c r="BQ119" s="248">
        <f t="shared" si="50"/>
        <v>0</v>
      </c>
    </row>
    <row r="120" spans="5:69" x14ac:dyDescent="0.2">
      <c r="AJ120" s="203"/>
      <c r="AK120" s="203"/>
      <c r="AT120" s="203" t="s">
        <v>531</v>
      </c>
      <c r="AU120" s="227"/>
      <c r="AV120" s="227"/>
      <c r="AW120" s="227"/>
      <c r="AX120" s="227"/>
      <c r="AY120" s="227"/>
      <c r="AZ120" s="227"/>
      <c r="BA120" s="227"/>
      <c r="BB120" s="227"/>
      <c r="BC120" s="227"/>
      <c r="BD120" s="227"/>
      <c r="BE120" s="227"/>
      <c r="BF120" s="227"/>
      <c r="BG120" s="227"/>
      <c r="BH120" s="227"/>
      <c r="BI120" s="227"/>
      <c r="BJ120" s="248">
        <f t="shared" si="47"/>
        <v>0</v>
      </c>
      <c r="BN120" s="203" t="s">
        <v>531</v>
      </c>
      <c r="BO120" s="240">
        <f>Ore_to_PI!FM126</f>
        <v>4157895.2984628798</v>
      </c>
      <c r="BP120" s="240"/>
      <c r="BQ120" s="248">
        <f t="shared" si="50"/>
        <v>4157895.2984628798</v>
      </c>
    </row>
    <row r="121" spans="5:69" x14ac:dyDescent="0.2">
      <c r="AJ121" s="203"/>
      <c r="AK121" s="203"/>
      <c r="AT121" s="203" t="s">
        <v>532</v>
      </c>
      <c r="AU121" s="227"/>
      <c r="AV121" s="227"/>
      <c r="AW121" s="227"/>
      <c r="AX121" s="227"/>
      <c r="AY121" s="227"/>
      <c r="AZ121" s="227"/>
      <c r="BA121" s="227"/>
      <c r="BB121" s="227"/>
      <c r="BC121" s="227"/>
      <c r="BD121" s="227"/>
      <c r="BE121" s="227"/>
      <c r="BF121" s="227"/>
      <c r="BG121" s="227"/>
      <c r="BH121" s="227"/>
      <c r="BI121" s="227"/>
      <c r="BJ121" s="248">
        <f t="shared" si="47"/>
        <v>0</v>
      </c>
      <c r="BN121" s="203" t="s">
        <v>532</v>
      </c>
      <c r="BO121" s="240"/>
      <c r="BP121" s="240">
        <f>Ore_to_PI!FM141</f>
        <v>424855.37186650094</v>
      </c>
      <c r="BQ121" s="248">
        <f t="shared" si="50"/>
        <v>424855.37186650094</v>
      </c>
    </row>
    <row r="122" spans="5:69" x14ac:dyDescent="0.2">
      <c r="AJ122" s="203"/>
      <c r="AK122" s="203"/>
      <c r="AT122" s="203" t="s">
        <v>543</v>
      </c>
      <c r="AU122" s="227"/>
      <c r="AV122" s="227"/>
      <c r="AW122" s="227"/>
      <c r="AX122" s="227"/>
      <c r="AY122" s="227"/>
      <c r="AZ122" s="227"/>
      <c r="BA122" s="227"/>
      <c r="BB122" s="227"/>
      <c r="BC122" s="227"/>
      <c r="BD122" s="227"/>
      <c r="BE122" s="227"/>
      <c r="BF122" s="227"/>
      <c r="BG122" s="227"/>
      <c r="BH122" s="227"/>
      <c r="BI122" s="227"/>
      <c r="BJ122" s="248">
        <f t="shared" si="47"/>
        <v>0</v>
      </c>
      <c r="BN122" s="203" t="s">
        <v>543</v>
      </c>
      <c r="BO122" s="240"/>
      <c r="BP122" s="240">
        <f>Ore_to_PI!FM104</f>
        <v>67875.356217847453</v>
      </c>
      <c r="BQ122" s="248">
        <f t="shared" si="50"/>
        <v>67875.356217847453</v>
      </c>
    </row>
    <row r="123" spans="5:69" x14ac:dyDescent="0.2">
      <c r="AJ123" s="203"/>
      <c r="AK123" s="203"/>
      <c r="AT123" s="203"/>
      <c r="AU123" s="405" t="s">
        <v>408</v>
      </c>
      <c r="AV123" s="405"/>
      <c r="AW123" s="405"/>
      <c r="AX123" s="405"/>
      <c r="AY123" s="405"/>
      <c r="AZ123" s="405"/>
      <c r="BA123" s="405"/>
      <c r="BB123" s="405"/>
      <c r="BC123" s="405"/>
      <c r="BD123" s="405"/>
      <c r="BE123" s="405"/>
      <c r="BF123" s="405"/>
      <c r="BG123" s="405"/>
      <c r="BH123" s="405"/>
      <c r="BI123" s="405"/>
      <c r="BJ123" s="25" t="s">
        <v>451</v>
      </c>
      <c r="BO123" s="405" t="s">
        <v>410</v>
      </c>
      <c r="BP123" s="405"/>
      <c r="BQ123" s="25" t="s">
        <v>463</v>
      </c>
    </row>
    <row r="124" spans="5:69" x14ac:dyDescent="0.2">
      <c r="AJ124" s="203"/>
      <c r="AK124" s="203"/>
      <c r="AT124" s="203"/>
      <c r="AU124" s="248">
        <f>SUM(AU87:AU122)</f>
        <v>203615.93865263887</v>
      </c>
      <c r="AV124" s="248">
        <f>SUM(AV87:AV122)</f>
        <v>25677.018753453132</v>
      </c>
      <c r="AW124" s="248">
        <f>SUM(AW87:AW122)</f>
        <v>8955043.5590230841</v>
      </c>
      <c r="AX124" s="248">
        <f t="shared" ref="AX124:BI124" si="51">SUM(AX87:AX122)</f>
        <v>719025.96440252138</v>
      </c>
      <c r="AY124" s="248">
        <f t="shared" si="51"/>
        <v>28219.126564153565</v>
      </c>
      <c r="AZ124" s="248">
        <f t="shared" si="51"/>
        <v>8856590.2718676869</v>
      </c>
      <c r="BA124" s="248">
        <f t="shared" si="51"/>
        <v>121859.81146951189</v>
      </c>
      <c r="BB124" s="248">
        <f t="shared" si="51"/>
        <v>25428.919011572762</v>
      </c>
      <c r="BC124" s="248">
        <f t="shared" si="51"/>
        <v>8856358.501180809</v>
      </c>
      <c r="BD124" s="248">
        <f t="shared" si="51"/>
        <v>1081183306.4491639</v>
      </c>
      <c r="BE124" s="248">
        <f t="shared" si="51"/>
        <v>19467444.052330792</v>
      </c>
      <c r="BF124" s="248">
        <f t="shared" si="51"/>
        <v>4060216.682587008</v>
      </c>
      <c r="BG124" s="248">
        <f t="shared" si="51"/>
        <v>4044220.3273382401</v>
      </c>
      <c r="BH124" s="248">
        <f t="shared" si="51"/>
        <v>6739270.4970332785</v>
      </c>
      <c r="BI124" s="248">
        <f t="shared" si="51"/>
        <v>12219080.249060091</v>
      </c>
      <c r="BO124" s="25"/>
      <c r="BP124" s="25"/>
    </row>
    <row r="125" spans="5:69" ht="13" customHeight="1" x14ac:dyDescent="0.2">
      <c r="F125" s="406"/>
      <c r="G125" s="406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03"/>
      <c r="AK125" s="203"/>
      <c r="AL125" s="230"/>
      <c r="AM125" s="230"/>
      <c r="AN125" s="230"/>
      <c r="AO125" s="230"/>
      <c r="AP125" s="230"/>
      <c r="AQ125" s="230"/>
      <c r="AR125" s="230"/>
      <c r="AU125" s="405" t="s">
        <v>450</v>
      </c>
      <c r="AV125" s="405"/>
      <c r="AW125" s="405"/>
      <c r="AX125" s="405"/>
      <c r="AY125" s="405"/>
      <c r="AZ125" s="405"/>
      <c r="BA125" s="405"/>
      <c r="BB125" s="405"/>
      <c r="BC125" s="405"/>
      <c r="BD125" s="405"/>
      <c r="BE125" s="405"/>
      <c r="BF125" s="405"/>
      <c r="BG125" s="405"/>
      <c r="BH125" s="405"/>
      <c r="BI125" s="405"/>
      <c r="BO125" s="25"/>
      <c r="BP125" s="25"/>
    </row>
    <row r="126" spans="5:69" ht="236" x14ac:dyDescent="0.2">
      <c r="E126" s="236"/>
      <c r="F126" s="204" t="s">
        <v>413</v>
      </c>
      <c r="G126" s="204" t="s">
        <v>415</v>
      </c>
      <c r="H126" s="204" t="s">
        <v>416</v>
      </c>
      <c r="I126" s="204" t="s">
        <v>436</v>
      </c>
      <c r="J126" s="204" t="s">
        <v>459</v>
      </c>
      <c r="K126" s="204" t="s">
        <v>552</v>
      </c>
      <c r="L126" s="204" t="s">
        <v>553</v>
      </c>
      <c r="M126" s="204" t="s">
        <v>496</v>
      </c>
      <c r="N126" s="204" t="s">
        <v>545</v>
      </c>
      <c r="O126" s="206" t="s">
        <v>527</v>
      </c>
      <c r="P126" s="204" t="s">
        <v>494</v>
      </c>
      <c r="Q126" s="206" t="s">
        <v>497</v>
      </c>
      <c r="R126" s="204" t="s">
        <v>522</v>
      </c>
      <c r="S126" s="207" t="s">
        <v>515</v>
      </c>
      <c r="T126" s="204" t="s">
        <v>501</v>
      </c>
      <c r="U126" s="206" t="s">
        <v>526</v>
      </c>
      <c r="V126" s="206" t="s">
        <v>521</v>
      </c>
      <c r="W126" s="206" t="s">
        <v>518</v>
      </c>
      <c r="X126" s="206" t="s">
        <v>524</v>
      </c>
      <c r="Y126" s="207" t="s">
        <v>523</v>
      </c>
      <c r="Z126" s="207" t="s">
        <v>509</v>
      </c>
      <c r="AA126" s="207" t="s">
        <v>542</v>
      </c>
      <c r="AB126" s="207" t="s">
        <v>510</v>
      </c>
      <c r="AC126" s="207" t="s">
        <v>512</v>
      </c>
      <c r="AD126" s="207" t="s">
        <v>511</v>
      </c>
      <c r="AE126" s="207" t="s">
        <v>607</v>
      </c>
      <c r="AF126" s="229" t="s">
        <v>507</v>
      </c>
      <c r="AG126" s="229" t="s">
        <v>684</v>
      </c>
      <c r="AH126" s="207" t="s">
        <v>506</v>
      </c>
      <c r="AI126" s="204" t="s">
        <v>508</v>
      </c>
      <c r="AJ126" s="207" t="s">
        <v>643</v>
      </c>
      <c r="AK126" s="207" t="s">
        <v>646</v>
      </c>
      <c r="AL126" s="207" t="s">
        <v>530</v>
      </c>
      <c r="AM126" s="207" t="s">
        <v>531</v>
      </c>
      <c r="AN126" s="207" t="s">
        <v>532</v>
      </c>
      <c r="AO126" s="207" t="s">
        <v>543</v>
      </c>
    </row>
    <row r="127" spans="5:69" x14ac:dyDescent="0.2">
      <c r="E127" s="201" t="s">
        <v>405</v>
      </c>
      <c r="F127" s="227"/>
      <c r="G127" s="227"/>
      <c r="H127" s="227"/>
      <c r="I127" s="227"/>
      <c r="J127" s="227"/>
      <c r="K127" s="227"/>
      <c r="L127" s="227"/>
      <c r="M127" s="227"/>
      <c r="N127" s="227"/>
      <c r="O127" s="227">
        <f>Ore_to_PI!AO42</f>
        <v>109233.7126431732</v>
      </c>
      <c r="P127" s="227">
        <f>Ore_to_PI!AO63</f>
        <v>2418.6577581793781</v>
      </c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27"/>
      <c r="AP127" s="248">
        <f>SUM(F127:AO127)</f>
        <v>111652.37040135259</v>
      </c>
    </row>
    <row r="128" spans="5:69" x14ac:dyDescent="0.2">
      <c r="E128" s="201" t="s">
        <v>406</v>
      </c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>
        <f>Ore_to_PI!AP126</f>
        <v>25394.240916408646</v>
      </c>
      <c r="R128" s="227">
        <f>Ore_to_PI!AP142</f>
        <v>7.2399197950896488</v>
      </c>
      <c r="S128" s="227"/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27"/>
      <c r="AP128" s="248">
        <f>SUM(F128:AO128)</f>
        <v>25401.480836203737</v>
      </c>
    </row>
    <row r="129" spans="5:68" x14ac:dyDescent="0.2">
      <c r="E129" s="201" t="s">
        <v>407</v>
      </c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>
        <f>Ore_to_PI!AP206</f>
        <v>8856308.1430966556</v>
      </c>
      <c r="T129" s="227">
        <f>Ore_to_PI!AP227</f>
        <v>598.81969608995871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27"/>
      <c r="AP129" s="248">
        <f t="shared" ref="AP129:AP141" si="52">SUM(F129:AO129)</f>
        <v>8856906.9627927449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201" t="s">
        <v>541</v>
      </c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Ore_to_PI!BH42</f>
        <v>109233.7126431732</v>
      </c>
      <c r="V130" s="227"/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27"/>
      <c r="AP130" s="248">
        <f t="shared" si="52"/>
        <v>109233.7126431732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201" t="s">
        <v>520</v>
      </c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>
        <f>Ore_to_PI!BI126</f>
        <v>25394.240916408646</v>
      </c>
      <c r="W131" s="227"/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27"/>
      <c r="AP131" s="248">
        <f t="shared" si="52"/>
        <v>25394.240916408646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201" t="s">
        <v>519</v>
      </c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>
        <f>Ore_to_PI!BI206</f>
        <v>8856308.1430966556</v>
      </c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27"/>
      <c r="AP132" s="248">
        <f t="shared" si="52"/>
        <v>8856308.1430966556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201" t="s">
        <v>432</v>
      </c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>
        <f>Ore_to_PI!CA42</f>
        <v>88965.799815334409</v>
      </c>
      <c r="Y133" s="227">
        <f>Ore_to_PI!CA55</f>
        <v>21743.416787545681</v>
      </c>
      <c r="Z133" s="227"/>
      <c r="AA133" s="227"/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48">
        <f t="shared" si="52"/>
        <v>110709.21660288009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201" t="s">
        <v>429</v>
      </c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>
        <f>Ore_to_PI!CB126</f>
        <v>25394.240916408646</v>
      </c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48">
        <f t="shared" si="52"/>
        <v>25394.240916408646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201" t="s">
        <v>444</v>
      </c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>
        <f>Ore_to_PI!CB206</f>
        <v>8856308.1430966556</v>
      </c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  <c r="AN135" s="227"/>
      <c r="AO135" s="227"/>
      <c r="AP135" s="248">
        <f t="shared" si="52"/>
        <v>8856308.1430966556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201" t="s">
        <v>430</v>
      </c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>
        <f>Ore_to_PI!CW126</f>
        <v>242016.07607977447</v>
      </c>
      <c r="AC136" s="227">
        <f>Ore_to_PI!CW114</f>
        <v>7739.2511800711582</v>
      </c>
      <c r="AD136" s="227">
        <f>Ore_to_PI!CW138</f>
        <v>33179125.659109436</v>
      </c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48">
        <f t="shared" si="52"/>
        <v>33428880.986369282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201" t="s">
        <v>425</v>
      </c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>
        <f>Ore_to_PI!CW206</f>
        <v>6408288.6211381694</v>
      </c>
      <c r="AF137" s="227">
        <f>Ore_to_PI!CW234</f>
        <v>4027024.8231933108</v>
      </c>
      <c r="AG137" s="227">
        <f>Ore_to_PI!CW267</f>
        <v>955653.18009036488</v>
      </c>
      <c r="AH137" s="227">
        <f>Ore_to_PI!CW218</f>
        <v>9078.7224010297414</v>
      </c>
      <c r="AI137" s="227">
        <f>Ore_to_PI!CW251</f>
        <v>325339.45293214149</v>
      </c>
      <c r="AJ137" s="227"/>
      <c r="AK137" s="227"/>
      <c r="AL137" s="227"/>
      <c r="AM137" s="227"/>
      <c r="AN137" s="227"/>
      <c r="AO137" s="227"/>
      <c r="AP137" s="248">
        <f t="shared" si="52"/>
        <v>11725384.799755016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201" t="s">
        <v>642</v>
      </c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Ore_to_PI!DQ233</f>
        <v>4044220.3273382401</v>
      </c>
      <c r="AK138" s="227"/>
      <c r="AL138" s="227"/>
      <c r="AM138" s="227"/>
      <c r="AN138" s="227"/>
      <c r="AO138" s="227"/>
      <c r="AP138" s="248">
        <f t="shared" si="52"/>
        <v>4044220.3273382401</v>
      </c>
    </row>
    <row r="139" spans="5:68" x14ac:dyDescent="0.2">
      <c r="E139" s="201" t="s">
        <v>645</v>
      </c>
      <c r="F139" s="227"/>
      <c r="G139" s="227"/>
      <c r="H139" s="227"/>
      <c r="I139" s="227"/>
      <c r="J139" s="227"/>
      <c r="K139" s="227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>
        <f>Ore_to_PI!$EL$233</f>
        <v>4044220.3273382401</v>
      </c>
      <c r="AL139" s="227"/>
      <c r="AM139" s="227"/>
      <c r="AN139" s="227"/>
      <c r="AO139" s="227"/>
      <c r="AP139" s="248">
        <f t="shared" si="52"/>
        <v>4044220.3273382401</v>
      </c>
    </row>
    <row r="140" spans="5:68" x14ac:dyDescent="0.2">
      <c r="E140" s="201" t="s">
        <v>81</v>
      </c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27"/>
      <c r="AI140" s="239"/>
      <c r="AJ140" s="227"/>
      <c r="AK140" s="227"/>
      <c r="AL140" s="239">
        <f>Ore_to_PI!EM126</f>
        <v>6688312.3779436089</v>
      </c>
      <c r="AM140" s="227"/>
      <c r="AN140" s="227"/>
      <c r="AO140" s="227"/>
      <c r="AP140" s="248">
        <f t="shared" si="52"/>
        <v>6688312.3779436089</v>
      </c>
    </row>
    <row r="141" spans="5:68" x14ac:dyDescent="0.2">
      <c r="E141" s="201" t="s">
        <v>417</v>
      </c>
      <c r="F141" s="227"/>
      <c r="G141" s="227"/>
      <c r="H141" s="227"/>
      <c r="I141" s="239"/>
      <c r="J141" s="227"/>
      <c r="K141" s="227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27"/>
      <c r="AB141" s="227"/>
      <c r="AC141" s="227"/>
      <c r="AD141" s="243"/>
      <c r="AE141" s="227"/>
      <c r="AF141" s="227"/>
      <c r="AG141" s="227"/>
      <c r="AH141" s="227"/>
      <c r="AI141" s="227"/>
      <c r="AJ141" s="227"/>
      <c r="AK141" s="227"/>
      <c r="AL141" s="227"/>
      <c r="AM141" s="227">
        <f>Ore_to_PI!FM126</f>
        <v>4157895.2984628798</v>
      </c>
      <c r="AN141" s="227">
        <f>Ore_to_PI!FM141</f>
        <v>424855.37186650094</v>
      </c>
      <c r="AO141" s="227">
        <f>Ore_to_PI!FM104</f>
        <v>67875.356217847453</v>
      </c>
      <c r="AP141" s="248">
        <f t="shared" si="52"/>
        <v>4650626.026547228</v>
      </c>
    </row>
    <row r="142" spans="5:68" x14ac:dyDescent="0.2">
      <c r="E142" s="201"/>
      <c r="F142" s="405" t="s">
        <v>409</v>
      </c>
      <c r="G142" s="405"/>
      <c r="H142" s="405"/>
      <c r="I142" s="405"/>
      <c r="J142" s="405"/>
      <c r="K142" s="405"/>
      <c r="L142" s="405"/>
      <c r="M142" s="405"/>
      <c r="N142" s="405"/>
      <c r="O142" s="405"/>
      <c r="P142" s="405"/>
      <c r="Q142" s="405"/>
      <c r="R142" s="405"/>
      <c r="S142" s="405"/>
      <c r="T142" s="405"/>
      <c r="U142" s="405"/>
      <c r="V142" s="405"/>
      <c r="W142" s="405"/>
      <c r="X142" s="405"/>
      <c r="Y142" s="405"/>
      <c r="Z142" s="405"/>
      <c r="AA142" s="405"/>
      <c r="AB142" s="405"/>
      <c r="AC142" s="405"/>
      <c r="AD142" s="405"/>
      <c r="AE142" s="405"/>
      <c r="AF142" s="405"/>
      <c r="AG142" s="405"/>
      <c r="AH142" s="405"/>
      <c r="AI142" s="405"/>
      <c r="AJ142" s="405"/>
      <c r="AK142" s="405"/>
      <c r="AL142" s="405"/>
      <c r="AM142" s="405"/>
      <c r="AN142" s="405"/>
      <c r="AO142" s="405"/>
      <c r="AP142" s="25" t="s">
        <v>447</v>
      </c>
      <c r="AQ142" s="25"/>
    </row>
    <row r="143" spans="5:68" x14ac:dyDescent="0.2">
      <c r="E143" s="201"/>
      <c r="F143" s="248">
        <f t="shared" ref="F143:AO143" si="53">SUM(F127:F141)</f>
        <v>0</v>
      </c>
      <c r="G143" s="248">
        <f t="shared" si="53"/>
        <v>0</v>
      </c>
      <c r="H143" s="248">
        <f t="shared" si="53"/>
        <v>0</v>
      </c>
      <c r="I143" s="248">
        <f t="shared" si="53"/>
        <v>0</v>
      </c>
      <c r="J143" s="248">
        <f t="shared" si="53"/>
        <v>0</v>
      </c>
      <c r="K143" s="248">
        <f t="shared" si="53"/>
        <v>0</v>
      </c>
      <c r="L143" s="248">
        <f t="shared" si="53"/>
        <v>0</v>
      </c>
      <c r="M143" s="248">
        <f t="shared" si="53"/>
        <v>0</v>
      </c>
      <c r="N143" s="248">
        <f t="shared" si="53"/>
        <v>0</v>
      </c>
      <c r="O143" s="248">
        <f t="shared" si="53"/>
        <v>109233.7126431732</v>
      </c>
      <c r="P143" s="248">
        <f t="shared" si="53"/>
        <v>2418.6577581793781</v>
      </c>
      <c r="Q143" s="248">
        <f t="shared" si="53"/>
        <v>25394.240916408646</v>
      </c>
      <c r="R143" s="248">
        <f t="shared" si="53"/>
        <v>7.2399197950896488</v>
      </c>
      <c r="S143" s="248">
        <f t="shared" si="53"/>
        <v>8856308.1430966556</v>
      </c>
      <c r="T143" s="248">
        <f t="shared" si="53"/>
        <v>598.81969608995871</v>
      </c>
      <c r="U143" s="248">
        <f t="shared" si="53"/>
        <v>109233.7126431732</v>
      </c>
      <c r="V143" s="248">
        <f t="shared" si="53"/>
        <v>25394.240916408646</v>
      </c>
      <c r="W143" s="248">
        <f t="shared" si="53"/>
        <v>8856308.1430966556</v>
      </c>
      <c r="X143" s="248">
        <f t="shared" si="53"/>
        <v>88965.799815334409</v>
      </c>
      <c r="Y143" s="248">
        <f t="shared" si="53"/>
        <v>21743.416787545681</v>
      </c>
      <c r="Z143" s="248">
        <f t="shared" si="53"/>
        <v>25394.240916408646</v>
      </c>
      <c r="AA143" s="248">
        <f t="shared" si="53"/>
        <v>8856308.1430966556</v>
      </c>
      <c r="AB143" s="248">
        <f t="shared" si="53"/>
        <v>242016.07607977447</v>
      </c>
      <c r="AC143" s="248">
        <f t="shared" si="53"/>
        <v>7739.2511800711582</v>
      </c>
      <c r="AD143" s="248">
        <f t="shared" si="53"/>
        <v>33179125.659109436</v>
      </c>
      <c r="AE143" s="248">
        <f t="shared" si="53"/>
        <v>6408288.6211381694</v>
      </c>
      <c r="AF143" s="248">
        <f t="shared" si="53"/>
        <v>4027024.8231933108</v>
      </c>
      <c r="AG143" s="248">
        <f t="shared" si="53"/>
        <v>955653.18009036488</v>
      </c>
      <c r="AH143" s="248">
        <f t="shared" si="53"/>
        <v>9078.7224010297414</v>
      </c>
      <c r="AI143" s="248">
        <f t="shared" si="53"/>
        <v>325339.45293214149</v>
      </c>
      <c r="AJ143" s="248">
        <f t="shared" si="53"/>
        <v>4044220.3273382401</v>
      </c>
      <c r="AK143" s="248">
        <f t="shared" si="53"/>
        <v>4044220.3273382401</v>
      </c>
      <c r="AL143" s="248">
        <f t="shared" si="53"/>
        <v>6688312.3779436089</v>
      </c>
      <c r="AM143" s="248">
        <f t="shared" si="53"/>
        <v>4157895.2984628798</v>
      </c>
      <c r="AN143" s="248">
        <f t="shared" si="53"/>
        <v>424855.37186650094</v>
      </c>
      <c r="AO143" s="248">
        <f t="shared" si="53"/>
        <v>67875.356217847453</v>
      </c>
    </row>
    <row r="144" spans="5:68" x14ac:dyDescent="0.2">
      <c r="E144" s="201"/>
      <c r="F144" s="405" t="s">
        <v>448</v>
      </c>
      <c r="G144" s="405"/>
      <c r="H144" s="405"/>
      <c r="I144" s="405"/>
      <c r="J144" s="405"/>
      <c r="K144" s="405"/>
      <c r="L144" s="405"/>
      <c r="M144" s="405"/>
      <c r="N144" s="405"/>
      <c r="O144" s="405"/>
      <c r="P144" s="405"/>
      <c r="Q144" s="405"/>
      <c r="R144" s="405"/>
      <c r="S144" s="405"/>
      <c r="T144" s="405"/>
      <c r="U144" s="405"/>
      <c r="V144" s="405"/>
      <c r="W144" s="405"/>
      <c r="X144" s="405"/>
      <c r="Y144" s="405"/>
      <c r="Z144" s="405"/>
      <c r="AA144" s="405"/>
      <c r="AB144" s="405"/>
      <c r="AC144" s="405"/>
      <c r="AD144" s="405"/>
      <c r="AE144" s="405"/>
      <c r="AF144" s="405"/>
      <c r="AG144" s="405"/>
      <c r="AH144" s="405"/>
      <c r="AI144" s="405"/>
      <c r="AJ144" s="405"/>
      <c r="AK144" s="405"/>
      <c r="AL144" s="405"/>
      <c r="AM144" s="405"/>
      <c r="AN144" s="405"/>
      <c r="AO144" s="405"/>
    </row>
    <row r="145" spans="5:43" x14ac:dyDescent="0.2">
      <c r="E145" s="201"/>
    </row>
    <row r="146" spans="5:43" x14ac:dyDescent="0.2">
      <c r="E146" s="201"/>
    </row>
    <row r="147" spans="5:43" x14ac:dyDescent="0.2">
      <c r="E147" s="201"/>
    </row>
    <row r="148" spans="5:43" x14ac:dyDescent="0.2">
      <c r="E148" s="201"/>
    </row>
    <row r="149" spans="5:43" x14ac:dyDescent="0.2">
      <c r="E149" s="201"/>
    </row>
    <row r="150" spans="5:43" x14ac:dyDescent="0.2">
      <c r="E150" s="201"/>
    </row>
    <row r="151" spans="5:43" x14ac:dyDescent="0.2">
      <c r="E151" s="201"/>
    </row>
    <row r="152" spans="5:43" x14ac:dyDescent="0.2">
      <c r="E152" s="201"/>
    </row>
    <row r="153" spans="5:43" x14ac:dyDescent="0.2">
      <c r="E153" s="201"/>
    </row>
    <row r="154" spans="5:43" x14ac:dyDescent="0.2">
      <c r="E154" s="201"/>
    </row>
    <row r="155" spans="5:43" ht="236" x14ac:dyDescent="0.2">
      <c r="E155" s="201"/>
      <c r="F155" s="204" t="s">
        <v>413</v>
      </c>
      <c r="G155" s="204" t="s">
        <v>415</v>
      </c>
      <c r="H155" s="204" t="s">
        <v>416</v>
      </c>
      <c r="I155" s="204" t="s">
        <v>436</v>
      </c>
      <c r="J155" s="204" t="s">
        <v>459</v>
      </c>
      <c r="K155" s="204" t="s">
        <v>552</v>
      </c>
      <c r="L155" s="204" t="s">
        <v>553</v>
      </c>
      <c r="M155" s="204" t="s">
        <v>496</v>
      </c>
      <c r="N155" s="204" t="s">
        <v>545</v>
      </c>
      <c r="O155" s="206" t="s">
        <v>527</v>
      </c>
      <c r="P155" s="204" t="s">
        <v>494</v>
      </c>
      <c r="Q155" s="206" t="s">
        <v>497</v>
      </c>
      <c r="R155" s="204" t="s">
        <v>522</v>
      </c>
      <c r="S155" s="207" t="s">
        <v>515</v>
      </c>
      <c r="T155" s="204" t="s">
        <v>501</v>
      </c>
      <c r="U155" s="206" t="s">
        <v>526</v>
      </c>
      <c r="V155" s="206" t="s">
        <v>521</v>
      </c>
      <c r="W155" s="206" t="s">
        <v>518</v>
      </c>
      <c r="X155" s="206" t="s">
        <v>524</v>
      </c>
      <c r="Y155" s="207" t="s">
        <v>523</v>
      </c>
      <c r="Z155" s="207" t="s">
        <v>509</v>
      </c>
      <c r="AA155" s="207" t="s">
        <v>542</v>
      </c>
      <c r="AB155" s="207" t="s">
        <v>510</v>
      </c>
      <c r="AC155" s="207" t="s">
        <v>512</v>
      </c>
      <c r="AD155" s="207" t="s">
        <v>511</v>
      </c>
      <c r="AE155" s="207" t="s">
        <v>607</v>
      </c>
      <c r="AF155" s="229" t="s">
        <v>507</v>
      </c>
      <c r="AG155" s="229" t="s">
        <v>684</v>
      </c>
      <c r="AH155" s="207" t="s">
        <v>506</v>
      </c>
      <c r="AI155" s="204" t="s">
        <v>508</v>
      </c>
      <c r="AJ155" s="207" t="s">
        <v>643</v>
      </c>
      <c r="AK155" s="207" t="s">
        <v>646</v>
      </c>
      <c r="AL155" s="207" t="s">
        <v>530</v>
      </c>
      <c r="AM155" s="207" t="s">
        <v>531</v>
      </c>
      <c r="AN155" s="207" t="s">
        <v>532</v>
      </c>
      <c r="AO155" s="207" t="s">
        <v>543</v>
      </c>
      <c r="AP155" s="207"/>
      <c r="AQ155" s="207"/>
    </row>
    <row r="156" spans="5:43" x14ac:dyDescent="0.2">
      <c r="E156" s="201" t="s">
        <v>412</v>
      </c>
      <c r="F156" s="240">
        <f>Ore_to_PI!V42</f>
        <v>109233.7126431732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x14ac:dyDescent="0.2">
      <c r="E157" s="202" t="s">
        <v>414</v>
      </c>
      <c r="F157" s="240"/>
      <c r="G157" s="240">
        <f>Ore_to_PI!V126</f>
        <v>25394.240916408646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03" t="s">
        <v>437</v>
      </c>
      <c r="F158" s="240"/>
      <c r="G158" s="240"/>
      <c r="H158" s="240">
        <f>Ore_to_PI!V206</f>
        <v>8851059.7091535721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201" t="s">
        <v>462</v>
      </c>
      <c r="F159" s="240"/>
      <c r="G159" s="240"/>
      <c r="H159" s="240"/>
      <c r="I159" s="246">
        <f>Ore_to_PI!V236+Ore_to_PI!V163+Ore_to_PI!V72+Ore_to_PI!CB232+Ore_to_PI!CB140+Ore_to_PI!EM140</f>
        <v>2837357.8436831953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201" t="s">
        <v>458</v>
      </c>
      <c r="F160" s="240"/>
      <c r="G160" s="240"/>
      <c r="H160" s="240"/>
      <c r="I160" s="240"/>
      <c r="J160" s="240">
        <f>Ore_to_PI!EM114+Ore_to_PI!CB152+Ore_to_PI!CB244</f>
        <v>1091283756.7089078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201" t="s">
        <v>555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29"/>
    </row>
    <row r="162" spans="5:47" x14ac:dyDescent="0.2">
      <c r="E162" s="201" t="s">
        <v>554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201" t="s">
        <v>495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201" t="s">
        <v>544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405" t="s">
        <v>57</v>
      </c>
      <c r="G165" s="405"/>
      <c r="H165" s="405"/>
      <c r="I165" s="405"/>
      <c r="J165" s="405"/>
      <c r="K165" s="405"/>
      <c r="L165" s="405"/>
      <c r="M165" s="405"/>
      <c r="N165" s="405"/>
      <c r="O165" s="405"/>
      <c r="P165" s="405"/>
      <c r="Q165" s="405"/>
      <c r="R165" s="405"/>
      <c r="S165" s="405"/>
      <c r="T165" s="405"/>
      <c r="U165" s="405"/>
      <c r="V165" s="405"/>
      <c r="W165" s="405"/>
      <c r="X165" s="405"/>
      <c r="Y165" s="405"/>
      <c r="Z165" s="405"/>
      <c r="AA165" s="405"/>
      <c r="AB165" s="405"/>
      <c r="AC165" s="405"/>
      <c r="AD165" s="405"/>
      <c r="AE165" s="405"/>
      <c r="AF165" s="405"/>
      <c r="AG165" s="405"/>
      <c r="AH165" s="405"/>
      <c r="AI165" s="405"/>
      <c r="AJ165" s="405"/>
      <c r="AK165" s="405"/>
      <c r="AL165" s="405"/>
      <c r="AM165" s="405"/>
      <c r="AN165" s="405"/>
      <c r="AO165" s="405"/>
      <c r="AP165" s="25"/>
      <c r="AQ165" s="25"/>
    </row>
    <row r="166" spans="5:47" x14ac:dyDescent="0.2">
      <c r="F166" s="248">
        <f t="shared" ref="F166:AO166" si="54">SUM(F156:F164)</f>
        <v>109233.7126431732</v>
      </c>
      <c r="G166" s="248">
        <f t="shared" si="54"/>
        <v>25394.240916408646</v>
      </c>
      <c r="H166" s="248">
        <f t="shared" si="54"/>
        <v>8851059.7091535721</v>
      </c>
      <c r="I166" s="248">
        <f t="shared" si="54"/>
        <v>2837357.8436831953</v>
      </c>
      <c r="J166" s="248">
        <f t="shared" si="54"/>
        <v>1091283756.7089078</v>
      </c>
      <c r="K166" s="248">
        <f t="shared" si="54"/>
        <v>117713.24639155329</v>
      </c>
      <c r="L166" s="248">
        <f t="shared" si="54"/>
        <v>24.076233417548465</v>
      </c>
      <c r="M166" s="248">
        <f t="shared" si="54"/>
        <v>29112.263489807588</v>
      </c>
      <c r="N166" s="248">
        <f t="shared" si="54"/>
        <v>1058348.7350491155</v>
      </c>
      <c r="O166" s="248">
        <f t="shared" si="54"/>
        <v>0</v>
      </c>
      <c r="P166" s="248">
        <f t="shared" si="54"/>
        <v>0</v>
      </c>
      <c r="Q166" s="248">
        <f t="shared" si="54"/>
        <v>0</v>
      </c>
      <c r="R166" s="248">
        <f t="shared" si="54"/>
        <v>0</v>
      </c>
      <c r="S166" s="248">
        <f t="shared" si="54"/>
        <v>0</v>
      </c>
      <c r="T166" s="248">
        <f t="shared" si="54"/>
        <v>0</v>
      </c>
      <c r="U166" s="248">
        <f t="shared" si="54"/>
        <v>0</v>
      </c>
      <c r="V166" s="248">
        <f t="shared" si="54"/>
        <v>0</v>
      </c>
      <c r="W166" s="248">
        <f t="shared" si="54"/>
        <v>0</v>
      </c>
      <c r="X166" s="248">
        <f t="shared" si="54"/>
        <v>0</v>
      </c>
      <c r="Y166" s="248">
        <f t="shared" si="54"/>
        <v>0</v>
      </c>
      <c r="Z166" s="248">
        <f t="shared" si="54"/>
        <v>0</v>
      </c>
      <c r="AA166" s="248">
        <f t="shared" si="54"/>
        <v>0</v>
      </c>
      <c r="AB166" s="248">
        <f t="shared" si="54"/>
        <v>0</v>
      </c>
      <c r="AC166" s="248">
        <f t="shared" si="54"/>
        <v>0</v>
      </c>
      <c r="AD166" s="248">
        <f t="shared" si="54"/>
        <v>0</v>
      </c>
      <c r="AE166" s="248">
        <f t="shared" si="54"/>
        <v>0</v>
      </c>
      <c r="AF166" s="248">
        <f t="shared" si="54"/>
        <v>0</v>
      </c>
      <c r="AG166" s="248">
        <f t="shared" si="54"/>
        <v>0</v>
      </c>
      <c r="AH166" s="248">
        <f t="shared" si="54"/>
        <v>0</v>
      </c>
      <c r="AI166" s="248">
        <f t="shared" si="54"/>
        <v>0</v>
      </c>
      <c r="AJ166" s="248">
        <f t="shared" si="54"/>
        <v>0</v>
      </c>
      <c r="AK166" s="248">
        <f t="shared" si="54"/>
        <v>0</v>
      </c>
      <c r="AL166" s="248">
        <f t="shared" si="54"/>
        <v>0</v>
      </c>
      <c r="AM166" s="248">
        <f t="shared" si="54"/>
        <v>0</v>
      </c>
      <c r="AN166" s="248">
        <f t="shared" si="54"/>
        <v>0</v>
      </c>
      <c r="AO166" s="248">
        <f t="shared" si="54"/>
        <v>0</v>
      </c>
    </row>
    <row r="167" spans="5:47" x14ac:dyDescent="0.2">
      <c r="F167" s="405" t="s">
        <v>449</v>
      </c>
      <c r="G167" s="405"/>
      <c r="H167" s="405"/>
      <c r="I167" s="405"/>
      <c r="J167" s="405"/>
      <c r="K167" s="405"/>
      <c r="L167" s="405"/>
      <c r="M167" s="405"/>
      <c r="N167" s="405"/>
      <c r="O167" s="405"/>
      <c r="P167" s="405"/>
      <c r="Q167" s="405"/>
      <c r="R167" s="405"/>
      <c r="S167" s="405"/>
      <c r="T167" s="405"/>
      <c r="U167" s="405"/>
      <c r="V167" s="405"/>
      <c r="W167" s="405"/>
      <c r="X167" s="405"/>
      <c r="Y167" s="405"/>
      <c r="Z167" s="405"/>
      <c r="AA167" s="405"/>
      <c r="AB167" s="405"/>
      <c r="AC167" s="405"/>
      <c r="AD167" s="405"/>
      <c r="AE167" s="405"/>
      <c r="AF167" s="405"/>
      <c r="AG167" s="405"/>
      <c r="AH167" s="405"/>
      <c r="AI167" s="405"/>
      <c r="AJ167" s="405"/>
      <c r="AK167" s="405"/>
      <c r="AL167" s="405"/>
      <c r="AM167" s="405"/>
      <c r="AN167" s="405"/>
      <c r="AO167" s="405"/>
      <c r="AP167" s="25"/>
      <c r="AQ167" s="25"/>
    </row>
    <row r="171" spans="5:47" x14ac:dyDescent="0.2">
      <c r="F171" s="405" t="s">
        <v>547</v>
      </c>
      <c r="G171" s="405"/>
      <c r="H171" s="405"/>
      <c r="I171" s="405"/>
      <c r="J171" s="405"/>
      <c r="K171" s="405"/>
      <c r="L171" s="405"/>
      <c r="M171" s="405"/>
      <c r="N171" s="405"/>
      <c r="O171" s="241"/>
      <c r="P171" s="241"/>
      <c r="Q171" s="241"/>
      <c r="R171" s="241"/>
      <c r="S171" s="241"/>
      <c r="T171" s="241"/>
      <c r="U171" s="241"/>
      <c r="V171" s="241"/>
      <c r="W171" s="241"/>
      <c r="X171" s="25"/>
      <c r="Y171" s="25"/>
    </row>
    <row r="174" spans="5:47" x14ac:dyDescent="0.2">
      <c r="E174" s="201" t="s">
        <v>413</v>
      </c>
      <c r="F174" s="248" cm="1">
        <f t="array" ref="F174:F209">TRANSPOSE((F166:AO166))</f>
        <v>109233.7126431732</v>
      </c>
      <c r="H174" s="248" cm="1">
        <f t="array" ref="H174:H209">TRANSPOSE(F143:AO143)</f>
        <v>0</v>
      </c>
      <c r="J174" s="248">
        <f t="shared" ref="J174:J200" si="55">BJ87</f>
        <v>109233.7126431732</v>
      </c>
      <c r="L174" s="248" cm="1">
        <f t="array" ref="L174:L209">BQ87:BQ122</f>
        <v>0</v>
      </c>
      <c r="N174" s="295">
        <f>F174+H174-J174-L174</f>
        <v>0</v>
      </c>
    </row>
    <row r="175" spans="5:47" x14ac:dyDescent="0.2">
      <c r="E175" s="201" t="s">
        <v>415</v>
      </c>
      <c r="F175" s="248">
        <v>25394.240916408646</v>
      </c>
      <c r="H175" s="248">
        <v>0</v>
      </c>
      <c r="J175" s="248">
        <f t="shared" si="55"/>
        <v>25394.240916408646</v>
      </c>
      <c r="L175" s="248">
        <v>0</v>
      </c>
      <c r="N175" s="295">
        <f>F175+H175-J175-L175</f>
        <v>0</v>
      </c>
    </row>
    <row r="176" spans="5:47" x14ac:dyDescent="0.2">
      <c r="E176" s="201" t="s">
        <v>416</v>
      </c>
      <c r="F176" s="248">
        <v>8851059.7091535721</v>
      </c>
      <c r="H176" s="248">
        <v>0</v>
      </c>
      <c r="J176" s="248">
        <f t="shared" si="55"/>
        <v>8851059.7091535721</v>
      </c>
      <c r="L176" s="248">
        <v>0</v>
      </c>
      <c r="N176" s="295">
        <f>F176+H176-J176-L176</f>
        <v>0</v>
      </c>
    </row>
    <row r="177" spans="5:14" x14ac:dyDescent="0.2">
      <c r="E177" s="201" t="s">
        <v>436</v>
      </c>
      <c r="F177" s="248">
        <v>2837357.8436831953</v>
      </c>
      <c r="H177" s="248">
        <v>0</v>
      </c>
      <c r="J177" s="248">
        <f t="shared" si="55"/>
        <v>2837357.8436831953</v>
      </c>
      <c r="L177" s="248">
        <v>0</v>
      </c>
      <c r="N177" s="295">
        <f>ROUND(F177+H177-J177-L177, 10)</f>
        <v>0</v>
      </c>
    </row>
    <row r="178" spans="5:14" x14ac:dyDescent="0.2">
      <c r="E178" s="201" t="s">
        <v>459</v>
      </c>
      <c r="F178" s="248">
        <v>1091283756.7089078</v>
      </c>
      <c r="H178" s="248">
        <v>0</v>
      </c>
      <c r="J178" s="248">
        <f t="shared" si="55"/>
        <v>1091283756.7089078</v>
      </c>
      <c r="L178" s="248">
        <v>0</v>
      </c>
      <c r="N178" s="295">
        <f t="shared" ref="N178:N193" si="56">F178+H178-J178-L178</f>
        <v>0</v>
      </c>
    </row>
    <row r="179" spans="5:14" x14ac:dyDescent="0.2">
      <c r="E179" s="201" t="s">
        <v>552</v>
      </c>
      <c r="F179" s="248">
        <v>117713.24639155329</v>
      </c>
      <c r="H179" s="248">
        <v>0</v>
      </c>
      <c r="J179" s="248">
        <f t="shared" si="55"/>
        <v>117713.24639155329</v>
      </c>
      <c r="L179" s="248">
        <v>0</v>
      </c>
      <c r="N179" s="295">
        <f t="shared" si="56"/>
        <v>0</v>
      </c>
    </row>
    <row r="180" spans="5:14" x14ac:dyDescent="0.2">
      <c r="E180" s="201" t="s">
        <v>553</v>
      </c>
      <c r="F180" s="248">
        <v>24.076233417548465</v>
      </c>
      <c r="H180" s="248">
        <v>0</v>
      </c>
      <c r="J180" s="248">
        <f t="shared" si="55"/>
        <v>24.076233417548465</v>
      </c>
      <c r="L180" s="248">
        <v>0</v>
      </c>
      <c r="N180" s="295">
        <f t="shared" si="56"/>
        <v>0</v>
      </c>
    </row>
    <row r="181" spans="5:14" x14ac:dyDescent="0.2">
      <c r="E181" s="201" t="s">
        <v>496</v>
      </c>
      <c r="F181" s="248">
        <v>29112.263489807588</v>
      </c>
      <c r="H181" s="248">
        <v>0</v>
      </c>
      <c r="J181" s="248">
        <f t="shared" si="55"/>
        <v>29112.263489807588</v>
      </c>
      <c r="L181" s="248">
        <v>0</v>
      </c>
      <c r="N181" s="295">
        <f t="shared" si="56"/>
        <v>0</v>
      </c>
    </row>
    <row r="182" spans="5:14" x14ac:dyDescent="0.2">
      <c r="E182" s="201" t="s">
        <v>545</v>
      </c>
      <c r="F182" s="248">
        <v>1058348.7350491155</v>
      </c>
      <c r="H182" s="248">
        <v>0</v>
      </c>
      <c r="J182" s="248">
        <f t="shared" si="55"/>
        <v>1058348.7350491155</v>
      </c>
      <c r="L182" s="248">
        <v>0</v>
      </c>
      <c r="N182" s="295">
        <f t="shared" si="56"/>
        <v>0</v>
      </c>
    </row>
    <row r="183" spans="5:14" ht="16" x14ac:dyDescent="0.2">
      <c r="E183" s="202" t="s">
        <v>527</v>
      </c>
      <c r="F183" s="248">
        <v>0</v>
      </c>
      <c r="H183" s="248">
        <v>109233.7126431732</v>
      </c>
      <c r="J183" s="248">
        <f t="shared" si="55"/>
        <v>109233.7126431732</v>
      </c>
      <c r="L183" s="248">
        <v>0</v>
      </c>
      <c r="N183" s="295">
        <f t="shared" si="56"/>
        <v>0</v>
      </c>
    </row>
    <row r="184" spans="5:14" x14ac:dyDescent="0.2">
      <c r="E184" s="201" t="s">
        <v>494</v>
      </c>
      <c r="F184" s="248">
        <v>0</v>
      </c>
      <c r="H184" s="248">
        <v>2418.6577581793781</v>
      </c>
      <c r="J184" s="248">
        <f t="shared" si="55"/>
        <v>0</v>
      </c>
      <c r="L184" s="248">
        <v>2418.6577581793781</v>
      </c>
      <c r="N184" s="295">
        <f t="shared" si="56"/>
        <v>0</v>
      </c>
    </row>
    <row r="185" spans="5:14" ht="16" x14ac:dyDescent="0.2">
      <c r="E185" s="202" t="s">
        <v>497</v>
      </c>
      <c r="F185" s="248">
        <v>0</v>
      </c>
      <c r="H185" s="248">
        <v>25394.240916408646</v>
      </c>
      <c r="J185" s="248">
        <f t="shared" si="55"/>
        <v>25394.240916408646</v>
      </c>
      <c r="L185" s="248">
        <v>0</v>
      </c>
      <c r="N185" s="295">
        <f t="shared" si="56"/>
        <v>0</v>
      </c>
    </row>
    <row r="186" spans="5:14" x14ac:dyDescent="0.2">
      <c r="E186" s="201" t="s">
        <v>522</v>
      </c>
      <c r="F186" s="248">
        <v>0</v>
      </c>
      <c r="H186" s="248">
        <v>7.2399197950896488</v>
      </c>
      <c r="J186" s="248">
        <f t="shared" si="55"/>
        <v>0</v>
      </c>
      <c r="L186" s="248">
        <v>7.2399197950896488</v>
      </c>
      <c r="N186" s="295">
        <f t="shared" si="56"/>
        <v>0</v>
      </c>
    </row>
    <row r="187" spans="5:14" x14ac:dyDescent="0.2">
      <c r="E187" s="203" t="s">
        <v>515</v>
      </c>
      <c r="F187" s="248">
        <v>0</v>
      </c>
      <c r="G187" s="255" t="s">
        <v>453</v>
      </c>
      <c r="H187" s="248">
        <v>8856308.1430966556</v>
      </c>
      <c r="I187" s="169" t="s">
        <v>455</v>
      </c>
      <c r="J187" s="248">
        <f t="shared" si="55"/>
        <v>8856308.1430966556</v>
      </c>
      <c r="K187" s="169" t="s">
        <v>455</v>
      </c>
      <c r="L187" s="248">
        <v>0</v>
      </c>
      <c r="M187" s="255" t="s">
        <v>456</v>
      </c>
      <c r="N187" s="295">
        <f t="shared" si="56"/>
        <v>0</v>
      </c>
    </row>
    <row r="188" spans="5:14" x14ac:dyDescent="0.2">
      <c r="E188" s="201" t="s">
        <v>501</v>
      </c>
      <c r="F188" s="248">
        <v>0</v>
      </c>
      <c r="H188" s="248">
        <v>598.81969608995871</v>
      </c>
      <c r="J188" s="248">
        <f t="shared" si="55"/>
        <v>0</v>
      </c>
      <c r="L188" s="248">
        <v>598.81969608995871</v>
      </c>
      <c r="N188" s="295">
        <f t="shared" si="56"/>
        <v>0</v>
      </c>
    </row>
    <row r="189" spans="5:14" ht="16" x14ac:dyDescent="0.2">
      <c r="E189" s="202" t="s">
        <v>526</v>
      </c>
      <c r="F189" s="248">
        <v>0</v>
      </c>
      <c r="H189" s="248">
        <v>109233.7126431732</v>
      </c>
      <c r="J189" s="248">
        <f t="shared" si="55"/>
        <v>109233.7126431732</v>
      </c>
      <c r="L189" s="248">
        <v>0</v>
      </c>
      <c r="N189" s="295">
        <f t="shared" si="56"/>
        <v>0</v>
      </c>
    </row>
    <row r="190" spans="5:14" ht="16" x14ac:dyDescent="0.2">
      <c r="E190" s="202" t="s">
        <v>521</v>
      </c>
      <c r="F190" s="248">
        <v>0</v>
      </c>
      <c r="H190" s="248">
        <v>25394.240916408646</v>
      </c>
      <c r="J190" s="248">
        <f t="shared" si="55"/>
        <v>25394.240916408646</v>
      </c>
      <c r="L190" s="248">
        <v>0</v>
      </c>
      <c r="N190" s="295">
        <f t="shared" si="56"/>
        <v>0</v>
      </c>
    </row>
    <row r="191" spans="5:14" ht="16" x14ac:dyDescent="0.2">
      <c r="E191" s="202" t="s">
        <v>518</v>
      </c>
      <c r="F191" s="248">
        <v>0</v>
      </c>
      <c r="H191" s="248">
        <v>8856308.1430966556</v>
      </c>
      <c r="J191" s="248">
        <f t="shared" si="55"/>
        <v>8856308.1430966556</v>
      </c>
      <c r="L191" s="248">
        <v>0</v>
      </c>
      <c r="N191" s="295">
        <f t="shared" si="56"/>
        <v>0</v>
      </c>
    </row>
    <row r="192" spans="5:14" ht="16" x14ac:dyDescent="0.2">
      <c r="E192" s="202" t="s">
        <v>524</v>
      </c>
      <c r="F192" s="248">
        <v>0</v>
      </c>
      <c r="H192" s="248">
        <v>88965.799815334409</v>
      </c>
      <c r="J192" s="248">
        <f t="shared" si="55"/>
        <v>88965.799815334409</v>
      </c>
      <c r="L192" s="248">
        <v>0</v>
      </c>
      <c r="N192" s="295">
        <f t="shared" si="56"/>
        <v>0</v>
      </c>
    </row>
    <row r="193" spans="5:22" x14ac:dyDescent="0.2">
      <c r="E193" s="203" t="s">
        <v>523</v>
      </c>
      <c r="F193" s="248">
        <v>0</v>
      </c>
      <c r="H193" s="248">
        <v>21743.416787545681</v>
      </c>
      <c r="J193" s="248">
        <f t="shared" si="55"/>
        <v>0</v>
      </c>
      <c r="L193" s="248">
        <v>21743.416787545681</v>
      </c>
      <c r="N193" s="295">
        <f t="shared" si="56"/>
        <v>0</v>
      </c>
    </row>
    <row r="194" spans="5:22" x14ac:dyDescent="0.2">
      <c r="E194" s="203" t="s">
        <v>509</v>
      </c>
      <c r="F194" s="248">
        <v>0</v>
      </c>
      <c r="H194" s="248">
        <v>25394.240916408646</v>
      </c>
      <c r="J194" s="248">
        <f t="shared" si="55"/>
        <v>25394.240916408646</v>
      </c>
      <c r="L194" s="248">
        <v>0</v>
      </c>
      <c r="N194" s="295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203" t="s">
        <v>542</v>
      </c>
      <c r="F195" s="248">
        <v>0</v>
      </c>
      <c r="H195" s="248">
        <v>8856308.1430966556</v>
      </c>
      <c r="J195" s="248">
        <f t="shared" si="55"/>
        <v>8856308.1430966556</v>
      </c>
      <c r="L195" s="248">
        <v>0</v>
      </c>
      <c r="N195" s="295">
        <f t="shared" si="57"/>
        <v>0</v>
      </c>
      <c r="Q195" s="25"/>
      <c r="S195" s="25"/>
      <c r="T195" s="25"/>
      <c r="U195" s="25"/>
    </row>
    <row r="196" spans="5:22" x14ac:dyDescent="0.2">
      <c r="E196" s="203" t="s">
        <v>510</v>
      </c>
      <c r="F196" s="248">
        <v>0</v>
      </c>
      <c r="H196" s="248">
        <v>242016.07607977447</v>
      </c>
      <c r="J196" s="248">
        <f t="shared" si="55"/>
        <v>242016.07607977447</v>
      </c>
      <c r="L196" s="248">
        <v>0</v>
      </c>
      <c r="N196" s="295">
        <f t="shared" si="57"/>
        <v>0</v>
      </c>
      <c r="Q196" s="25"/>
      <c r="S196" s="25"/>
      <c r="T196" s="25"/>
      <c r="U196" s="25"/>
    </row>
    <row r="197" spans="5:22" x14ac:dyDescent="0.2">
      <c r="E197" s="203" t="s">
        <v>512</v>
      </c>
      <c r="F197" s="248">
        <v>0</v>
      </c>
      <c r="H197" s="248">
        <v>7739.2511800711582</v>
      </c>
      <c r="J197" s="248">
        <f t="shared" si="55"/>
        <v>0</v>
      </c>
      <c r="L197" s="248">
        <v>7739.2511800711582</v>
      </c>
      <c r="N197" s="295">
        <f t="shared" si="57"/>
        <v>0</v>
      </c>
      <c r="Q197" s="25"/>
      <c r="S197" s="25"/>
      <c r="T197" s="25"/>
      <c r="U197" s="25"/>
    </row>
    <row r="198" spans="5:22" x14ac:dyDescent="0.2">
      <c r="E198" s="203" t="s">
        <v>511</v>
      </c>
      <c r="F198" s="248">
        <v>0</v>
      </c>
      <c r="H198" s="248">
        <v>33179125.659109436</v>
      </c>
      <c r="J198" s="248">
        <f t="shared" si="55"/>
        <v>0</v>
      </c>
      <c r="L198" s="248">
        <v>33179125.659109436</v>
      </c>
      <c r="N198" s="295">
        <f t="shared" si="57"/>
        <v>0</v>
      </c>
      <c r="Q198" s="25"/>
      <c r="S198" s="25"/>
      <c r="T198" s="25"/>
      <c r="U198" s="25"/>
    </row>
    <row r="199" spans="5:22" x14ac:dyDescent="0.2">
      <c r="E199" s="203" t="s">
        <v>607</v>
      </c>
      <c r="F199" s="248">
        <v>0</v>
      </c>
      <c r="H199" s="248">
        <v>6408288.6211381694</v>
      </c>
      <c r="J199" s="248">
        <f t="shared" si="55"/>
        <v>6408288.6211381694</v>
      </c>
      <c r="L199" s="248">
        <v>0</v>
      </c>
      <c r="N199" s="295">
        <f t="shared" si="57"/>
        <v>0</v>
      </c>
    </row>
    <row r="200" spans="5:22" ht="16" x14ac:dyDescent="0.2">
      <c r="E200" s="249" t="s">
        <v>507</v>
      </c>
      <c r="F200" s="248">
        <v>0</v>
      </c>
      <c r="H200" s="248">
        <v>4027024.8231933108</v>
      </c>
      <c r="J200" s="248">
        <f t="shared" si="55"/>
        <v>4027024.8231933108</v>
      </c>
      <c r="L200" s="248">
        <v>0</v>
      </c>
      <c r="N200" s="295">
        <f t="shared" si="57"/>
        <v>0</v>
      </c>
    </row>
    <row r="201" spans="5:22" ht="16" x14ac:dyDescent="0.2">
      <c r="E201" s="249" t="s">
        <v>684</v>
      </c>
      <c r="F201" s="248">
        <v>0</v>
      </c>
      <c r="H201" s="248">
        <v>955653.18009036488</v>
      </c>
      <c r="J201" s="248">
        <f t="shared" ref="J201:J209" si="58">BJ114</f>
        <v>0</v>
      </c>
      <c r="L201" s="248">
        <v>955653.18009036488</v>
      </c>
      <c r="N201" s="295">
        <f t="shared" si="57"/>
        <v>0</v>
      </c>
    </row>
    <row r="202" spans="5:22" x14ac:dyDescent="0.2">
      <c r="E202" s="203" t="s">
        <v>506</v>
      </c>
      <c r="F202" s="248">
        <v>0</v>
      </c>
      <c r="H202" s="248">
        <v>9078.7224010297414</v>
      </c>
      <c r="J202" s="248">
        <f t="shared" si="58"/>
        <v>0</v>
      </c>
      <c r="L202" s="248">
        <v>9078.7224010297414</v>
      </c>
      <c r="N202" s="295">
        <f t="shared" si="57"/>
        <v>0</v>
      </c>
      <c r="O202" s="25"/>
    </row>
    <row r="203" spans="5:22" x14ac:dyDescent="0.2">
      <c r="E203" s="201" t="s">
        <v>508</v>
      </c>
      <c r="F203" s="248">
        <v>0</v>
      </c>
      <c r="H203" s="248">
        <v>325339.45293214149</v>
      </c>
      <c r="J203" s="248">
        <f t="shared" si="58"/>
        <v>0</v>
      </c>
      <c r="L203" s="248">
        <v>325339.45293214149</v>
      </c>
      <c r="N203" s="295">
        <f t="shared" si="57"/>
        <v>0</v>
      </c>
    </row>
    <row r="204" spans="5:22" x14ac:dyDescent="0.2">
      <c r="E204" s="203" t="s">
        <v>643</v>
      </c>
      <c r="F204" s="248">
        <v>0</v>
      </c>
      <c r="H204" s="248">
        <v>4044220.3273382401</v>
      </c>
      <c r="J204" s="248">
        <f t="shared" si="58"/>
        <v>4044220.3273382401</v>
      </c>
      <c r="L204" s="248">
        <v>0</v>
      </c>
      <c r="N204" s="295">
        <f t="shared" si="57"/>
        <v>0</v>
      </c>
    </row>
    <row r="205" spans="5:22" x14ac:dyDescent="0.2">
      <c r="E205" s="203" t="s">
        <v>646</v>
      </c>
      <c r="F205" s="248">
        <v>0</v>
      </c>
      <c r="H205" s="248">
        <v>4044220.3273382401</v>
      </c>
      <c r="J205" s="248">
        <f t="shared" si="58"/>
        <v>2830954.2291367673</v>
      </c>
      <c r="L205" s="248">
        <v>1213266.0982014721</v>
      </c>
      <c r="N205" s="295">
        <f t="shared" si="57"/>
        <v>0</v>
      </c>
    </row>
    <row r="206" spans="5:22" x14ac:dyDescent="0.2">
      <c r="E206" s="203" t="s">
        <v>530</v>
      </c>
      <c r="F206" s="248">
        <v>0</v>
      </c>
      <c r="H206" s="248">
        <v>6688312.3779436089</v>
      </c>
      <c r="J206" s="248">
        <f t="shared" si="58"/>
        <v>6688312.3779436089</v>
      </c>
      <c r="L206" s="248">
        <v>0</v>
      </c>
      <c r="N206" s="295">
        <f t="shared" si="57"/>
        <v>0</v>
      </c>
      <c r="S206" s="241"/>
      <c r="T206" s="241"/>
      <c r="U206" s="241"/>
      <c r="V206" s="241"/>
    </row>
    <row r="207" spans="5:22" x14ac:dyDescent="0.2">
      <c r="E207" s="203" t="s">
        <v>531</v>
      </c>
      <c r="F207" s="248">
        <v>0</v>
      </c>
      <c r="H207" s="248">
        <v>4157895.2984628798</v>
      </c>
      <c r="J207" s="248">
        <f t="shared" si="58"/>
        <v>0</v>
      </c>
      <c r="L207" s="248">
        <v>4157895.2984628798</v>
      </c>
      <c r="N207" s="295">
        <f t="shared" si="57"/>
        <v>0</v>
      </c>
    </row>
    <row r="208" spans="5:22" x14ac:dyDescent="0.2">
      <c r="E208" s="203" t="s">
        <v>532</v>
      </c>
      <c r="F208" s="248">
        <v>0</v>
      </c>
      <c r="H208" s="248">
        <v>424855.37186650094</v>
      </c>
      <c r="J208" s="248">
        <f t="shared" si="58"/>
        <v>0</v>
      </c>
      <c r="L208" s="248">
        <v>424855.37186650094</v>
      </c>
      <c r="N208" s="295">
        <f t="shared" si="57"/>
        <v>0</v>
      </c>
    </row>
    <row r="209" spans="5:18" x14ac:dyDescent="0.2">
      <c r="E209" s="203" t="s">
        <v>543</v>
      </c>
      <c r="F209" s="248">
        <v>0</v>
      </c>
      <c r="H209" s="248">
        <v>67875.356217847453</v>
      </c>
      <c r="J209" s="248">
        <f t="shared" si="58"/>
        <v>0</v>
      </c>
      <c r="L209" s="248">
        <v>67875.356217847453</v>
      </c>
      <c r="N209" s="295">
        <f t="shared" si="57"/>
        <v>0</v>
      </c>
    </row>
    <row r="210" spans="5:18" ht="17" x14ac:dyDescent="0.2">
      <c r="E210" s="203"/>
      <c r="F210" s="3" t="s">
        <v>452</v>
      </c>
      <c r="H210" s="3" t="s">
        <v>454</v>
      </c>
      <c r="J210" s="25" t="s">
        <v>451</v>
      </c>
      <c r="L210" s="25" t="s">
        <v>39</v>
      </c>
      <c r="N210" s="25">
        <v>0</v>
      </c>
    </row>
    <row r="211" spans="5:18" x14ac:dyDescent="0.2">
      <c r="E211" s="203"/>
      <c r="J211" s="25"/>
      <c r="L211" s="25"/>
    </row>
    <row r="212" spans="5:18" x14ac:dyDescent="0.2">
      <c r="E212" s="203"/>
    </row>
    <row r="213" spans="5:18" x14ac:dyDescent="0.2">
      <c r="F213" s="405" t="s">
        <v>613</v>
      </c>
      <c r="G213" s="405"/>
      <c r="H213" s="405"/>
      <c r="I213" s="405"/>
      <c r="J213" s="405"/>
      <c r="O213" s="241"/>
      <c r="P213" s="241"/>
    </row>
    <row r="216" spans="5:18" x14ac:dyDescent="0.2">
      <c r="E216" s="201" t="s">
        <v>405</v>
      </c>
      <c r="F216" s="248" cm="1">
        <f t="array" ref="F216:F230">TRANSPOSE((AU124:BI124))</f>
        <v>203615.93865263887</v>
      </c>
      <c r="H216" s="248">
        <f t="shared" ref="H216:H230" si="59">AP127</f>
        <v>111652.37040135259</v>
      </c>
      <c r="J216" s="248">
        <f>F216-H216</f>
        <v>91963.568251286284</v>
      </c>
    </row>
    <row r="217" spans="5:18" x14ac:dyDescent="0.2">
      <c r="E217" s="201" t="s">
        <v>406</v>
      </c>
      <c r="F217" s="248">
        <v>25677.018753453132</v>
      </c>
      <c r="H217" s="248">
        <f t="shared" si="59"/>
        <v>25401.480836203737</v>
      </c>
      <c r="J217" s="248">
        <f t="shared" ref="J217:J230" si="60">F217-H217</f>
        <v>275.53791724939583</v>
      </c>
      <c r="Q217" s="241"/>
      <c r="R217" s="241"/>
    </row>
    <row r="218" spans="5:18" x14ac:dyDescent="0.2">
      <c r="E218" s="201" t="s">
        <v>407</v>
      </c>
      <c r="F218" s="248">
        <v>8955043.5590230841</v>
      </c>
      <c r="H218" s="248">
        <f t="shared" si="59"/>
        <v>8856906.9627927449</v>
      </c>
      <c r="J218" s="248">
        <f t="shared" si="60"/>
        <v>98136.596230339259</v>
      </c>
    </row>
    <row r="219" spans="5:18" x14ac:dyDescent="0.2">
      <c r="E219" s="201" t="s">
        <v>541</v>
      </c>
      <c r="F219" s="248">
        <v>719025.96440252138</v>
      </c>
      <c r="G219" s="250"/>
      <c r="H219" s="248">
        <f t="shared" si="59"/>
        <v>109233.7126431732</v>
      </c>
      <c r="I219" s="250"/>
      <c r="J219" s="248">
        <f t="shared" si="60"/>
        <v>609792.2517593482</v>
      </c>
    </row>
    <row r="220" spans="5:18" x14ac:dyDescent="0.2">
      <c r="E220" s="201" t="s">
        <v>520</v>
      </c>
      <c r="F220" s="248">
        <v>28219.126564153565</v>
      </c>
      <c r="H220" s="248">
        <f t="shared" si="59"/>
        <v>25394.240916408646</v>
      </c>
      <c r="J220" s="248">
        <f t="shared" si="60"/>
        <v>2824.885647744919</v>
      </c>
      <c r="K220" s="241"/>
      <c r="L220" s="241"/>
      <c r="M220" s="241"/>
      <c r="N220" s="241"/>
    </row>
    <row r="221" spans="5:18" x14ac:dyDescent="0.2">
      <c r="E221" s="201" t="s">
        <v>519</v>
      </c>
      <c r="F221" s="248">
        <v>8856590.2718676869</v>
      </c>
      <c r="H221" s="248">
        <f t="shared" si="59"/>
        <v>8856308.1430966556</v>
      </c>
      <c r="J221" s="248">
        <f t="shared" si="60"/>
        <v>282.12877103127539</v>
      </c>
    </row>
    <row r="222" spans="5:18" x14ac:dyDescent="0.2">
      <c r="E222" s="201" t="s">
        <v>432</v>
      </c>
      <c r="F222" s="248">
        <v>121859.81146951189</v>
      </c>
      <c r="H222" s="248">
        <f t="shared" si="59"/>
        <v>110709.21660288009</v>
      </c>
      <c r="J222" s="248">
        <f t="shared" si="60"/>
        <v>11150.5948666318</v>
      </c>
    </row>
    <row r="223" spans="5:18" x14ac:dyDescent="0.2">
      <c r="E223" s="201" t="s">
        <v>429</v>
      </c>
      <c r="F223" s="248">
        <v>25428.919011572762</v>
      </c>
      <c r="G223" s="169" t="s">
        <v>460</v>
      </c>
      <c r="H223" s="248">
        <f t="shared" si="59"/>
        <v>25394.240916408646</v>
      </c>
      <c r="I223" s="169" t="s">
        <v>456</v>
      </c>
      <c r="J223" s="248">
        <f t="shared" si="60"/>
        <v>34.678095164115803</v>
      </c>
    </row>
    <row r="224" spans="5:18" x14ac:dyDescent="0.2">
      <c r="E224" s="201" t="s">
        <v>444</v>
      </c>
      <c r="F224" s="248">
        <v>8856358.501180809</v>
      </c>
      <c r="H224" s="248">
        <f t="shared" si="59"/>
        <v>8856308.1430966556</v>
      </c>
      <c r="J224" s="248">
        <f t="shared" si="60"/>
        <v>50.35808415338397</v>
      </c>
    </row>
    <row r="225" spans="5:14" x14ac:dyDescent="0.2">
      <c r="E225" s="201" t="s">
        <v>430</v>
      </c>
      <c r="F225" s="248">
        <v>1081183306.4491639</v>
      </c>
      <c r="H225" s="248">
        <f t="shared" si="59"/>
        <v>33428880.986369282</v>
      </c>
      <c r="J225" s="248">
        <f t="shared" si="60"/>
        <v>1047754425.4627947</v>
      </c>
    </row>
    <row r="226" spans="5:14" x14ac:dyDescent="0.2">
      <c r="E226" s="201" t="s">
        <v>425</v>
      </c>
      <c r="F226" s="248">
        <v>19467444.052330792</v>
      </c>
      <c r="H226" s="248">
        <f t="shared" si="59"/>
        <v>11725384.799755016</v>
      </c>
      <c r="J226" s="248">
        <f t="shared" si="60"/>
        <v>7742059.2525757756</v>
      </c>
    </row>
    <row r="227" spans="5:14" x14ac:dyDescent="0.2">
      <c r="E227" s="201" t="s">
        <v>642</v>
      </c>
      <c r="F227" s="248">
        <v>4060216.682587008</v>
      </c>
      <c r="H227" s="248">
        <f t="shared" si="59"/>
        <v>4044220.3273382401</v>
      </c>
      <c r="J227" s="248">
        <f t="shared" si="60"/>
        <v>15996.355248767883</v>
      </c>
    </row>
    <row r="228" spans="5:14" x14ac:dyDescent="0.2">
      <c r="E228" s="201" t="s">
        <v>645</v>
      </c>
      <c r="F228" s="248">
        <v>4044220.3273382401</v>
      </c>
      <c r="H228" s="248">
        <f t="shared" si="59"/>
        <v>4044220.3273382401</v>
      </c>
      <c r="J228" s="248">
        <f t="shared" si="60"/>
        <v>0</v>
      </c>
    </row>
    <row r="229" spans="5:14" x14ac:dyDescent="0.2">
      <c r="E229" s="201" t="s">
        <v>81</v>
      </c>
      <c r="F229" s="248">
        <v>6739270.4970332785</v>
      </c>
      <c r="H229" s="248">
        <f t="shared" si="59"/>
        <v>6688312.3779436089</v>
      </c>
      <c r="J229" s="248">
        <f t="shared" si="60"/>
        <v>50958.119089669548</v>
      </c>
    </row>
    <row r="230" spans="5:14" x14ac:dyDescent="0.2">
      <c r="E230" s="201" t="s">
        <v>417</v>
      </c>
      <c r="F230" s="248">
        <v>12219080.249060091</v>
      </c>
      <c r="G230" s="169"/>
      <c r="H230" s="248">
        <f t="shared" si="59"/>
        <v>4650626.026547228</v>
      </c>
      <c r="J230" s="248">
        <f t="shared" si="60"/>
        <v>7568454.2225128626</v>
      </c>
    </row>
    <row r="231" spans="5:14" x14ac:dyDescent="0.2">
      <c r="E231" s="203"/>
      <c r="F231" s="169" t="s">
        <v>450</v>
      </c>
      <c r="G231" s="169"/>
      <c r="H231" s="169" t="s">
        <v>447</v>
      </c>
      <c r="I231" s="169"/>
      <c r="J231" s="169" t="s">
        <v>461</v>
      </c>
    </row>
    <row r="232" spans="5:14" x14ac:dyDescent="0.2">
      <c r="E232" s="203"/>
    </row>
    <row r="233" spans="5:14" x14ac:dyDescent="0.2">
      <c r="E233" s="203"/>
    </row>
    <row r="238" spans="5:14" x14ac:dyDescent="0.2">
      <c r="K238" s="169"/>
      <c r="L238" s="169"/>
      <c r="M238" s="169"/>
      <c r="N238" s="169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M48" zoomScale="50" workbookViewId="0">
      <selection activeCell="BN118" sqref="BM118:BN118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204" t="s">
        <v>564</v>
      </c>
      <c r="AQ1" s="256"/>
      <c r="AR1" s="204" t="s">
        <v>405</v>
      </c>
      <c r="AS1" s="204" t="s">
        <v>406</v>
      </c>
      <c r="AT1" s="204" t="s">
        <v>407</v>
      </c>
      <c r="AU1" s="204" t="s">
        <v>541</v>
      </c>
      <c r="AV1" s="204" t="s">
        <v>520</v>
      </c>
      <c r="AW1" s="204" t="s">
        <v>519</v>
      </c>
      <c r="AX1" s="204" t="s">
        <v>432</v>
      </c>
      <c r="AY1" s="204" t="s">
        <v>429</v>
      </c>
      <c r="AZ1" s="204" t="s">
        <v>444</v>
      </c>
      <c r="BA1" s="204" t="s">
        <v>430</v>
      </c>
      <c r="BB1" s="204" t="s">
        <v>425</v>
      </c>
      <c r="BC1" s="204" t="s">
        <v>442</v>
      </c>
      <c r="BD1" s="204" t="s">
        <v>645</v>
      </c>
      <c r="BE1" s="204" t="s">
        <v>81</v>
      </c>
      <c r="BF1" s="204" t="s">
        <v>417</v>
      </c>
      <c r="BK1" s="256"/>
      <c r="BL1" s="204" t="s">
        <v>405</v>
      </c>
      <c r="BM1" s="204" t="s">
        <v>406</v>
      </c>
      <c r="BN1" s="204" t="s">
        <v>407</v>
      </c>
      <c r="BO1" s="204" t="s">
        <v>541</v>
      </c>
      <c r="BP1" s="204" t="s">
        <v>520</v>
      </c>
      <c r="BQ1" s="204" t="s">
        <v>519</v>
      </c>
      <c r="BR1" s="204" t="s">
        <v>432</v>
      </c>
      <c r="BS1" s="204" t="s">
        <v>429</v>
      </c>
      <c r="BT1" s="204" t="s">
        <v>444</v>
      </c>
      <c r="BU1" s="204" t="s">
        <v>430</v>
      </c>
      <c r="BV1" s="204" t="s">
        <v>425</v>
      </c>
      <c r="BW1" s="204" t="s">
        <v>645</v>
      </c>
      <c r="BX1" s="204" t="s">
        <v>81</v>
      </c>
      <c r="BY1" s="204" t="s">
        <v>417</v>
      </c>
    </row>
    <row r="2" spans="2:77" x14ac:dyDescent="0.2">
      <c r="B2" s="201" t="s">
        <v>413</v>
      </c>
      <c r="C2" s="280">
        <v>1</v>
      </c>
      <c r="AQ2" s="201" t="s">
        <v>413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413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</row>
    <row r="3" spans="2:77" x14ac:dyDescent="0.2">
      <c r="B3" s="201" t="s">
        <v>415</v>
      </c>
      <c r="C3" s="280">
        <v>1</v>
      </c>
      <c r="AQ3" s="201" t="s">
        <v>415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415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</row>
    <row r="4" spans="2:77" x14ac:dyDescent="0.2">
      <c r="B4" s="201" t="s">
        <v>416</v>
      </c>
      <c r="C4" s="280">
        <v>1</v>
      </c>
      <c r="AQ4" s="201" t="s">
        <v>416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416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</row>
    <row r="5" spans="2:77" x14ac:dyDescent="0.2">
      <c r="B5" s="201" t="s">
        <v>436</v>
      </c>
      <c r="C5" s="280">
        <v>1</v>
      </c>
      <c r="AQ5" s="201" t="s">
        <v>436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436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</row>
    <row r="6" spans="2:77" x14ac:dyDescent="0.2">
      <c r="B6" s="201" t="s">
        <v>459</v>
      </c>
      <c r="C6" s="280">
        <v>1</v>
      </c>
      <c r="AQ6" s="201" t="s">
        <v>459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459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</row>
    <row r="7" spans="2:77" x14ac:dyDescent="0.2">
      <c r="B7" s="201" t="s">
        <v>552</v>
      </c>
      <c r="C7" s="280">
        <v>1</v>
      </c>
      <c r="AQ7" s="201" t="s">
        <v>552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552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</row>
    <row r="8" spans="2:77" x14ac:dyDescent="0.2">
      <c r="B8" s="201" t="s">
        <v>553</v>
      </c>
      <c r="C8" s="280">
        <v>1</v>
      </c>
      <c r="AQ8" s="201" t="s">
        <v>553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553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</row>
    <row r="9" spans="2:77" x14ac:dyDescent="0.2">
      <c r="B9" s="201" t="s">
        <v>496</v>
      </c>
      <c r="C9" s="280">
        <v>1</v>
      </c>
      <c r="AQ9" s="201" t="s">
        <v>496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496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</row>
    <row r="10" spans="2:77" x14ac:dyDescent="0.2">
      <c r="B10" s="201" t="s">
        <v>545</v>
      </c>
      <c r="C10" s="280">
        <v>1</v>
      </c>
      <c r="AQ10" s="201" t="s">
        <v>545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545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</row>
    <row r="11" spans="2:77" ht="16" x14ac:dyDescent="0.2">
      <c r="B11" s="202" t="s">
        <v>527</v>
      </c>
      <c r="C11" s="280">
        <v>1</v>
      </c>
      <c r="AQ11" s="202" t="s">
        <v>527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527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</row>
    <row r="12" spans="2:77" x14ac:dyDescent="0.2">
      <c r="B12" s="201" t="s">
        <v>494</v>
      </c>
      <c r="C12" s="280">
        <v>1</v>
      </c>
      <c r="AQ12" s="201" t="s">
        <v>494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494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</row>
    <row r="13" spans="2:77" ht="16" x14ac:dyDescent="0.2">
      <c r="B13" s="202" t="s">
        <v>497</v>
      </c>
      <c r="C13" s="280">
        <v>1</v>
      </c>
      <c r="AQ13" s="202" t="s">
        <v>497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497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</row>
    <row r="14" spans="2:77" x14ac:dyDescent="0.2">
      <c r="B14" s="201" t="s">
        <v>522</v>
      </c>
      <c r="C14" s="280">
        <v>1</v>
      </c>
      <c r="AQ14" s="201" t="s">
        <v>522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522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</row>
    <row r="15" spans="2:77" x14ac:dyDescent="0.2">
      <c r="B15" s="203" t="s">
        <v>515</v>
      </c>
      <c r="C15" s="280">
        <v>1</v>
      </c>
      <c r="AQ15" s="203" t="s">
        <v>515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515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</row>
    <row r="16" spans="2:77" x14ac:dyDescent="0.2">
      <c r="B16" s="201" t="s">
        <v>501</v>
      </c>
      <c r="C16" s="280">
        <v>1</v>
      </c>
      <c r="AQ16" s="201" t="s">
        <v>501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501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</row>
    <row r="17" spans="2:77" ht="16" x14ac:dyDescent="0.2">
      <c r="B17" s="202" t="s">
        <v>526</v>
      </c>
      <c r="C17" s="280">
        <v>1</v>
      </c>
      <c r="AQ17" s="202" t="s">
        <v>526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526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</row>
    <row r="18" spans="2:77" ht="16" x14ac:dyDescent="0.2">
      <c r="B18" s="202" t="s">
        <v>521</v>
      </c>
      <c r="C18" s="280">
        <v>1</v>
      </c>
      <c r="AQ18" s="202" t="s">
        <v>521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521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</row>
    <row r="19" spans="2:77" ht="16" x14ac:dyDescent="0.2">
      <c r="B19" s="202" t="s">
        <v>518</v>
      </c>
      <c r="C19" s="280">
        <v>1</v>
      </c>
      <c r="AQ19" s="202" t="s">
        <v>518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518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</row>
    <row r="20" spans="2:77" ht="16" x14ac:dyDescent="0.2">
      <c r="B20" s="202" t="s">
        <v>524</v>
      </c>
      <c r="C20" s="280">
        <v>1</v>
      </c>
      <c r="AQ20" s="202" t="s">
        <v>524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524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</row>
    <row r="21" spans="2:77" x14ac:dyDescent="0.2">
      <c r="B21" s="203" t="s">
        <v>523</v>
      </c>
      <c r="C21" s="280">
        <v>1</v>
      </c>
      <c r="AQ21" s="203" t="s">
        <v>523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523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</row>
    <row r="22" spans="2:77" x14ac:dyDescent="0.2">
      <c r="B22" s="203" t="s">
        <v>509</v>
      </c>
      <c r="C22" s="280">
        <v>1</v>
      </c>
      <c r="AQ22" s="203" t="s">
        <v>509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509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</row>
    <row r="23" spans="2:77" x14ac:dyDescent="0.2">
      <c r="B23" s="203" t="s">
        <v>542</v>
      </c>
      <c r="C23" s="280">
        <v>1</v>
      </c>
      <c r="AQ23" s="203" t="s">
        <v>542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542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</row>
    <row r="24" spans="2:77" x14ac:dyDescent="0.2">
      <c r="B24" s="203" t="s">
        <v>510</v>
      </c>
      <c r="C24" s="280">
        <v>1</v>
      </c>
      <c r="AQ24" s="203" t="s">
        <v>510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510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</row>
    <row r="25" spans="2:77" x14ac:dyDescent="0.2">
      <c r="B25" s="203" t="s">
        <v>512</v>
      </c>
      <c r="C25" s="280">
        <v>1</v>
      </c>
      <c r="AQ25" s="203" t="s">
        <v>512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512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</row>
    <row r="26" spans="2:77" x14ac:dyDescent="0.2">
      <c r="B26" s="203" t="s">
        <v>511</v>
      </c>
      <c r="C26" s="280">
        <v>1</v>
      </c>
      <c r="AQ26" s="203" t="s">
        <v>511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511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</row>
    <row r="27" spans="2:77" x14ac:dyDescent="0.2">
      <c r="B27" s="203" t="s">
        <v>607</v>
      </c>
      <c r="C27" s="280">
        <v>1</v>
      </c>
      <c r="AQ27" s="203" t="s">
        <v>607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607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</row>
    <row r="28" spans="2:77" ht="16" x14ac:dyDescent="0.2">
      <c r="B28" s="249" t="s">
        <v>507</v>
      </c>
      <c r="C28" s="280">
        <v>1</v>
      </c>
      <c r="AQ28" s="249" t="s">
        <v>507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507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</row>
    <row r="29" spans="2:77" ht="16" x14ac:dyDescent="0.2">
      <c r="B29" s="249"/>
      <c r="C29" s="280"/>
      <c r="AQ29" s="249" t="s">
        <v>684</v>
      </c>
      <c r="AR29" s="280"/>
      <c r="AS29" s="280"/>
      <c r="AT29" s="280"/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K29" s="249" t="s">
        <v>684</v>
      </c>
      <c r="BL29" s="280"/>
      <c r="BM29" s="280"/>
      <c r="BN29" s="280"/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</row>
    <row r="30" spans="2:77" x14ac:dyDescent="0.2">
      <c r="B30" s="203" t="s">
        <v>506</v>
      </c>
      <c r="C30" s="280">
        <v>1</v>
      </c>
      <c r="AQ30" s="203" t="s">
        <v>506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506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</row>
    <row r="31" spans="2:77" x14ac:dyDescent="0.2">
      <c r="B31" s="201" t="s">
        <v>508</v>
      </c>
      <c r="C31" s="280">
        <v>1</v>
      </c>
      <c r="AQ31" s="201" t="s">
        <v>508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508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</row>
    <row r="32" spans="2:77" x14ac:dyDescent="0.2">
      <c r="B32" s="203" t="s">
        <v>504</v>
      </c>
      <c r="C32" s="280">
        <v>1</v>
      </c>
      <c r="AQ32" s="203" t="s">
        <v>643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643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</row>
    <row r="33" spans="2:77" x14ac:dyDescent="0.2">
      <c r="B33" s="203" t="s">
        <v>530</v>
      </c>
      <c r="C33" s="280">
        <v>1</v>
      </c>
      <c r="AQ33" s="203" t="s">
        <v>646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646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</row>
    <row r="34" spans="2:77" x14ac:dyDescent="0.2">
      <c r="B34" s="203" t="s">
        <v>531</v>
      </c>
      <c r="C34" s="280">
        <v>1</v>
      </c>
      <c r="AQ34" s="203" t="s">
        <v>530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530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</row>
    <row r="35" spans="2:77" x14ac:dyDescent="0.2">
      <c r="B35" s="203" t="s">
        <v>532</v>
      </c>
      <c r="C35" s="280">
        <v>1</v>
      </c>
      <c r="AQ35" s="203" t="s">
        <v>531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531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</row>
    <row r="36" spans="2:77" x14ac:dyDescent="0.2">
      <c r="B36" s="203" t="s">
        <v>543</v>
      </c>
      <c r="C36" s="280">
        <v>1</v>
      </c>
      <c r="AQ36" s="203" t="s">
        <v>532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532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</row>
    <row r="37" spans="2:77" x14ac:dyDescent="0.2">
      <c r="C37" s="169" t="s">
        <v>559</v>
      </c>
      <c r="AQ37" s="203" t="s">
        <v>543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543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</row>
    <row r="38" spans="2:77" x14ac:dyDescent="0.2">
      <c r="AQ38" s="203"/>
      <c r="AR38" s="405" t="s">
        <v>556</v>
      </c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K38" s="203"/>
      <c r="BL38" s="405" t="s">
        <v>557</v>
      </c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</row>
    <row r="39" spans="2:77" x14ac:dyDescent="0.2">
      <c r="AQ39" s="203"/>
      <c r="BK39" s="203"/>
    </row>
    <row r="40" spans="2:77" x14ac:dyDescent="0.2">
      <c r="AQ40" s="203"/>
    </row>
    <row r="41" spans="2:77" ht="112" x14ac:dyDescent="0.2">
      <c r="AQ41" s="256"/>
      <c r="AR41" s="204" t="s">
        <v>405</v>
      </c>
      <c r="AS41" s="204" t="s">
        <v>406</v>
      </c>
      <c r="AT41" s="204" t="s">
        <v>407</v>
      </c>
      <c r="AU41" s="204" t="s">
        <v>541</v>
      </c>
      <c r="AV41" s="204" t="s">
        <v>520</v>
      </c>
      <c r="AW41" s="204" t="s">
        <v>519</v>
      </c>
      <c r="AX41" s="204" t="s">
        <v>432</v>
      </c>
      <c r="AY41" s="204" t="s">
        <v>429</v>
      </c>
      <c r="AZ41" s="204" t="s">
        <v>444</v>
      </c>
      <c r="BA41" s="204" t="s">
        <v>430</v>
      </c>
      <c r="BB41" s="204" t="s">
        <v>425</v>
      </c>
      <c r="BC41" s="204" t="s">
        <v>642</v>
      </c>
      <c r="BD41" s="204" t="s">
        <v>645</v>
      </c>
      <c r="BE41" s="204" t="s">
        <v>81</v>
      </c>
      <c r="BF41" s="204" t="s">
        <v>417</v>
      </c>
    </row>
    <row r="42" spans="2:77" x14ac:dyDescent="0.2">
      <c r="AQ42" s="201" t="s">
        <v>413</v>
      </c>
      <c r="AR42" s="280">
        <f>AR83</f>
        <v>1011.7674660019052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7" x14ac:dyDescent="0.2">
      <c r="AQ43" s="201" t="s">
        <v>415</v>
      </c>
      <c r="AR43" s="280">
        <f t="shared" ref="AR43:AY68" si="1">AR84</f>
        <v>0</v>
      </c>
      <c r="AS43" s="280">
        <f t="shared" si="1"/>
        <v>208.55560337725498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ref="AZ43:BC43" si="2">AZ84</f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ref="BD43:BF43" si="3">BD84</f>
        <v>0</v>
      </c>
      <c r="BE43" s="280">
        <f t="shared" si="3"/>
        <v>0</v>
      </c>
      <c r="BF43" s="280">
        <f t="shared" si="3"/>
        <v>0</v>
      </c>
    </row>
    <row r="44" spans="2:77" x14ac:dyDescent="0.2">
      <c r="AQ44" s="201" t="s">
        <v>416</v>
      </c>
      <c r="AR44" s="280">
        <f t="shared" si="1"/>
        <v>0</v>
      </c>
      <c r="AS44" s="280">
        <f t="shared" si="1"/>
        <v>0</v>
      </c>
      <c r="AT44" s="280">
        <f t="shared" si="1"/>
        <v>298.6148747230165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ref="AZ44:BC44" si="4">AZ85</f>
        <v>0</v>
      </c>
      <c r="BA44" s="280">
        <f t="shared" si="4"/>
        <v>0</v>
      </c>
      <c r="BB44" s="280">
        <f t="shared" si="4"/>
        <v>0</v>
      </c>
      <c r="BC44" s="280">
        <f t="shared" si="4"/>
        <v>0</v>
      </c>
      <c r="BD44" s="280">
        <f t="shared" ref="BD44:BF44" si="5">BD85</f>
        <v>0</v>
      </c>
      <c r="BE44" s="280">
        <f t="shared" si="5"/>
        <v>0</v>
      </c>
      <c r="BF44" s="280">
        <f t="shared" si="5"/>
        <v>0</v>
      </c>
    </row>
    <row r="45" spans="2:77" x14ac:dyDescent="0.2">
      <c r="AQ45" s="201" t="s">
        <v>436</v>
      </c>
      <c r="AR45" s="280">
        <f t="shared" si="1"/>
        <v>30.150427560669065</v>
      </c>
      <c r="AS45" s="280">
        <f t="shared" si="1"/>
        <v>9.0394269236644703E-2</v>
      </c>
      <c r="AT45" s="280">
        <f t="shared" si="1"/>
        <v>7.4647476716394348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ref="AZ45:BC45" si="6">AZ86</f>
        <v>0</v>
      </c>
      <c r="BA45" s="280">
        <f t="shared" si="6"/>
        <v>356076.147280448</v>
      </c>
      <c r="BB45" s="280">
        <f t="shared" si="6"/>
        <v>3494.7460959815226</v>
      </c>
      <c r="BC45" s="280">
        <f t="shared" si="6"/>
        <v>0</v>
      </c>
      <c r="BD45" s="280">
        <f t="shared" ref="BD45:BF45" si="7">BD86</f>
        <v>0</v>
      </c>
      <c r="BE45" s="280">
        <f t="shared" si="7"/>
        <v>0</v>
      </c>
      <c r="BF45" s="280">
        <f t="shared" si="7"/>
        <v>2852.0490535886452</v>
      </c>
    </row>
    <row r="46" spans="2:77" x14ac:dyDescent="0.2">
      <c r="AQ46" s="201" t="s">
        <v>459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ref="AZ46:BC46" si="8">AZ87</f>
        <v>0</v>
      </c>
      <c r="BA46" s="280">
        <f t="shared" si="8"/>
        <v>20798.316475388398</v>
      </c>
      <c r="BB46" s="280">
        <f t="shared" si="8"/>
        <v>204.127223518021</v>
      </c>
      <c r="BC46" s="280">
        <f t="shared" si="8"/>
        <v>0</v>
      </c>
      <c r="BD46" s="280">
        <f t="shared" ref="BD46:BF46" si="9">BD87</f>
        <v>0</v>
      </c>
      <c r="BE46" s="280">
        <f t="shared" si="9"/>
        <v>0</v>
      </c>
      <c r="BF46" s="280">
        <f t="shared" si="9"/>
        <v>44.927545117863247</v>
      </c>
    </row>
    <row r="47" spans="2:77" x14ac:dyDescent="0.2">
      <c r="AQ47" s="201" t="s">
        <v>552</v>
      </c>
      <c r="AR47" s="280">
        <f t="shared" si="1"/>
        <v>2.0694989883749622</v>
      </c>
      <c r="AS47" s="280">
        <f t="shared" si="1"/>
        <v>5.671161105764883E-3</v>
      </c>
      <c r="AT47" s="280">
        <f t="shared" si="1"/>
        <v>0.51237375403207552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ref="AZ47:BC47" si="10">AZ88</f>
        <v>0</v>
      </c>
      <c r="BA47" s="280">
        <f t="shared" si="10"/>
        <v>0</v>
      </c>
      <c r="BB47" s="280">
        <f t="shared" si="10"/>
        <v>0</v>
      </c>
      <c r="BC47" s="280">
        <f t="shared" si="10"/>
        <v>0</v>
      </c>
      <c r="BD47" s="280">
        <f t="shared" ref="BD47:BF47" si="11">BD88</f>
        <v>0</v>
      </c>
      <c r="BE47" s="280">
        <f t="shared" si="11"/>
        <v>0</v>
      </c>
      <c r="BF47" s="280">
        <f t="shared" si="11"/>
        <v>0</v>
      </c>
    </row>
    <row r="48" spans="2:77" x14ac:dyDescent="0.2">
      <c r="AQ48" s="201" t="s">
        <v>553</v>
      </c>
      <c r="AR48" s="280">
        <f t="shared" si="1"/>
        <v>0</v>
      </c>
      <c r="AS48" s="280">
        <f t="shared" si="1"/>
        <v>5.1714158616864253E-4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ref="AZ48:BC48" si="12">AZ89</f>
        <v>0</v>
      </c>
      <c r="BA48" s="280">
        <f t="shared" si="12"/>
        <v>0</v>
      </c>
      <c r="BB48" s="280">
        <f t="shared" si="12"/>
        <v>0</v>
      </c>
      <c r="BC48" s="280">
        <f t="shared" si="12"/>
        <v>0</v>
      </c>
      <c r="BD48" s="280">
        <f t="shared" ref="BD48:BF48" si="13">BD89</f>
        <v>0</v>
      </c>
      <c r="BE48" s="280">
        <f t="shared" si="13"/>
        <v>0</v>
      </c>
      <c r="BF48" s="280">
        <f t="shared" si="13"/>
        <v>0</v>
      </c>
    </row>
    <row r="49" spans="43:58" x14ac:dyDescent="0.2">
      <c r="AQ49" s="201" t="s">
        <v>496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ref="AZ49:BC49" si="14">AZ90</f>
        <v>0</v>
      </c>
      <c r="BA49" s="280">
        <f t="shared" si="14"/>
        <v>0</v>
      </c>
      <c r="BB49" s="280">
        <f t="shared" si="14"/>
        <v>0</v>
      </c>
      <c r="BC49" s="280">
        <f t="shared" si="14"/>
        <v>0</v>
      </c>
      <c r="BD49" s="280">
        <f t="shared" ref="BD49:BF49" si="15">BD90</f>
        <v>0</v>
      </c>
      <c r="BE49" s="280">
        <f t="shared" si="15"/>
        <v>0</v>
      </c>
      <c r="BF49" s="280">
        <f t="shared" si="15"/>
        <v>4.914718171980665</v>
      </c>
    </row>
    <row r="50" spans="43:58" x14ac:dyDescent="0.2">
      <c r="AQ50" s="201" t="s">
        <v>545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ref="AZ50:BC50" si="16">AZ91</f>
        <v>0</v>
      </c>
      <c r="BA50" s="280">
        <f t="shared" si="16"/>
        <v>0</v>
      </c>
      <c r="BB50" s="280">
        <f t="shared" si="16"/>
        <v>0</v>
      </c>
      <c r="BC50" s="280">
        <f t="shared" si="16"/>
        <v>0</v>
      </c>
      <c r="BD50" s="280">
        <f t="shared" ref="BD50:BF50" si="17">BD91</f>
        <v>0</v>
      </c>
      <c r="BE50" s="280">
        <f t="shared" si="17"/>
        <v>0</v>
      </c>
      <c r="BF50" s="280">
        <f t="shared" si="17"/>
        <v>0</v>
      </c>
    </row>
    <row r="51" spans="43:58" ht="16" x14ac:dyDescent="0.2">
      <c r="AQ51" s="202" t="s">
        <v>527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1011.7674660019052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ref="AZ51:BC51" si="18">AZ92</f>
        <v>0</v>
      </c>
      <c r="BA51" s="280">
        <f t="shared" si="18"/>
        <v>0</v>
      </c>
      <c r="BB51" s="280">
        <f t="shared" si="18"/>
        <v>0</v>
      </c>
      <c r="BC51" s="280">
        <f t="shared" si="18"/>
        <v>0</v>
      </c>
      <c r="BD51" s="280">
        <f t="shared" ref="BD51:BF51" si="19">BD92</f>
        <v>0</v>
      </c>
      <c r="BE51" s="280">
        <f t="shared" si="19"/>
        <v>0</v>
      </c>
      <c r="BF51" s="280">
        <f t="shared" si="19"/>
        <v>0</v>
      </c>
    </row>
    <row r="52" spans="43:58" x14ac:dyDescent="0.2">
      <c r="AQ52" s="201" t="s">
        <v>494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ref="AZ52:BC52" si="20">AZ93</f>
        <v>0</v>
      </c>
      <c r="BA52" s="280">
        <f t="shared" si="20"/>
        <v>0</v>
      </c>
      <c r="BB52" s="280">
        <f t="shared" si="20"/>
        <v>0</v>
      </c>
      <c r="BC52" s="280">
        <f t="shared" si="20"/>
        <v>0</v>
      </c>
      <c r="BD52" s="280">
        <f t="shared" ref="BD52:BF52" si="21">BD93</f>
        <v>0</v>
      </c>
      <c r="BE52" s="280">
        <f t="shared" si="21"/>
        <v>0</v>
      </c>
      <c r="BF52" s="280">
        <f t="shared" si="21"/>
        <v>0</v>
      </c>
    </row>
    <row r="53" spans="43:58" ht="16" x14ac:dyDescent="0.2">
      <c r="AQ53" s="202" t="s">
        <v>497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208.55560337725498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ref="AZ53:BC53" si="22">AZ94</f>
        <v>0</v>
      </c>
      <c r="BA53" s="280">
        <f t="shared" si="22"/>
        <v>0</v>
      </c>
      <c r="BB53" s="280">
        <f t="shared" si="22"/>
        <v>0</v>
      </c>
      <c r="BC53" s="280">
        <f t="shared" si="22"/>
        <v>0</v>
      </c>
      <c r="BD53" s="280">
        <f t="shared" ref="BD53:BF53" si="23">BD94</f>
        <v>0</v>
      </c>
      <c r="BE53" s="280">
        <f t="shared" si="23"/>
        <v>0</v>
      </c>
      <c r="BF53" s="280">
        <f t="shared" si="23"/>
        <v>0</v>
      </c>
    </row>
    <row r="54" spans="43:58" x14ac:dyDescent="0.2">
      <c r="AQ54" s="201" t="s">
        <v>522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ref="AZ54:BC54" si="24">AZ95</f>
        <v>0</v>
      </c>
      <c r="BA54" s="280">
        <f t="shared" si="24"/>
        <v>0</v>
      </c>
      <c r="BB54" s="280">
        <f t="shared" si="24"/>
        <v>0</v>
      </c>
      <c r="BC54" s="280">
        <f t="shared" si="24"/>
        <v>0</v>
      </c>
      <c r="BD54" s="280">
        <f t="shared" ref="BD54:BF54" si="25">BD95</f>
        <v>0</v>
      </c>
      <c r="BE54" s="280">
        <f t="shared" si="25"/>
        <v>0</v>
      </c>
      <c r="BF54" s="280">
        <f t="shared" si="25"/>
        <v>0</v>
      </c>
    </row>
    <row r="55" spans="43:58" x14ac:dyDescent="0.2">
      <c r="AQ55" s="203" t="s">
        <v>515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298.6148747230165</v>
      </c>
      <c r="AX55" s="280">
        <f t="shared" si="1"/>
        <v>0</v>
      </c>
      <c r="AY55" s="280">
        <f t="shared" si="1"/>
        <v>0</v>
      </c>
      <c r="AZ55" s="280">
        <f t="shared" ref="AZ55:BC55" si="26">AZ96</f>
        <v>0</v>
      </c>
      <c r="BA55" s="280">
        <f t="shared" si="26"/>
        <v>0</v>
      </c>
      <c r="BB55" s="280">
        <f t="shared" si="26"/>
        <v>0</v>
      </c>
      <c r="BC55" s="280">
        <f t="shared" si="26"/>
        <v>0</v>
      </c>
      <c r="BD55" s="280">
        <f t="shared" ref="BD55:BF55" si="27">BD96</f>
        <v>0</v>
      </c>
      <c r="BE55" s="280">
        <f t="shared" si="27"/>
        <v>0</v>
      </c>
      <c r="BF55" s="280">
        <f t="shared" si="27"/>
        <v>0</v>
      </c>
    </row>
    <row r="56" spans="43:58" x14ac:dyDescent="0.2">
      <c r="AQ56" s="201" t="s">
        <v>501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ref="AZ56:BC56" si="28">AZ97</f>
        <v>0</v>
      </c>
      <c r="BA56" s="280">
        <f t="shared" si="28"/>
        <v>0</v>
      </c>
      <c r="BB56" s="280">
        <f t="shared" si="28"/>
        <v>0</v>
      </c>
      <c r="BC56" s="280">
        <f t="shared" si="28"/>
        <v>0</v>
      </c>
      <c r="BD56" s="280">
        <f t="shared" ref="BD56:BF56" si="29">BD97</f>
        <v>0</v>
      </c>
      <c r="BE56" s="280">
        <f t="shared" si="29"/>
        <v>0</v>
      </c>
      <c r="BF56" s="280">
        <f t="shared" si="29"/>
        <v>0</v>
      </c>
    </row>
    <row r="57" spans="43:58" ht="16" x14ac:dyDescent="0.2">
      <c r="AQ57" s="202" t="s">
        <v>526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1011.7674660019052</v>
      </c>
      <c r="AY57" s="280">
        <f t="shared" si="1"/>
        <v>0</v>
      </c>
      <c r="AZ57" s="280">
        <f t="shared" ref="AZ57:BC57" si="30">AZ98</f>
        <v>0</v>
      </c>
      <c r="BA57" s="280">
        <f t="shared" si="30"/>
        <v>0</v>
      </c>
      <c r="BB57" s="280">
        <f t="shared" si="30"/>
        <v>0</v>
      </c>
      <c r="BC57" s="280">
        <f t="shared" si="30"/>
        <v>0</v>
      </c>
      <c r="BD57" s="280">
        <f t="shared" ref="BD57:BF57" si="31">BD98</f>
        <v>0</v>
      </c>
      <c r="BE57" s="280">
        <f t="shared" si="31"/>
        <v>0</v>
      </c>
      <c r="BF57" s="280">
        <f t="shared" si="31"/>
        <v>0</v>
      </c>
    </row>
    <row r="58" spans="43:58" ht="16" x14ac:dyDescent="0.2">
      <c r="AQ58" s="202" t="s">
        <v>521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208.55560337725498</v>
      </c>
      <c r="AZ58" s="280">
        <f t="shared" ref="AZ58:BC58" si="32">AZ99</f>
        <v>0</v>
      </c>
      <c r="BA58" s="280">
        <f t="shared" si="32"/>
        <v>0</v>
      </c>
      <c r="BB58" s="280">
        <f t="shared" si="32"/>
        <v>0</v>
      </c>
      <c r="BC58" s="280">
        <f t="shared" si="32"/>
        <v>0</v>
      </c>
      <c r="BD58" s="280">
        <f t="shared" ref="BD58:BF58" si="33">BD99</f>
        <v>0</v>
      </c>
      <c r="BE58" s="280">
        <f t="shared" si="33"/>
        <v>0</v>
      </c>
      <c r="BF58" s="280">
        <f t="shared" si="33"/>
        <v>0</v>
      </c>
    </row>
    <row r="59" spans="43:58" ht="16" x14ac:dyDescent="0.2">
      <c r="AQ59" s="202" t="s">
        <v>518</v>
      </c>
      <c r="AR59" s="280">
        <f t="shared" si="1"/>
        <v>0</v>
      </c>
      <c r="AS59" s="280">
        <f t="shared" si="1"/>
        <v>0</v>
      </c>
      <c r="AT59" s="280">
        <f t="shared" si="1"/>
        <v>0</v>
      </c>
      <c r="AU59" s="280">
        <f t="shared" si="1"/>
        <v>0</v>
      </c>
      <c r="AV59" s="280">
        <f t="shared" si="1"/>
        <v>0</v>
      </c>
      <c r="AW59" s="280">
        <f t="shared" si="1"/>
        <v>0</v>
      </c>
      <c r="AX59" s="280">
        <f t="shared" si="1"/>
        <v>0</v>
      </c>
      <c r="AY59" s="280">
        <f t="shared" si="1"/>
        <v>0</v>
      </c>
      <c r="AZ59" s="280">
        <f t="shared" ref="AZ59:BC59" si="34">AZ100</f>
        <v>298.6148747230165</v>
      </c>
      <c r="BA59" s="280">
        <f t="shared" si="34"/>
        <v>0</v>
      </c>
      <c r="BB59" s="280">
        <f t="shared" si="34"/>
        <v>0</v>
      </c>
      <c r="BC59" s="280">
        <f t="shared" si="34"/>
        <v>0</v>
      </c>
      <c r="BD59" s="280">
        <f t="shared" ref="BD59:BF59" si="35">BD100</f>
        <v>0</v>
      </c>
      <c r="BE59" s="280">
        <f t="shared" si="35"/>
        <v>0</v>
      </c>
      <c r="BF59" s="280">
        <f t="shared" si="35"/>
        <v>0</v>
      </c>
    </row>
    <row r="60" spans="43:58" ht="16" x14ac:dyDescent="0.2">
      <c r="AQ60" s="202" t="s">
        <v>524</v>
      </c>
      <c r="AR60" s="280">
        <f t="shared" si="1"/>
        <v>0</v>
      </c>
      <c r="AS60" s="280">
        <f t="shared" si="1"/>
        <v>0</v>
      </c>
      <c r="AT60" s="280">
        <f t="shared" si="1"/>
        <v>0</v>
      </c>
      <c r="AU60" s="280">
        <f t="shared" si="1"/>
        <v>0</v>
      </c>
      <c r="AV60" s="280">
        <f t="shared" si="1"/>
        <v>0</v>
      </c>
      <c r="AW60" s="280">
        <f t="shared" si="1"/>
        <v>0</v>
      </c>
      <c r="AX60" s="280">
        <f t="shared" si="1"/>
        <v>0</v>
      </c>
      <c r="AY60" s="280">
        <f t="shared" si="1"/>
        <v>0</v>
      </c>
      <c r="AZ60" s="280">
        <f t="shared" ref="AZ60:BC60" si="36">AZ101</f>
        <v>0</v>
      </c>
      <c r="BA60" s="280">
        <f t="shared" si="36"/>
        <v>0</v>
      </c>
      <c r="BB60" s="280">
        <f t="shared" si="36"/>
        <v>0</v>
      </c>
      <c r="BC60" s="280">
        <f t="shared" si="36"/>
        <v>0</v>
      </c>
      <c r="BD60" s="280">
        <f t="shared" ref="BD60:BF60" si="37">BD101</f>
        <v>0</v>
      </c>
      <c r="BE60" s="280">
        <f t="shared" si="37"/>
        <v>1000.0000000000001</v>
      </c>
      <c r="BF60" s="280">
        <f t="shared" si="37"/>
        <v>0</v>
      </c>
    </row>
    <row r="61" spans="43:58" x14ac:dyDescent="0.2">
      <c r="AQ61" s="203" t="s">
        <v>523</v>
      </c>
      <c r="AR61" s="280">
        <f t="shared" si="1"/>
        <v>0</v>
      </c>
      <c r="AS61" s="280">
        <f t="shared" si="1"/>
        <v>0</v>
      </c>
      <c r="AT61" s="280">
        <f t="shared" si="1"/>
        <v>0</v>
      </c>
      <c r="AU61" s="280">
        <f t="shared" si="1"/>
        <v>0</v>
      </c>
      <c r="AV61" s="280">
        <f t="shared" si="1"/>
        <v>0</v>
      </c>
      <c r="AW61" s="280">
        <f t="shared" si="1"/>
        <v>0</v>
      </c>
      <c r="AX61" s="280">
        <f t="shared" si="1"/>
        <v>0</v>
      </c>
      <c r="AY61" s="280">
        <f t="shared" si="1"/>
        <v>0</v>
      </c>
      <c r="AZ61" s="280">
        <f t="shared" ref="AZ61:BC61" si="38">AZ102</f>
        <v>0</v>
      </c>
      <c r="BA61" s="280">
        <f t="shared" si="38"/>
        <v>0</v>
      </c>
      <c r="BB61" s="280">
        <f t="shared" si="38"/>
        <v>0</v>
      </c>
      <c r="BC61" s="280">
        <f t="shared" si="38"/>
        <v>0</v>
      </c>
      <c r="BD61" s="280">
        <f t="shared" ref="BD61:BF61" si="39">BD102</f>
        <v>0</v>
      </c>
      <c r="BE61" s="280">
        <f t="shared" si="39"/>
        <v>0</v>
      </c>
      <c r="BF61" s="280">
        <f t="shared" si="39"/>
        <v>0</v>
      </c>
    </row>
    <row r="62" spans="43:58" x14ac:dyDescent="0.2">
      <c r="AQ62" s="203" t="s">
        <v>509</v>
      </c>
      <c r="AR62" s="280">
        <f t="shared" si="1"/>
        <v>0</v>
      </c>
      <c r="AS62" s="280">
        <f t="shared" si="1"/>
        <v>0</v>
      </c>
      <c r="AT62" s="280">
        <f t="shared" si="1"/>
        <v>0</v>
      </c>
      <c r="AU62" s="280">
        <f t="shared" si="1"/>
        <v>0</v>
      </c>
      <c r="AV62" s="280">
        <f t="shared" si="1"/>
        <v>0</v>
      </c>
      <c r="AW62" s="280">
        <f t="shared" si="1"/>
        <v>0</v>
      </c>
      <c r="AX62" s="280">
        <f t="shared" si="1"/>
        <v>0</v>
      </c>
      <c r="AY62" s="280">
        <f t="shared" si="1"/>
        <v>0</v>
      </c>
      <c r="AZ62" s="280">
        <f t="shared" ref="AZ62:BC62" si="40">AZ103</f>
        <v>0</v>
      </c>
      <c r="BA62" s="280">
        <f t="shared" si="40"/>
        <v>208.55560337725498</v>
      </c>
      <c r="BB62" s="280">
        <f t="shared" si="40"/>
        <v>0</v>
      </c>
      <c r="BC62" s="280">
        <f t="shared" si="40"/>
        <v>0</v>
      </c>
      <c r="BD62" s="280">
        <f t="shared" ref="BD62:BF62" si="41">BD103</f>
        <v>0</v>
      </c>
      <c r="BE62" s="280">
        <f t="shared" si="41"/>
        <v>0</v>
      </c>
      <c r="BF62" s="280">
        <f t="shared" si="41"/>
        <v>0</v>
      </c>
    </row>
    <row r="63" spans="43:58" x14ac:dyDescent="0.2">
      <c r="AQ63" s="203" t="s">
        <v>542</v>
      </c>
      <c r="AR63" s="280">
        <f t="shared" si="1"/>
        <v>0</v>
      </c>
      <c r="AS63" s="280">
        <f t="shared" si="1"/>
        <v>0</v>
      </c>
      <c r="AT63" s="280">
        <f t="shared" si="1"/>
        <v>0</v>
      </c>
      <c r="AU63" s="280">
        <f t="shared" si="1"/>
        <v>0</v>
      </c>
      <c r="AV63" s="280">
        <f t="shared" si="1"/>
        <v>0</v>
      </c>
      <c r="AW63" s="280">
        <f t="shared" si="1"/>
        <v>0</v>
      </c>
      <c r="AX63" s="280">
        <f t="shared" si="1"/>
        <v>0</v>
      </c>
      <c r="AY63" s="280">
        <f t="shared" si="1"/>
        <v>0</v>
      </c>
      <c r="AZ63" s="280">
        <f t="shared" ref="AZ63:BC63" si="42">AZ104</f>
        <v>0</v>
      </c>
      <c r="BA63" s="280">
        <f t="shared" si="42"/>
        <v>0</v>
      </c>
      <c r="BB63" s="280">
        <f t="shared" si="42"/>
        <v>298.6148747230165</v>
      </c>
      <c r="BC63" s="280">
        <f t="shared" si="42"/>
        <v>0</v>
      </c>
      <c r="BD63" s="280">
        <f t="shared" ref="BD63:BF63" si="43">BD104</f>
        <v>0</v>
      </c>
      <c r="BE63" s="280">
        <f t="shared" si="43"/>
        <v>0</v>
      </c>
      <c r="BF63" s="280">
        <f t="shared" si="43"/>
        <v>0</v>
      </c>
    </row>
    <row r="64" spans="43:58" x14ac:dyDescent="0.2">
      <c r="AQ64" s="203" t="s">
        <v>510</v>
      </c>
      <c r="AR64" s="280">
        <f t="shared" si="1"/>
        <v>0</v>
      </c>
      <c r="AS64" s="280">
        <f t="shared" si="1"/>
        <v>0</v>
      </c>
      <c r="AT64" s="280">
        <f t="shared" si="1"/>
        <v>0</v>
      </c>
      <c r="AU64" s="280">
        <f t="shared" si="1"/>
        <v>0</v>
      </c>
      <c r="AV64" s="280">
        <f t="shared" si="1"/>
        <v>0</v>
      </c>
      <c r="AW64" s="280">
        <f t="shared" si="1"/>
        <v>0</v>
      </c>
      <c r="AX64" s="280">
        <f t="shared" si="1"/>
        <v>0</v>
      </c>
      <c r="AY64" s="280">
        <f t="shared" si="1"/>
        <v>0</v>
      </c>
      <c r="AZ64" s="280">
        <f t="shared" ref="AZ64:BC64" si="44">AZ105</f>
        <v>0</v>
      </c>
      <c r="BA64" s="280">
        <f t="shared" si="44"/>
        <v>0</v>
      </c>
      <c r="BB64" s="280">
        <f t="shared" si="44"/>
        <v>0</v>
      </c>
      <c r="BC64" s="280">
        <f t="shared" si="44"/>
        <v>0</v>
      </c>
      <c r="BD64" s="280">
        <f t="shared" ref="BD64:BD68" si="45">BD105</f>
        <v>0</v>
      </c>
      <c r="BE64" s="280">
        <f t="shared" ref="BE64:BF64" si="46">BE105</f>
        <v>111.00813284002646</v>
      </c>
      <c r="BF64" s="280">
        <f t="shared" si="46"/>
        <v>0</v>
      </c>
    </row>
    <row r="65" spans="43:58" x14ac:dyDescent="0.2">
      <c r="AQ65" s="203" t="s">
        <v>512</v>
      </c>
      <c r="AR65" s="280">
        <f t="shared" si="1"/>
        <v>0</v>
      </c>
      <c r="AS65" s="280">
        <f t="shared" si="1"/>
        <v>0</v>
      </c>
      <c r="AT65" s="280">
        <f t="shared" si="1"/>
        <v>0</v>
      </c>
      <c r="AU65" s="280">
        <f t="shared" si="1"/>
        <v>0</v>
      </c>
      <c r="AV65" s="280">
        <f t="shared" si="1"/>
        <v>0</v>
      </c>
      <c r="AW65" s="280">
        <f t="shared" si="1"/>
        <v>0</v>
      </c>
      <c r="AX65" s="280">
        <f t="shared" si="1"/>
        <v>0</v>
      </c>
      <c r="AY65" s="280">
        <f t="shared" si="1"/>
        <v>0</v>
      </c>
      <c r="AZ65" s="280">
        <f t="shared" ref="AZ65:BC65" si="47">AZ106</f>
        <v>0</v>
      </c>
      <c r="BA65" s="280">
        <f t="shared" si="47"/>
        <v>0</v>
      </c>
      <c r="BB65" s="280">
        <f t="shared" si="47"/>
        <v>0</v>
      </c>
      <c r="BC65" s="280">
        <f t="shared" si="47"/>
        <v>0</v>
      </c>
      <c r="BD65" s="280">
        <f t="shared" si="45"/>
        <v>0</v>
      </c>
      <c r="BE65" s="280">
        <f t="shared" ref="BE65:BF65" si="48">BE106</f>
        <v>0</v>
      </c>
      <c r="BF65" s="280">
        <f t="shared" si="48"/>
        <v>0</v>
      </c>
    </row>
    <row r="66" spans="43:58" x14ac:dyDescent="0.2">
      <c r="AQ66" s="203" t="s">
        <v>511</v>
      </c>
      <c r="AR66" s="280">
        <f t="shared" si="1"/>
        <v>0</v>
      </c>
      <c r="AS66" s="280">
        <f t="shared" si="1"/>
        <v>0</v>
      </c>
      <c r="AT66" s="280">
        <f t="shared" si="1"/>
        <v>0</v>
      </c>
      <c r="AU66" s="280">
        <f t="shared" si="1"/>
        <v>0</v>
      </c>
      <c r="AV66" s="280">
        <f t="shared" si="1"/>
        <v>0</v>
      </c>
      <c r="AW66" s="280">
        <f t="shared" si="1"/>
        <v>0</v>
      </c>
      <c r="AX66" s="280">
        <f t="shared" si="1"/>
        <v>0</v>
      </c>
      <c r="AY66" s="280">
        <f t="shared" si="1"/>
        <v>0</v>
      </c>
      <c r="AZ66" s="280">
        <f t="shared" ref="AZ66:BC66" si="49">AZ107</f>
        <v>0</v>
      </c>
      <c r="BA66" s="280">
        <f t="shared" si="49"/>
        <v>0</v>
      </c>
      <c r="BB66" s="280">
        <f t="shared" si="49"/>
        <v>0</v>
      </c>
      <c r="BC66" s="280">
        <f t="shared" si="49"/>
        <v>0</v>
      </c>
      <c r="BD66" s="280">
        <f t="shared" si="45"/>
        <v>0</v>
      </c>
      <c r="BE66" s="280">
        <f t="shared" ref="BE66:BF66" si="50">BE107</f>
        <v>0</v>
      </c>
      <c r="BF66" s="280">
        <f t="shared" si="50"/>
        <v>0</v>
      </c>
    </row>
    <row r="67" spans="43:58" x14ac:dyDescent="0.2">
      <c r="AQ67" s="203" t="s">
        <v>607</v>
      </c>
      <c r="AR67" s="280">
        <f t="shared" si="1"/>
        <v>0</v>
      </c>
      <c r="AS67" s="280">
        <f t="shared" si="1"/>
        <v>0</v>
      </c>
      <c r="AT67" s="280">
        <f t="shared" si="1"/>
        <v>0</v>
      </c>
      <c r="AU67" s="280">
        <f t="shared" si="1"/>
        <v>0</v>
      </c>
      <c r="AV67" s="280">
        <f t="shared" si="1"/>
        <v>0</v>
      </c>
      <c r="AW67" s="280">
        <f t="shared" si="1"/>
        <v>0</v>
      </c>
      <c r="AX67" s="280">
        <f t="shared" si="1"/>
        <v>0</v>
      </c>
      <c r="AY67" s="280">
        <f t="shared" ref="AY67:BC67" si="51">AY108</f>
        <v>0</v>
      </c>
      <c r="AZ67" s="280">
        <f t="shared" si="51"/>
        <v>0</v>
      </c>
      <c r="BA67" s="280">
        <f t="shared" si="51"/>
        <v>0</v>
      </c>
      <c r="BB67" s="280">
        <f t="shared" si="51"/>
        <v>0</v>
      </c>
      <c r="BC67" s="280">
        <f t="shared" si="51"/>
        <v>0</v>
      </c>
      <c r="BD67" s="280">
        <f t="shared" si="45"/>
        <v>0</v>
      </c>
      <c r="BE67" s="280">
        <f t="shared" ref="BE67:BF67" si="52">BE108</f>
        <v>203.27980063725872</v>
      </c>
      <c r="BF67" s="280">
        <f t="shared" si="52"/>
        <v>0</v>
      </c>
    </row>
    <row r="68" spans="43:58" ht="16" x14ac:dyDescent="0.2">
      <c r="AQ68" s="249" t="s">
        <v>507</v>
      </c>
      <c r="AR68" s="280">
        <f t="shared" si="1"/>
        <v>0</v>
      </c>
      <c r="AS68" s="280">
        <f t="shared" si="1"/>
        <v>0</v>
      </c>
      <c r="AT68" s="280">
        <f t="shared" si="1"/>
        <v>0</v>
      </c>
      <c r="AU68" s="280">
        <f t="shared" si="1"/>
        <v>0</v>
      </c>
      <c r="AV68" s="280">
        <f t="shared" si="1"/>
        <v>0</v>
      </c>
      <c r="AW68" s="280">
        <f t="shared" si="1"/>
        <v>0</v>
      </c>
      <c r="AX68" s="280">
        <f t="shared" si="1"/>
        <v>0</v>
      </c>
      <c r="AY68" s="280">
        <f t="shared" ref="AY68:BC68" si="53">AY109</f>
        <v>0</v>
      </c>
      <c r="AZ68" s="280">
        <f t="shared" si="53"/>
        <v>0</v>
      </c>
      <c r="BA68" s="280">
        <f t="shared" si="53"/>
        <v>0</v>
      </c>
      <c r="BB68" s="280">
        <f t="shared" si="53"/>
        <v>0</v>
      </c>
      <c r="BC68" s="280">
        <f t="shared" si="53"/>
        <v>46.0998047134687</v>
      </c>
      <c r="BD68" s="280">
        <f t="shared" si="45"/>
        <v>0</v>
      </c>
      <c r="BE68" s="280">
        <f t="shared" ref="BE68:BF68" si="54">BE109</f>
        <v>0</v>
      </c>
      <c r="BF68" s="280">
        <f t="shared" si="54"/>
        <v>0</v>
      </c>
    </row>
    <row r="69" spans="43:58" ht="16" x14ac:dyDescent="0.2">
      <c r="AQ69" s="249" t="s">
        <v>684</v>
      </c>
      <c r="AR69" s="280"/>
      <c r="AS69" s="280"/>
      <c r="AT69" s="280"/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</row>
    <row r="70" spans="43:58" x14ac:dyDescent="0.2">
      <c r="AQ70" s="203" t="s">
        <v>506</v>
      </c>
      <c r="AR70" s="280">
        <f t="shared" ref="AR70:AX71" si="55">AR111</f>
        <v>0</v>
      </c>
      <c r="AS70" s="280">
        <f t="shared" si="55"/>
        <v>0</v>
      </c>
      <c r="AT70" s="280">
        <f t="shared" si="55"/>
        <v>0</v>
      </c>
      <c r="AU70" s="280">
        <f t="shared" si="55"/>
        <v>0</v>
      </c>
      <c r="AV70" s="280">
        <f t="shared" si="55"/>
        <v>0</v>
      </c>
      <c r="AW70" s="280">
        <f t="shared" si="55"/>
        <v>0</v>
      </c>
      <c r="AX70" s="280">
        <f t="shared" si="55"/>
        <v>0</v>
      </c>
      <c r="AY70" s="280">
        <f t="shared" ref="AY70:BC70" si="56">AY111</f>
        <v>0</v>
      </c>
      <c r="AZ70" s="280">
        <f t="shared" si="56"/>
        <v>0</v>
      </c>
      <c r="BA70" s="280">
        <f t="shared" si="56"/>
        <v>0</v>
      </c>
      <c r="BB70" s="280">
        <f t="shared" si="56"/>
        <v>0</v>
      </c>
      <c r="BC70" s="280">
        <f t="shared" si="56"/>
        <v>0</v>
      </c>
      <c r="BD70" s="280">
        <f>BD111</f>
        <v>0</v>
      </c>
      <c r="BE70" s="280">
        <f t="shared" ref="BE70:BF70" si="57">BE111</f>
        <v>0</v>
      </c>
      <c r="BF70" s="280">
        <f t="shared" si="57"/>
        <v>0</v>
      </c>
    </row>
    <row r="71" spans="43:58" x14ac:dyDescent="0.2">
      <c r="AQ71" s="201" t="s">
        <v>508</v>
      </c>
      <c r="AR71" s="280">
        <f t="shared" si="55"/>
        <v>0</v>
      </c>
      <c r="AS71" s="280">
        <f t="shared" si="55"/>
        <v>0</v>
      </c>
      <c r="AT71" s="280">
        <f t="shared" si="55"/>
        <v>0</v>
      </c>
      <c r="AU71" s="280">
        <f t="shared" si="55"/>
        <v>0</v>
      </c>
      <c r="AV71" s="280">
        <f t="shared" si="55"/>
        <v>0</v>
      </c>
      <c r="AW71" s="280">
        <f t="shared" si="55"/>
        <v>0</v>
      </c>
      <c r="AX71" s="280">
        <f t="shared" si="55"/>
        <v>0</v>
      </c>
      <c r="AY71" s="280">
        <f t="shared" ref="AY71:BC71" si="58">AY112</f>
        <v>0</v>
      </c>
      <c r="AZ71" s="280">
        <f t="shared" si="58"/>
        <v>0</v>
      </c>
      <c r="BA71" s="280">
        <f t="shared" si="58"/>
        <v>0</v>
      </c>
      <c r="BB71" s="280">
        <f t="shared" si="58"/>
        <v>0</v>
      </c>
      <c r="BC71" s="280">
        <f t="shared" si="58"/>
        <v>0</v>
      </c>
      <c r="BD71" s="280">
        <f>BD112</f>
        <v>0</v>
      </c>
      <c r="BE71" s="280">
        <f t="shared" ref="BE71:BF71" si="59">BE112</f>
        <v>0</v>
      </c>
      <c r="BF71" s="280">
        <f t="shared" si="59"/>
        <v>0</v>
      </c>
    </row>
    <row r="72" spans="43:58" x14ac:dyDescent="0.2">
      <c r="AQ72" s="203" t="s">
        <v>643</v>
      </c>
      <c r="AR72" s="280">
        <f t="shared" ref="AR72:AR77" si="60">AR113</f>
        <v>0</v>
      </c>
      <c r="AS72" s="280">
        <f t="shared" ref="AS72:BC72" si="61">AS113</f>
        <v>0</v>
      </c>
      <c r="AT72" s="280">
        <f t="shared" si="61"/>
        <v>0</v>
      </c>
      <c r="AU72" s="280">
        <f t="shared" si="61"/>
        <v>0</v>
      </c>
      <c r="AV72" s="280">
        <f t="shared" si="61"/>
        <v>0</v>
      </c>
      <c r="AW72" s="280">
        <f t="shared" si="61"/>
        <v>0</v>
      </c>
      <c r="AX72" s="280">
        <f t="shared" si="61"/>
        <v>0</v>
      </c>
      <c r="AY72" s="280">
        <f t="shared" si="61"/>
        <v>0</v>
      </c>
      <c r="AZ72" s="280">
        <f t="shared" si="61"/>
        <v>0</v>
      </c>
      <c r="BA72" s="280">
        <f t="shared" si="61"/>
        <v>0</v>
      </c>
      <c r="BB72" s="280">
        <f t="shared" si="61"/>
        <v>0</v>
      </c>
      <c r="BC72" s="280">
        <f t="shared" si="61"/>
        <v>0</v>
      </c>
      <c r="BD72" s="280"/>
      <c r="BE72" s="280">
        <f t="shared" ref="BE72:BF72" si="62">BE113</f>
        <v>0</v>
      </c>
      <c r="BF72" s="280">
        <f t="shared" si="62"/>
        <v>0</v>
      </c>
    </row>
    <row r="73" spans="43:58" x14ac:dyDescent="0.2">
      <c r="AQ73" s="203" t="s">
        <v>646</v>
      </c>
      <c r="AR73" s="280">
        <f t="shared" si="60"/>
        <v>0</v>
      </c>
      <c r="AS73" s="280">
        <f t="shared" ref="AS73:AX77" si="63">AS114</f>
        <v>0</v>
      </c>
      <c r="AT73" s="280">
        <f t="shared" si="63"/>
        <v>0</v>
      </c>
      <c r="AU73" s="280">
        <f t="shared" si="63"/>
        <v>0</v>
      </c>
      <c r="AV73" s="280">
        <f t="shared" si="63"/>
        <v>0</v>
      </c>
      <c r="AW73" s="280">
        <f t="shared" si="63"/>
        <v>0</v>
      </c>
      <c r="AX73" s="280">
        <f t="shared" si="63"/>
        <v>0</v>
      </c>
      <c r="AY73" s="280">
        <f t="shared" ref="AY73:BC73" si="64">AY114</f>
        <v>0</v>
      </c>
      <c r="AZ73" s="280">
        <f t="shared" si="64"/>
        <v>0</v>
      </c>
      <c r="BA73" s="280">
        <f t="shared" si="64"/>
        <v>0</v>
      </c>
      <c r="BB73" s="280">
        <f t="shared" si="64"/>
        <v>0</v>
      </c>
      <c r="BC73" s="280">
        <f t="shared" si="64"/>
        <v>0</v>
      </c>
      <c r="BD73" s="280">
        <f t="shared" ref="BD73" si="65">BD113</f>
        <v>46.099804713468714</v>
      </c>
      <c r="BE73" s="280">
        <f t="shared" ref="BE73:BF73" si="66">BE114</f>
        <v>0</v>
      </c>
      <c r="BF73" s="280">
        <f t="shared" si="66"/>
        <v>32.269863299428096</v>
      </c>
    </row>
    <row r="74" spans="43:58" x14ac:dyDescent="0.2">
      <c r="AQ74" s="203" t="s">
        <v>530</v>
      </c>
      <c r="AR74" s="280">
        <f t="shared" si="60"/>
        <v>0</v>
      </c>
      <c r="AS74" s="280">
        <f t="shared" si="63"/>
        <v>0</v>
      </c>
      <c r="AT74" s="280">
        <f t="shared" si="63"/>
        <v>0</v>
      </c>
      <c r="AU74" s="280">
        <f t="shared" si="63"/>
        <v>0</v>
      </c>
      <c r="AV74" s="280">
        <f t="shared" si="63"/>
        <v>0</v>
      </c>
      <c r="AW74" s="280">
        <f t="shared" si="63"/>
        <v>0</v>
      </c>
      <c r="AX74" s="280">
        <f t="shared" si="63"/>
        <v>0</v>
      </c>
      <c r="AY74" s="280">
        <f t="shared" ref="AY74:BC74" si="67">AY115</f>
        <v>0</v>
      </c>
      <c r="AZ74" s="280">
        <f t="shared" si="67"/>
        <v>0</v>
      </c>
      <c r="BA74" s="280">
        <f t="shared" si="67"/>
        <v>0</v>
      </c>
      <c r="BB74" s="280">
        <f t="shared" si="67"/>
        <v>0</v>
      </c>
      <c r="BC74" s="280">
        <f t="shared" si="67"/>
        <v>0</v>
      </c>
      <c r="BD74" s="280">
        <f t="shared" ref="BD74" si="68">BD114</f>
        <v>0</v>
      </c>
      <c r="BE74" s="280">
        <f t="shared" ref="BE74:BF74" si="69">BE115</f>
        <v>0</v>
      </c>
      <c r="BF74" s="280">
        <f t="shared" si="69"/>
        <v>1314.2879334772852</v>
      </c>
    </row>
    <row r="75" spans="43:58" x14ac:dyDescent="0.2">
      <c r="AQ75" s="203" t="s">
        <v>531</v>
      </c>
      <c r="AR75" s="280">
        <f t="shared" si="60"/>
        <v>0</v>
      </c>
      <c r="AS75" s="280">
        <f t="shared" si="63"/>
        <v>0</v>
      </c>
      <c r="AT75" s="280">
        <f t="shared" si="63"/>
        <v>0</v>
      </c>
      <c r="AU75" s="280">
        <f t="shared" si="63"/>
        <v>0</v>
      </c>
      <c r="AV75" s="280">
        <f t="shared" si="63"/>
        <v>0</v>
      </c>
      <c r="AW75" s="280">
        <f t="shared" si="63"/>
        <v>0</v>
      </c>
      <c r="AX75" s="280">
        <f t="shared" si="63"/>
        <v>0</v>
      </c>
      <c r="AY75" s="280">
        <f t="shared" ref="AY75:BC75" si="70">AY116</f>
        <v>0</v>
      </c>
      <c r="AZ75" s="280">
        <f t="shared" si="70"/>
        <v>0</v>
      </c>
      <c r="BA75" s="280">
        <f t="shared" si="70"/>
        <v>0</v>
      </c>
      <c r="BB75" s="280">
        <f t="shared" si="70"/>
        <v>0</v>
      </c>
      <c r="BC75" s="280">
        <f t="shared" si="70"/>
        <v>0</v>
      </c>
      <c r="BD75" s="280">
        <f t="shared" ref="BD75" si="71">BD115</f>
        <v>0</v>
      </c>
      <c r="BE75" s="280">
        <f t="shared" ref="BE75:BF75" si="72">BE116</f>
        <v>0</v>
      </c>
      <c r="BF75" s="280">
        <f t="shared" si="72"/>
        <v>0</v>
      </c>
    </row>
    <row r="76" spans="43:58" x14ac:dyDescent="0.2">
      <c r="AQ76" s="203" t="s">
        <v>532</v>
      </c>
      <c r="AR76" s="280">
        <f t="shared" si="60"/>
        <v>0</v>
      </c>
      <c r="AS76" s="280">
        <f t="shared" si="63"/>
        <v>0</v>
      </c>
      <c r="AT76" s="280">
        <f t="shared" si="63"/>
        <v>0</v>
      </c>
      <c r="AU76" s="280">
        <f t="shared" si="63"/>
        <v>0</v>
      </c>
      <c r="AV76" s="280">
        <f t="shared" si="63"/>
        <v>0</v>
      </c>
      <c r="AW76" s="280">
        <f t="shared" si="63"/>
        <v>0</v>
      </c>
      <c r="AX76" s="280">
        <f t="shared" si="63"/>
        <v>0</v>
      </c>
      <c r="AY76" s="280">
        <f t="shared" ref="AY76:BC76" si="73">AY117</f>
        <v>0</v>
      </c>
      <c r="AZ76" s="280">
        <f t="shared" si="73"/>
        <v>0</v>
      </c>
      <c r="BA76" s="280">
        <f t="shared" si="73"/>
        <v>0</v>
      </c>
      <c r="BB76" s="280">
        <f t="shared" si="73"/>
        <v>0</v>
      </c>
      <c r="BC76" s="280">
        <f t="shared" si="73"/>
        <v>0</v>
      </c>
      <c r="BD76" s="280">
        <f t="shared" ref="BD76" si="74">BD116</f>
        <v>0</v>
      </c>
      <c r="BE76" s="280">
        <f t="shared" ref="BE76:BF76" si="75">BE117</f>
        <v>0</v>
      </c>
      <c r="BF76" s="280">
        <f t="shared" si="75"/>
        <v>0</v>
      </c>
    </row>
    <row r="77" spans="43:58" x14ac:dyDescent="0.2">
      <c r="AQ77" s="203" t="s">
        <v>543</v>
      </c>
      <c r="AR77" s="280">
        <f t="shared" si="60"/>
        <v>0</v>
      </c>
      <c r="AS77" s="280">
        <f t="shared" si="63"/>
        <v>0</v>
      </c>
      <c r="AT77" s="280">
        <f t="shared" si="63"/>
        <v>0</v>
      </c>
      <c r="AU77" s="280">
        <f t="shared" si="63"/>
        <v>0</v>
      </c>
      <c r="AV77" s="280">
        <f t="shared" si="63"/>
        <v>0</v>
      </c>
      <c r="AW77" s="280">
        <f t="shared" si="63"/>
        <v>0</v>
      </c>
      <c r="AX77" s="280">
        <f t="shared" si="63"/>
        <v>0</v>
      </c>
      <c r="AY77" s="280">
        <f t="shared" ref="AY77:BC77" si="76">AY118</f>
        <v>0</v>
      </c>
      <c r="AZ77" s="280">
        <f t="shared" si="76"/>
        <v>0</v>
      </c>
      <c r="BA77" s="280">
        <f t="shared" si="76"/>
        <v>0</v>
      </c>
      <c r="BB77" s="280">
        <f t="shared" si="76"/>
        <v>0</v>
      </c>
      <c r="BC77" s="280">
        <f t="shared" si="76"/>
        <v>0</v>
      </c>
      <c r="BD77" s="280">
        <f t="shared" ref="BD77" si="77">BD117</f>
        <v>0</v>
      </c>
      <c r="BE77" s="280">
        <f t="shared" ref="BE77:BF77" si="78">BE118</f>
        <v>0</v>
      </c>
      <c r="BF77" s="280">
        <f t="shared" si="78"/>
        <v>0</v>
      </c>
    </row>
    <row r="78" spans="43:58" x14ac:dyDescent="0.2">
      <c r="AQ78" s="203"/>
      <c r="AR78" s="405" t="s">
        <v>558</v>
      </c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</row>
    <row r="82" spans="33:66" ht="112" x14ac:dyDescent="0.2">
      <c r="AG82" s="201"/>
      <c r="AH82" s="201"/>
      <c r="AQ82" s="256"/>
      <c r="AR82" s="204" t="s">
        <v>405</v>
      </c>
      <c r="AS82" s="204" t="s">
        <v>406</v>
      </c>
      <c r="AT82" s="204" t="s">
        <v>407</v>
      </c>
      <c r="AU82" s="204" t="s">
        <v>541</v>
      </c>
      <c r="AV82" s="204" t="s">
        <v>520</v>
      </c>
      <c r="AW82" s="204" t="s">
        <v>519</v>
      </c>
      <c r="AX82" s="204" t="s">
        <v>432</v>
      </c>
      <c r="AY82" s="204" t="s">
        <v>429</v>
      </c>
      <c r="AZ82" s="204" t="s">
        <v>444</v>
      </c>
      <c r="BA82" s="204" t="s">
        <v>430</v>
      </c>
      <c r="BB82" s="204" t="s">
        <v>425</v>
      </c>
      <c r="BC82" s="204" t="s">
        <v>642</v>
      </c>
      <c r="BD82" s="204" t="s">
        <v>645</v>
      </c>
      <c r="BE82" s="204" t="s">
        <v>81</v>
      </c>
      <c r="BF82" s="204" t="s">
        <v>417</v>
      </c>
      <c r="BK82" s="204"/>
      <c r="BL82" s="204" t="s">
        <v>411</v>
      </c>
      <c r="BM82" s="204" t="s">
        <v>353</v>
      </c>
    </row>
    <row r="83" spans="33:66" x14ac:dyDescent="0.2">
      <c r="AG83" s="201"/>
      <c r="AH83" s="201"/>
      <c r="AQ83" s="201" t="s">
        <v>413</v>
      </c>
      <c r="AR83" s="227">
        <f>Ore_to_PI!AN42</f>
        <v>1011.7674660019052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 t="shared" ref="BG83:BG118" si="79">SUM(AR83:BF83)</f>
        <v>1011.7674660019052</v>
      </c>
      <c r="BK83" s="201" t="s">
        <v>413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415</v>
      </c>
      <c r="AR84" s="227"/>
      <c r="AS84" s="227">
        <f>Ore_to_PI!U126</f>
        <v>208.55560337725498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 t="shared" si="79"/>
        <v>208.55560337725498</v>
      </c>
      <c r="BK84" s="201" t="s">
        <v>415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416</v>
      </c>
      <c r="AR85" s="227"/>
      <c r="AS85" s="227"/>
      <c r="AT85" s="227">
        <f>Ore_to_PI!U206</f>
        <v>298.6148747230165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si="79"/>
        <v>298.6148747230165</v>
      </c>
      <c r="BK85" s="201" t="s">
        <v>416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436</v>
      </c>
      <c r="AR86" s="227">
        <f>Ore_to_PI!U72</f>
        <v>30.150427560669065</v>
      </c>
      <c r="AS86" s="227">
        <f>Ore_to_PI!U163</f>
        <v>9.0394269236644703E-2</v>
      </c>
      <c r="AT86" s="227">
        <f>Ore_to_PI!U236</f>
        <v>7.4647476716394348</v>
      </c>
      <c r="AU86" s="227"/>
      <c r="AV86" s="227"/>
      <c r="AW86" s="227"/>
      <c r="AX86" s="227"/>
      <c r="AY86" s="227"/>
      <c r="AZ86" s="227"/>
      <c r="BA86" s="227">
        <f>Ore_to_PI!CA140</f>
        <v>356076.147280448</v>
      </c>
      <c r="BB86" s="227">
        <f>Ore_to_PI!CA232</f>
        <v>3494.7460959815226</v>
      </c>
      <c r="BC86" s="227"/>
      <c r="BD86" s="227"/>
      <c r="BE86" s="227"/>
      <c r="BF86" s="239">
        <f>Ore_to_PI!EL140</f>
        <v>2852.0490535886452</v>
      </c>
      <c r="BG86" s="248">
        <f t="shared" si="79"/>
        <v>362460.64799951972</v>
      </c>
      <c r="BK86" s="201" t="s">
        <v>436</v>
      </c>
      <c r="BL86" s="240"/>
      <c r="BM86" s="240"/>
      <c r="BN86" s="248">
        <f t="shared" ref="BN86:BN90" si="80">SUM(BL86:BM86)</f>
        <v>0</v>
      </c>
    </row>
    <row r="87" spans="33:66" x14ac:dyDescent="0.2">
      <c r="AG87" s="201"/>
      <c r="AH87" s="201"/>
      <c r="AQ87" s="201" t="s">
        <v>459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Ore_to_PI!CA152</f>
        <v>20798.316475388398</v>
      </c>
      <c r="BB87" s="227">
        <f>Ore_to_PI!CA244</f>
        <v>204.127223518021</v>
      </c>
      <c r="BC87" s="227"/>
      <c r="BD87" s="227"/>
      <c r="BE87" s="227"/>
      <c r="BF87" s="227">
        <f>Ore_to_PI!EL114</f>
        <v>44.927545117863247</v>
      </c>
      <c r="BG87" s="248">
        <f t="shared" si="79"/>
        <v>21047.371244024282</v>
      </c>
      <c r="BK87" s="201" t="s">
        <v>459</v>
      </c>
      <c r="BL87" s="240"/>
      <c r="BM87" s="240"/>
      <c r="BN87" s="248">
        <f t="shared" si="80"/>
        <v>0</v>
      </c>
    </row>
    <row r="88" spans="33:66" x14ac:dyDescent="0.2">
      <c r="AG88" s="201"/>
      <c r="AH88" s="201"/>
      <c r="AQ88" s="201" t="s">
        <v>552</v>
      </c>
      <c r="AR88" s="227">
        <f>Ore_to_PI!U59</f>
        <v>2.0694989883749622</v>
      </c>
      <c r="AS88" s="227">
        <f>Ore_to_PI!U140</f>
        <v>5.671161105764883E-3</v>
      </c>
      <c r="AT88" s="227">
        <f>Ore_to_PI!U222</f>
        <v>0.51237375403207552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79"/>
        <v>2.5875439035128025</v>
      </c>
      <c r="BK88" s="201" t="s">
        <v>552</v>
      </c>
      <c r="BL88" s="240"/>
      <c r="BM88" s="240"/>
      <c r="BN88" s="248">
        <f t="shared" si="80"/>
        <v>0</v>
      </c>
    </row>
    <row r="89" spans="33:66" x14ac:dyDescent="0.2">
      <c r="AG89" s="201"/>
      <c r="AH89" s="201"/>
      <c r="AQ89" s="201" t="s">
        <v>553</v>
      </c>
      <c r="AR89" s="227"/>
      <c r="AS89" s="227">
        <f>Ore_to_PI!U151</f>
        <v>5.1714158616864253E-4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79"/>
        <v>5.1714158616864253E-4</v>
      </c>
      <c r="BK89" s="201" t="s">
        <v>553</v>
      </c>
      <c r="BL89" s="240"/>
      <c r="BM89" s="240"/>
      <c r="BN89" s="248">
        <f t="shared" si="80"/>
        <v>0</v>
      </c>
    </row>
    <row r="90" spans="33:66" x14ac:dyDescent="0.2">
      <c r="AG90" s="201"/>
      <c r="AH90" s="201"/>
      <c r="AQ90" s="201" t="s">
        <v>496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Ore_to_PI!EL101</f>
        <v>4.914718171980665</v>
      </c>
      <c r="BG90" s="248">
        <f t="shared" si="79"/>
        <v>4.914718171980665</v>
      </c>
      <c r="BK90" s="201" t="s">
        <v>496</v>
      </c>
      <c r="BL90" s="240"/>
      <c r="BM90" s="240"/>
      <c r="BN90" s="248">
        <f t="shared" si="80"/>
        <v>0</v>
      </c>
    </row>
    <row r="91" spans="33:66" x14ac:dyDescent="0.2">
      <c r="AG91" s="242"/>
      <c r="AH91" s="242"/>
      <c r="AQ91" s="201" t="s">
        <v>545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79"/>
        <v>0</v>
      </c>
      <c r="BK91" s="201" t="s">
        <v>545</v>
      </c>
      <c r="BL91" s="240"/>
      <c r="BM91" s="240"/>
      <c r="BN91" s="248">
        <f t="shared" ref="BN91:BN97" si="81">SUM(BL91:BM91)</f>
        <v>0</v>
      </c>
    </row>
    <row r="92" spans="33:66" ht="16" x14ac:dyDescent="0.2">
      <c r="AG92" s="202"/>
      <c r="AH92" s="202"/>
      <c r="AQ92" s="202" t="s">
        <v>527</v>
      </c>
      <c r="AR92" s="227"/>
      <c r="AS92" s="227"/>
      <c r="AT92" s="227"/>
      <c r="AU92" s="227">
        <f>Ore_to_PI!AN42</f>
        <v>1011.7674660019052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79"/>
        <v>1011.7674660019052</v>
      </c>
      <c r="BK92" s="202" t="s">
        <v>527</v>
      </c>
      <c r="BL92" s="240"/>
      <c r="BM92" s="240"/>
      <c r="BN92" s="248">
        <f t="shared" si="81"/>
        <v>0</v>
      </c>
    </row>
    <row r="93" spans="33:66" x14ac:dyDescent="0.2">
      <c r="AG93" s="203"/>
      <c r="AH93" s="203"/>
      <c r="AQ93" s="201" t="s">
        <v>494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79"/>
        <v>0</v>
      </c>
      <c r="BK93" s="201" t="s">
        <v>494</v>
      </c>
      <c r="BL93" s="240"/>
      <c r="BM93" s="240">
        <f>Ore_to_PI!AN63</f>
        <v>32.219926549044033</v>
      </c>
      <c r="BN93" s="248">
        <f t="shared" si="81"/>
        <v>32.219926549044033</v>
      </c>
    </row>
    <row r="94" spans="33:66" ht="16" x14ac:dyDescent="0.2">
      <c r="AG94" s="203"/>
      <c r="AH94" s="203"/>
      <c r="AQ94" s="202" t="s">
        <v>497</v>
      </c>
      <c r="AR94" s="227"/>
      <c r="AS94" s="227"/>
      <c r="AT94" s="227"/>
      <c r="AU94" s="227"/>
      <c r="AV94" s="227">
        <f>Ore_to_PI!AO126</f>
        <v>208.55560337725498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79"/>
        <v>208.55560337725498</v>
      </c>
      <c r="BK94" s="202" t="s">
        <v>497</v>
      </c>
      <c r="BL94" s="240"/>
      <c r="BM94" s="244"/>
      <c r="BN94" s="248">
        <f t="shared" si="81"/>
        <v>0</v>
      </c>
    </row>
    <row r="95" spans="33:66" x14ac:dyDescent="0.2">
      <c r="AG95" s="203"/>
      <c r="AH95" s="203"/>
      <c r="AQ95" s="201" t="s">
        <v>522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79"/>
        <v>0</v>
      </c>
      <c r="BK95" s="201" t="s">
        <v>522</v>
      </c>
      <c r="BL95" s="240"/>
      <c r="BM95" s="240">
        <f>Ore_to_PI!AO142</f>
        <v>9.658257192857822E-2</v>
      </c>
      <c r="BN95" s="248">
        <f t="shared" si="81"/>
        <v>9.658257192857822E-2</v>
      </c>
    </row>
    <row r="96" spans="33:66" x14ac:dyDescent="0.2">
      <c r="AG96" s="203"/>
      <c r="AH96" s="203"/>
      <c r="AQ96" s="203" t="s">
        <v>515</v>
      </c>
      <c r="AR96" s="227"/>
      <c r="AS96" s="227"/>
      <c r="AT96" s="227"/>
      <c r="AU96" s="227"/>
      <c r="AV96" s="227"/>
      <c r="AW96" s="227">
        <f>Ore_to_PI!AO206</f>
        <v>298.6148747230165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79"/>
        <v>298.6148747230165</v>
      </c>
      <c r="BK96" s="203" t="s">
        <v>515</v>
      </c>
      <c r="BL96" s="240"/>
      <c r="BM96" s="240"/>
      <c r="BN96" s="248">
        <f t="shared" si="81"/>
        <v>0</v>
      </c>
    </row>
    <row r="97" spans="33:71" x14ac:dyDescent="0.2">
      <c r="AG97" s="203"/>
      <c r="AH97" s="203"/>
      <c r="AQ97" s="201" t="s">
        <v>501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79"/>
        <v>0</v>
      </c>
      <c r="BK97" s="201" t="s">
        <v>501</v>
      </c>
      <c r="BL97" s="240"/>
      <c r="BM97" s="240">
        <f>Ore_to_PI!AO227</f>
        <v>7.9771214256715108</v>
      </c>
      <c r="BN97" s="248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526</v>
      </c>
      <c r="AR98" s="227"/>
      <c r="AS98" s="227"/>
      <c r="AT98" s="227"/>
      <c r="AU98" s="227"/>
      <c r="AV98" s="227"/>
      <c r="AW98" s="227"/>
      <c r="AX98" s="227">
        <f>Ore_to_PI!BG42</f>
        <v>1011.7674660019052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79"/>
        <v>1011.7674660019052</v>
      </c>
      <c r="BK98" s="202" t="s">
        <v>526</v>
      </c>
      <c r="BL98" s="240"/>
      <c r="BM98" s="240"/>
      <c r="BN98" s="248">
        <f t="shared" ref="BN98:BN118" si="82">SUM(BL98:BM98)</f>
        <v>0</v>
      </c>
    </row>
    <row r="99" spans="33:71" ht="16" x14ac:dyDescent="0.2">
      <c r="AG99" s="203"/>
      <c r="AH99" s="203"/>
      <c r="AQ99" s="202" t="s">
        <v>521</v>
      </c>
      <c r="AR99" s="227"/>
      <c r="AS99" s="227"/>
      <c r="AT99" s="227"/>
      <c r="AU99" s="227"/>
      <c r="AV99" s="227"/>
      <c r="AW99" s="227"/>
      <c r="AX99" s="227"/>
      <c r="AY99" s="227">
        <f>Ore_to_PI!BH126</f>
        <v>208.55560337725498</v>
      </c>
      <c r="AZ99" s="227"/>
      <c r="BA99" s="227"/>
      <c r="BB99" s="227"/>
      <c r="BC99" s="227"/>
      <c r="BD99" s="227"/>
      <c r="BE99" s="227"/>
      <c r="BF99" s="227"/>
      <c r="BG99" s="248">
        <f t="shared" si="79"/>
        <v>208.55560337725498</v>
      </c>
      <c r="BK99" s="202" t="s">
        <v>521</v>
      </c>
      <c r="BL99" s="240"/>
      <c r="BM99" s="240"/>
      <c r="BN99" s="248">
        <f t="shared" si="82"/>
        <v>0</v>
      </c>
    </row>
    <row r="100" spans="33:71" ht="16" x14ac:dyDescent="0.2">
      <c r="AG100" s="249"/>
      <c r="AH100" s="249"/>
      <c r="AQ100" s="202" t="s">
        <v>518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Ore_to_PI!BH206</f>
        <v>298.6148747230165</v>
      </c>
      <c r="BA100" s="227"/>
      <c r="BB100" s="227"/>
      <c r="BC100" s="227"/>
      <c r="BD100" s="227"/>
      <c r="BE100" s="227"/>
      <c r="BF100" s="227"/>
      <c r="BG100" s="248">
        <f t="shared" si="79"/>
        <v>298.6148747230165</v>
      </c>
      <c r="BK100" s="202" t="s">
        <v>518</v>
      </c>
      <c r="BL100" s="240"/>
      <c r="BM100" s="240"/>
      <c r="BN100" s="248">
        <f t="shared" si="82"/>
        <v>0</v>
      </c>
    </row>
    <row r="101" spans="33:71" ht="16" x14ac:dyDescent="0.2">
      <c r="AG101" s="203"/>
      <c r="AH101" s="203"/>
      <c r="AQ101" s="202" t="s">
        <v>524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Ore_to_PI!BZ42</f>
        <v>1000.0000000000001</v>
      </c>
      <c r="BF101" s="227"/>
      <c r="BG101" s="248">
        <f t="shared" si="79"/>
        <v>1000.0000000000001</v>
      </c>
      <c r="BH101" s="25"/>
      <c r="BI101" s="25"/>
      <c r="BK101" s="202" t="s">
        <v>524</v>
      </c>
      <c r="BL101" s="240"/>
      <c r="BM101" s="240"/>
      <c r="BN101" s="248">
        <f t="shared" si="82"/>
        <v>0</v>
      </c>
    </row>
    <row r="102" spans="33:71" x14ac:dyDescent="0.2">
      <c r="AG102" s="203"/>
      <c r="AH102" s="203"/>
      <c r="AQ102" s="203" t="s">
        <v>523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79"/>
        <v>0</v>
      </c>
      <c r="BK102" s="203" t="s">
        <v>523</v>
      </c>
      <c r="BL102" s="240"/>
      <c r="BM102" s="240">
        <f>Beneficiation_Iron_waste</f>
        <v>11.767466001905108</v>
      </c>
      <c r="BN102" s="248">
        <f t="shared" si="82"/>
        <v>11.767466001905108</v>
      </c>
    </row>
    <row r="103" spans="33:71" x14ac:dyDescent="0.2">
      <c r="AG103" s="203"/>
      <c r="AH103" s="203"/>
      <c r="AQ103" s="203" t="s">
        <v>509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Ore_to_PI!CA126</f>
        <v>208.55560337725498</v>
      </c>
      <c r="BB103" s="227"/>
      <c r="BC103" s="227"/>
      <c r="BD103" s="227"/>
      <c r="BE103" s="227"/>
      <c r="BF103" s="227"/>
      <c r="BG103" s="248">
        <f t="shared" si="79"/>
        <v>208.55560337725498</v>
      </c>
      <c r="BK103" s="203" t="s">
        <v>509</v>
      </c>
      <c r="BL103" s="240"/>
      <c r="BM103" s="240"/>
      <c r="BN103" s="248">
        <f t="shared" si="82"/>
        <v>0</v>
      </c>
    </row>
    <row r="104" spans="33:71" x14ac:dyDescent="0.2">
      <c r="AG104" s="203"/>
      <c r="AH104" s="203"/>
      <c r="AQ104" s="203" t="s">
        <v>542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Ore_to_PI!CA206</f>
        <v>298.6148747230165</v>
      </c>
      <c r="BC104" s="227"/>
      <c r="BD104" s="227"/>
      <c r="BE104" s="227"/>
      <c r="BF104" s="227"/>
      <c r="BG104" s="248">
        <f t="shared" si="79"/>
        <v>298.6148747230165</v>
      </c>
      <c r="BK104" s="203" t="s">
        <v>542</v>
      </c>
      <c r="BL104" s="240"/>
      <c r="BM104" s="240"/>
      <c r="BN104" s="248">
        <f t="shared" si="82"/>
        <v>0</v>
      </c>
    </row>
    <row r="105" spans="33:71" x14ac:dyDescent="0.2">
      <c r="AG105" s="203"/>
      <c r="AH105" s="203"/>
      <c r="AQ105" s="203" t="s">
        <v>510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Ore_to_PI!CV126</f>
        <v>111.00813284002646</v>
      </c>
      <c r="BF105" s="227"/>
      <c r="BG105" s="248">
        <f t="shared" si="79"/>
        <v>111.00813284002646</v>
      </c>
      <c r="BK105" s="203" t="s">
        <v>510</v>
      </c>
      <c r="BL105" s="240"/>
      <c r="BM105" s="240"/>
      <c r="BN105" s="248">
        <f t="shared" si="82"/>
        <v>0</v>
      </c>
    </row>
    <row r="106" spans="33:71" x14ac:dyDescent="0.2">
      <c r="AG106" s="203"/>
      <c r="AH106" s="203"/>
      <c r="AQ106" s="203" t="s">
        <v>512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79"/>
        <v>0</v>
      </c>
      <c r="BK106" s="203" t="s">
        <v>512</v>
      </c>
      <c r="BL106" s="240"/>
      <c r="BM106" s="240">
        <f>Kiln_SolidWaste</f>
        <v>4.9847525450981189</v>
      </c>
      <c r="BN106" s="248">
        <f t="shared" si="82"/>
        <v>4.9847525450981189</v>
      </c>
    </row>
    <row r="107" spans="33:71" x14ac:dyDescent="0.2">
      <c r="AG107" s="203"/>
      <c r="AH107" s="203"/>
      <c r="AQ107" s="203" t="s">
        <v>511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79"/>
        <v>0</v>
      </c>
      <c r="BK107" s="203" t="s">
        <v>511</v>
      </c>
      <c r="BL107" s="240"/>
      <c r="BM107" s="240">
        <f>Ore_to_PI!CV138</f>
        <v>376967.02647382859</v>
      </c>
      <c r="BN107" s="248">
        <f t="shared" si="82"/>
        <v>376967.02647382859</v>
      </c>
    </row>
    <row r="108" spans="33:71" x14ac:dyDescent="0.2">
      <c r="AG108" s="203"/>
      <c r="AH108" s="203"/>
      <c r="AQ108" s="203" t="s">
        <v>607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Ore_to_PI!CV206</f>
        <v>203.27980063725872</v>
      </c>
      <c r="BF108" s="227"/>
      <c r="BG108" s="248">
        <f t="shared" si="79"/>
        <v>203.27980063725872</v>
      </c>
      <c r="BK108" s="203" t="s">
        <v>607</v>
      </c>
      <c r="BL108" s="240"/>
      <c r="BM108" s="240"/>
      <c r="BN108" s="248">
        <f t="shared" si="82"/>
        <v>0</v>
      </c>
    </row>
    <row r="109" spans="33:71" ht="16" x14ac:dyDescent="0.2">
      <c r="AG109" s="203"/>
      <c r="AH109" s="203"/>
      <c r="AQ109" s="249" t="s">
        <v>507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Ore_to_PI!CV234</f>
        <v>46.0998047134687</v>
      </c>
      <c r="BD109" s="227"/>
      <c r="BE109" s="227"/>
      <c r="BF109" s="227"/>
      <c r="BG109" s="248">
        <f t="shared" si="79"/>
        <v>46.0998047134687</v>
      </c>
      <c r="BK109" s="249" t="s">
        <v>507</v>
      </c>
      <c r="BL109" s="240"/>
      <c r="BM109" s="240"/>
      <c r="BN109" s="248">
        <f t="shared" si="82"/>
        <v>0</v>
      </c>
    </row>
    <row r="110" spans="33:71" ht="16" x14ac:dyDescent="0.2">
      <c r="AG110" s="203"/>
      <c r="AH110" s="203"/>
      <c r="AQ110" s="249" t="s">
        <v>684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79"/>
        <v>0</v>
      </c>
      <c r="BK110" s="249" t="s">
        <v>684</v>
      </c>
      <c r="BL110" s="240"/>
      <c r="BM110" s="240">
        <f>Ore_to_PI!CV267</f>
        <v>23.982067525572877</v>
      </c>
      <c r="BN110" s="248">
        <f t="shared" si="82"/>
        <v>23.982067525572877</v>
      </c>
    </row>
    <row r="111" spans="33:71" x14ac:dyDescent="0.2">
      <c r="AG111" s="203"/>
      <c r="AH111" s="203"/>
      <c r="AQ111" s="203" t="s">
        <v>506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79"/>
        <v>0</v>
      </c>
      <c r="BK111" s="203" t="s">
        <v>506</v>
      </c>
      <c r="BL111" s="240"/>
      <c r="BM111" s="240">
        <f>Beneficiation_CoalWaste</f>
        <v>25.253201846716312</v>
      </c>
      <c r="BN111" s="248">
        <f t="shared" si="82"/>
        <v>25.253201846716312</v>
      </c>
    </row>
    <row r="112" spans="33:71" x14ac:dyDescent="0.2">
      <c r="AG112" s="203"/>
      <c r="AH112" s="203"/>
      <c r="AQ112" s="201" t="s">
        <v>508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79"/>
        <v>0</v>
      </c>
      <c r="BK112" s="201" t="s">
        <v>508</v>
      </c>
      <c r="BL112" s="240"/>
      <c r="BM112" s="240">
        <f>Ore_to_PI!CV251</f>
        <v>3698.8733194995434</v>
      </c>
      <c r="BN112" s="248">
        <f t="shared" si="82"/>
        <v>3698.8733194995434</v>
      </c>
    </row>
    <row r="113" spans="2:66" x14ac:dyDescent="0.2">
      <c r="AG113" s="203"/>
      <c r="AH113" s="203"/>
      <c r="AQ113" s="203" t="s">
        <v>643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Ore_to_PI!$DP$233</f>
        <v>46.099804713468714</v>
      </c>
      <c r="BE113" s="227"/>
      <c r="BF113" s="239"/>
      <c r="BG113" s="248">
        <f t="shared" si="79"/>
        <v>46.099804713468714</v>
      </c>
      <c r="BK113" s="203" t="s">
        <v>643</v>
      </c>
      <c r="BL113" s="240"/>
      <c r="BM113" s="240"/>
      <c r="BN113" s="248">
        <f t="shared" si="82"/>
        <v>0</v>
      </c>
    </row>
    <row r="114" spans="2:66" x14ac:dyDescent="0.2">
      <c r="AG114" s="203"/>
      <c r="AH114" s="203"/>
      <c r="AQ114" s="203" t="s">
        <v>646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Ore_to_PI!$EL$152</f>
        <v>32.269863299428096</v>
      </c>
      <c r="BG114" s="248">
        <f t="shared" si="79"/>
        <v>32.269863299428096</v>
      </c>
      <c r="BK114" s="203" t="s">
        <v>646</v>
      </c>
      <c r="BL114" s="240">
        <f>Ore_to_PI!$FF$233</f>
        <v>13.829941414040613</v>
      </c>
      <c r="BM114" s="240"/>
      <c r="BN114" s="248">
        <f t="shared" si="82"/>
        <v>13.829941414040613</v>
      </c>
    </row>
    <row r="115" spans="2:66" x14ac:dyDescent="0.2">
      <c r="AG115" s="203"/>
      <c r="AH115" s="203"/>
      <c r="AQ115" s="203" t="s">
        <v>530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Ore_to_PI!EL126</f>
        <v>1314.2879334772852</v>
      </c>
      <c r="BG115" s="248">
        <f t="shared" si="79"/>
        <v>1314.2879334772852</v>
      </c>
      <c r="BK115" s="203" t="s">
        <v>530</v>
      </c>
      <c r="BL115" s="240"/>
      <c r="BM115" s="240"/>
      <c r="BN115" s="248">
        <f t="shared" si="82"/>
        <v>0</v>
      </c>
    </row>
    <row r="116" spans="2:66" x14ac:dyDescent="0.2">
      <c r="AG116" s="203"/>
      <c r="AH116" s="203"/>
      <c r="AQ116" s="203" t="s">
        <v>531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79"/>
        <v>0</v>
      </c>
      <c r="BK116" s="203" t="s">
        <v>531</v>
      </c>
      <c r="BL116" s="240">
        <f>Ore_to_PI!FL126</f>
        <v>616.23583583508366</v>
      </c>
      <c r="BM116" s="240"/>
      <c r="BN116" s="248">
        <f t="shared" si="82"/>
        <v>616.23583583508366</v>
      </c>
    </row>
    <row r="117" spans="2:66" x14ac:dyDescent="0.2">
      <c r="AG117" s="203"/>
      <c r="AH117" s="203"/>
      <c r="AQ117" s="203" t="s">
        <v>532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79"/>
        <v>0</v>
      </c>
      <c r="BK117" s="203" t="s">
        <v>532</v>
      </c>
      <c r="BL117" s="240"/>
      <c r="BM117" s="240">
        <f>Ore_to_PI!FL141</f>
        <v>3402.2651449800928</v>
      </c>
      <c r="BN117" s="248">
        <f t="shared" si="82"/>
        <v>3402.2651449800928</v>
      </c>
    </row>
    <row r="118" spans="2:66" x14ac:dyDescent="0.2">
      <c r="AG118" s="203"/>
      <c r="AH118" s="203"/>
      <c r="AQ118" s="203" t="s">
        <v>543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79"/>
        <v>0</v>
      </c>
      <c r="BK118" s="203" t="s">
        <v>543</v>
      </c>
      <c r="BL118" s="240"/>
      <c r="BM118" s="240">
        <f>BF_SolidWaste</f>
        <v>229.94813284002646</v>
      </c>
      <c r="BN118" s="248">
        <f t="shared" si="82"/>
        <v>229.94813284002646</v>
      </c>
    </row>
    <row r="119" spans="2:66" x14ac:dyDescent="0.2">
      <c r="AG119" s="203"/>
      <c r="AH119" s="203"/>
      <c r="AQ119" s="203"/>
      <c r="AR119" s="405" t="s">
        <v>408</v>
      </c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5"/>
      <c r="BF119" s="405"/>
      <c r="BG119" s="25" t="s">
        <v>451</v>
      </c>
      <c r="BL119" s="405" t="s">
        <v>410</v>
      </c>
      <c r="BM119" s="405"/>
      <c r="BN119" s="25" t="s">
        <v>463</v>
      </c>
    </row>
    <row r="120" spans="2:66" x14ac:dyDescent="0.2">
      <c r="AG120" s="203"/>
      <c r="AH120" s="203"/>
      <c r="AQ120" s="203"/>
      <c r="AR120" s="248">
        <f t="shared" ref="AR120:BF120" si="83">SUM(AR83:AR118)</f>
        <v>1043.9873925509492</v>
      </c>
      <c r="AS120" s="248">
        <f t="shared" si="83"/>
        <v>208.65218594918355</v>
      </c>
      <c r="AT120" s="248">
        <f t="shared" si="83"/>
        <v>306.591996148688</v>
      </c>
      <c r="AU120" s="248">
        <f t="shared" si="83"/>
        <v>1011.7674660019052</v>
      </c>
      <c r="AV120" s="248">
        <f t="shared" si="83"/>
        <v>208.55560337725498</v>
      </c>
      <c r="AW120" s="248">
        <f t="shared" si="83"/>
        <v>298.6148747230165</v>
      </c>
      <c r="AX120" s="248">
        <f t="shared" si="83"/>
        <v>1011.7674660019052</v>
      </c>
      <c r="AY120" s="248">
        <f t="shared" si="83"/>
        <v>208.55560337725498</v>
      </c>
      <c r="AZ120" s="248">
        <f t="shared" si="83"/>
        <v>298.6148747230165</v>
      </c>
      <c r="BA120" s="248">
        <f t="shared" si="83"/>
        <v>377083.01935921365</v>
      </c>
      <c r="BB120" s="248">
        <f t="shared" si="83"/>
        <v>3997.4881942225597</v>
      </c>
      <c r="BC120" s="248">
        <f t="shared" si="83"/>
        <v>46.0998047134687</v>
      </c>
      <c r="BD120" s="248">
        <f t="shared" si="83"/>
        <v>46.099804713468714</v>
      </c>
      <c r="BE120" s="248">
        <f t="shared" si="83"/>
        <v>1314.2879334772852</v>
      </c>
      <c r="BF120" s="248">
        <f t="shared" si="83"/>
        <v>4248.4491136552024</v>
      </c>
      <c r="BG120" s="25"/>
      <c r="BL120" s="25"/>
      <c r="BM120" s="25"/>
      <c r="BN120" s="25"/>
    </row>
    <row r="121" spans="2:66" x14ac:dyDescent="0.2">
      <c r="AG121" s="203"/>
      <c r="AH121" s="203"/>
      <c r="AQ121" s="203"/>
      <c r="AR121" s="405" t="s">
        <v>450</v>
      </c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5"/>
      <c r="BF121" s="405"/>
      <c r="BG121" s="25"/>
      <c r="BL121" s="25"/>
      <c r="BM121" s="25"/>
      <c r="BN121" s="25"/>
    </row>
    <row r="122" spans="2:66" ht="13" customHeight="1" x14ac:dyDescent="0.2">
      <c r="C122" s="406"/>
      <c r="D122" s="406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03"/>
      <c r="AH122" s="203"/>
      <c r="AI122" s="230"/>
      <c r="AJ122" s="230"/>
      <c r="AK122" s="230"/>
      <c r="AL122" s="230"/>
      <c r="AM122" s="230"/>
      <c r="AN122" s="230"/>
      <c r="AO122" s="230"/>
      <c r="AQ122" s="203"/>
      <c r="BL122" s="25"/>
      <c r="BM122" s="25"/>
      <c r="BN122" s="25"/>
    </row>
    <row r="123" spans="2:66" ht="236" x14ac:dyDescent="0.2">
      <c r="B123" s="236"/>
      <c r="C123" s="204" t="s">
        <v>413</v>
      </c>
      <c r="D123" s="204" t="s">
        <v>415</v>
      </c>
      <c r="E123" s="204" t="s">
        <v>416</v>
      </c>
      <c r="F123" s="204" t="s">
        <v>436</v>
      </c>
      <c r="G123" s="204" t="s">
        <v>459</v>
      </c>
      <c r="H123" s="204" t="s">
        <v>492</v>
      </c>
      <c r="I123" s="204" t="s">
        <v>552</v>
      </c>
      <c r="J123" s="204" t="s">
        <v>553</v>
      </c>
      <c r="K123" s="204" t="s">
        <v>545</v>
      </c>
      <c r="L123" s="206" t="s">
        <v>527</v>
      </c>
      <c r="M123" s="204" t="s">
        <v>494</v>
      </c>
      <c r="N123" s="206" t="s">
        <v>497</v>
      </c>
      <c r="O123" s="204" t="s">
        <v>522</v>
      </c>
      <c r="P123" s="207" t="s">
        <v>515</v>
      </c>
      <c r="Q123" s="204" t="s">
        <v>501</v>
      </c>
      <c r="R123" s="206" t="s">
        <v>526</v>
      </c>
      <c r="S123" s="206" t="s">
        <v>521</v>
      </c>
      <c r="T123" s="206" t="s">
        <v>518</v>
      </c>
      <c r="U123" s="206" t="s">
        <v>524</v>
      </c>
      <c r="V123" s="207" t="s">
        <v>523</v>
      </c>
      <c r="W123" s="207" t="s">
        <v>509</v>
      </c>
      <c r="X123" s="207" t="s">
        <v>542</v>
      </c>
      <c r="Y123" s="207" t="s">
        <v>510</v>
      </c>
      <c r="Z123" s="207" t="s">
        <v>512</v>
      </c>
      <c r="AA123" s="207" t="s">
        <v>511</v>
      </c>
      <c r="AB123" s="207" t="s">
        <v>607</v>
      </c>
      <c r="AC123" s="229" t="s">
        <v>507</v>
      </c>
      <c r="AD123" s="229" t="s">
        <v>684</v>
      </c>
      <c r="AE123" s="207" t="s">
        <v>506</v>
      </c>
      <c r="AF123" s="204" t="s">
        <v>508</v>
      </c>
      <c r="AG123" s="207" t="s">
        <v>643</v>
      </c>
      <c r="AH123" s="207" t="s">
        <v>646</v>
      </c>
      <c r="AI123" s="207" t="s">
        <v>530</v>
      </c>
      <c r="AJ123" s="207" t="s">
        <v>531</v>
      </c>
      <c r="AK123" s="207" t="s">
        <v>532</v>
      </c>
      <c r="AL123" s="207" t="s">
        <v>543</v>
      </c>
      <c r="AQ123" s="203"/>
      <c r="BL123" s="25"/>
      <c r="BM123" s="25"/>
    </row>
    <row r="124" spans="2:66" x14ac:dyDescent="0.2">
      <c r="B124" s="201" t="s">
        <v>405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>
        <f>Ore_to_PI!U42</f>
        <v>1011.7674660019052</v>
      </c>
      <c r="M124" s="227">
        <f>Ore_to_PI!$AN$63</f>
        <v>32.219926549044033</v>
      </c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48">
        <f>SUM(C124:AL124)</f>
        <v>1043.9873925509492</v>
      </c>
      <c r="BL124" s="25"/>
      <c r="BM124" s="25"/>
    </row>
    <row r="125" spans="2:66" x14ac:dyDescent="0.2">
      <c r="B125" s="201" t="s">
        <v>406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>
        <f>Ore_to_PI!AO126</f>
        <v>208.55560337725498</v>
      </c>
      <c r="O125" s="227">
        <f>Ore_to_PI!$AO$142</f>
        <v>9.658257192857822E-2</v>
      </c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48">
        <f>SUM(C125:AL125)</f>
        <v>208.65218594918355</v>
      </c>
    </row>
    <row r="126" spans="2:66" x14ac:dyDescent="0.2">
      <c r="B126" s="201" t="s">
        <v>407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>
        <f>Ore_to_PI!$AO$206</f>
        <v>298.6148747230165</v>
      </c>
      <c r="Q126" s="227">
        <f>Ore_to_PI!$AO$227</f>
        <v>7.9771214256715108</v>
      </c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48">
        <f t="shared" ref="AM126:AM138" si="84">SUM(C126:AL126)</f>
        <v>306.591996148688</v>
      </c>
    </row>
    <row r="127" spans="2:66" x14ac:dyDescent="0.2">
      <c r="B127" s="201" t="s">
        <v>541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>
        <f>Ore_to_PI!$BG$42</f>
        <v>1011.7674660019052</v>
      </c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48">
        <f t="shared" si="84"/>
        <v>1011.7674660019052</v>
      </c>
    </row>
    <row r="128" spans="2:66" x14ac:dyDescent="0.2">
      <c r="B128" s="201" t="s">
        <v>520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>
        <f>Ore_to_PI!$BH$126</f>
        <v>208.55560337725498</v>
      </c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48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519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>
        <f>Ore_to_PI!$BH$206</f>
        <v>298.6148747230165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48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432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Ore_to_PI!$BZ$42</f>
        <v>1000.0000000000001</v>
      </c>
      <c r="V130" s="227">
        <f>Beneficiation_Iron_waste</f>
        <v>11.767466001905108</v>
      </c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48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429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>
        <f>Ore_to_PI!$CA$126</f>
        <v>208.55560337725498</v>
      </c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48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444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>
        <f>Ore_to_PI!$CA$206</f>
        <v>298.6148747230165</v>
      </c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48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430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>
        <f>Ore_to_PI!$CV$126</f>
        <v>111.00813284002646</v>
      </c>
      <c r="Z133" s="227">
        <f>Kiln_SolidWaste</f>
        <v>4.9847525450981189</v>
      </c>
      <c r="AA133" s="227">
        <f>Ore_to_PI!$CV$138</f>
        <v>376967.02647382859</v>
      </c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48">
        <f t="shared" si="84"/>
        <v>377083.01935921371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425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>
        <f>Ore_to_PI!$CV$206</f>
        <v>203.27980063725872</v>
      </c>
      <c r="AC134" s="227">
        <f>Ore_to_PI!$CV$234</f>
        <v>46.0998047134687</v>
      </c>
      <c r="AD134" s="227">
        <f>Ore_to_PI!CV267</f>
        <v>23.982067525572877</v>
      </c>
      <c r="AE134" s="227">
        <f>Beneficiation_CoalWaste</f>
        <v>25.253201846716312</v>
      </c>
      <c r="AF134" s="227">
        <f>Ore_to_PI!$CV$251</f>
        <v>3698.8733194995434</v>
      </c>
      <c r="AG134" s="227"/>
      <c r="AH134" s="227"/>
      <c r="AI134" s="227"/>
      <c r="AJ134" s="227"/>
      <c r="AK134" s="227"/>
      <c r="AL134" s="227"/>
      <c r="AM134" s="248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201" t="s">
        <v>642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>
        <f>Ore_to_PI!$DP$233</f>
        <v>46.099804713468714</v>
      </c>
      <c r="AH135" s="227"/>
      <c r="AI135" s="227"/>
      <c r="AJ135" s="227"/>
      <c r="AK135" s="227"/>
      <c r="AL135" s="227"/>
      <c r="AM135" s="248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201" t="s">
        <v>645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>
        <f>Ore_to_PI!$EK$233</f>
        <v>46.099804713468714</v>
      </c>
      <c r="AI136" s="227"/>
      <c r="AJ136" s="227"/>
      <c r="AK136" s="227"/>
      <c r="AL136" s="227"/>
      <c r="AM136" s="248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201" t="s">
        <v>81</v>
      </c>
      <c r="C137" s="227"/>
      <c r="D137" s="227"/>
      <c r="E137" s="227"/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39"/>
      <c r="AG137" s="227"/>
      <c r="AH137" s="227"/>
      <c r="AI137" s="239">
        <f>Ore_to_PI!$EL$126</f>
        <v>1314.2879334772852</v>
      </c>
      <c r="AJ137" s="227"/>
      <c r="AK137" s="227"/>
      <c r="AL137" s="227"/>
      <c r="AM137" s="248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201" t="s">
        <v>417</v>
      </c>
      <c r="C138" s="227"/>
      <c r="D138" s="227"/>
      <c r="E138" s="227"/>
      <c r="F138" s="239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43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Ore_to_PI!$FL$126</f>
        <v>616.23583583508366</v>
      </c>
      <c r="AK138" s="227">
        <f>Ore_to_PI!$FL$141</f>
        <v>3402.2651449800928</v>
      </c>
      <c r="AL138" s="227">
        <f>BF_SolidWaste</f>
        <v>229.94813284002646</v>
      </c>
      <c r="AM138" s="248">
        <f t="shared" si="84"/>
        <v>4248.4491136552024</v>
      </c>
    </row>
    <row r="139" spans="2:65" x14ac:dyDescent="0.2">
      <c r="B139" s="201"/>
      <c r="C139" s="405" t="s">
        <v>409</v>
      </c>
      <c r="D139" s="405"/>
      <c r="E139" s="405"/>
      <c r="F139" s="405"/>
      <c r="G139" s="405"/>
      <c r="H139" s="405"/>
      <c r="I139" s="405"/>
      <c r="J139" s="405"/>
      <c r="K139" s="405"/>
      <c r="L139" s="405"/>
      <c r="M139" s="405"/>
      <c r="N139" s="405"/>
      <c r="O139" s="405"/>
      <c r="P139" s="405"/>
      <c r="Q139" s="405"/>
      <c r="R139" s="405"/>
      <c r="S139" s="405"/>
      <c r="T139" s="405"/>
      <c r="U139" s="405"/>
      <c r="V139" s="405"/>
      <c r="W139" s="405"/>
      <c r="X139" s="405"/>
      <c r="Y139" s="405"/>
      <c r="Z139" s="405"/>
      <c r="AA139" s="405"/>
      <c r="AB139" s="405"/>
      <c r="AC139" s="405"/>
      <c r="AD139" s="405"/>
      <c r="AE139" s="405"/>
      <c r="AF139" s="405"/>
      <c r="AG139" s="405"/>
      <c r="AH139" s="405"/>
      <c r="AI139" s="405"/>
      <c r="AJ139" s="405"/>
      <c r="AK139" s="405"/>
      <c r="AL139" s="405"/>
      <c r="AM139" s="25" t="s">
        <v>447</v>
      </c>
      <c r="AN139" s="25"/>
    </row>
    <row r="140" spans="2:65" x14ac:dyDescent="0.2">
      <c r="B140" s="201"/>
      <c r="C140" s="248">
        <f t="shared" ref="C140:AL140" si="85">SUM(C124:C138)</f>
        <v>0</v>
      </c>
      <c r="D140" s="248">
        <f t="shared" si="85"/>
        <v>0</v>
      </c>
      <c r="E140" s="248">
        <f t="shared" si="85"/>
        <v>0</v>
      </c>
      <c r="F140" s="248">
        <f t="shared" si="85"/>
        <v>0</v>
      </c>
      <c r="G140" s="248">
        <f t="shared" si="85"/>
        <v>0</v>
      </c>
      <c r="H140" s="248">
        <f t="shared" si="85"/>
        <v>0</v>
      </c>
      <c r="I140" s="248">
        <f t="shared" si="85"/>
        <v>0</v>
      </c>
      <c r="J140" s="248">
        <f t="shared" si="85"/>
        <v>0</v>
      </c>
      <c r="K140" s="248">
        <f t="shared" si="85"/>
        <v>0</v>
      </c>
      <c r="L140" s="248">
        <f t="shared" si="85"/>
        <v>1011.7674660019052</v>
      </c>
      <c r="M140" s="248">
        <f t="shared" si="85"/>
        <v>32.219926549044033</v>
      </c>
      <c r="N140" s="248">
        <f t="shared" si="85"/>
        <v>208.55560337725498</v>
      </c>
      <c r="O140" s="248">
        <f t="shared" si="85"/>
        <v>9.658257192857822E-2</v>
      </c>
      <c r="P140" s="248">
        <f t="shared" si="85"/>
        <v>298.6148747230165</v>
      </c>
      <c r="Q140" s="248">
        <f t="shared" si="85"/>
        <v>7.9771214256715108</v>
      </c>
      <c r="R140" s="248">
        <f t="shared" si="85"/>
        <v>1011.7674660019052</v>
      </c>
      <c r="S140" s="248">
        <f t="shared" si="85"/>
        <v>208.55560337725498</v>
      </c>
      <c r="T140" s="248">
        <f t="shared" si="85"/>
        <v>298.6148747230165</v>
      </c>
      <c r="U140" s="248">
        <f t="shared" si="85"/>
        <v>1000.0000000000001</v>
      </c>
      <c r="V140" s="248">
        <f t="shared" si="85"/>
        <v>11.767466001905108</v>
      </c>
      <c r="W140" s="248">
        <f t="shared" si="85"/>
        <v>208.55560337725498</v>
      </c>
      <c r="X140" s="248">
        <f t="shared" si="85"/>
        <v>298.6148747230165</v>
      </c>
      <c r="Y140" s="248">
        <f t="shared" si="85"/>
        <v>111.00813284002646</v>
      </c>
      <c r="Z140" s="248">
        <f t="shared" si="85"/>
        <v>4.9847525450981189</v>
      </c>
      <c r="AA140" s="248">
        <f t="shared" si="85"/>
        <v>376967.02647382859</v>
      </c>
      <c r="AB140" s="248">
        <f t="shared" si="85"/>
        <v>203.27980063725872</v>
      </c>
      <c r="AC140" s="248">
        <f t="shared" si="85"/>
        <v>46.0998047134687</v>
      </c>
      <c r="AD140" s="248">
        <f t="shared" si="85"/>
        <v>23.982067525572877</v>
      </c>
      <c r="AE140" s="248">
        <f t="shared" si="85"/>
        <v>25.253201846716312</v>
      </c>
      <c r="AF140" s="248">
        <f t="shared" si="85"/>
        <v>3698.8733194995434</v>
      </c>
      <c r="AG140" s="248">
        <f t="shared" si="85"/>
        <v>46.099804713468714</v>
      </c>
      <c r="AH140" s="248">
        <f t="shared" si="85"/>
        <v>46.099804713468714</v>
      </c>
      <c r="AI140" s="248">
        <f t="shared" si="85"/>
        <v>1314.2879334772852</v>
      </c>
      <c r="AJ140" s="248">
        <f t="shared" si="85"/>
        <v>616.23583583508366</v>
      </c>
      <c r="AK140" s="248">
        <f t="shared" si="85"/>
        <v>3402.2651449800928</v>
      </c>
      <c r="AL140" s="248">
        <f t="shared" si="85"/>
        <v>229.94813284002646</v>
      </c>
    </row>
    <row r="141" spans="2:65" x14ac:dyDescent="0.2">
      <c r="B141" s="201"/>
      <c r="C141" s="405" t="s">
        <v>448</v>
      </c>
      <c r="D141" s="405"/>
      <c r="E141" s="405"/>
      <c r="F141" s="405"/>
      <c r="G141" s="405"/>
      <c r="H141" s="405"/>
      <c r="I141" s="405"/>
      <c r="J141" s="405"/>
      <c r="K141" s="405"/>
      <c r="L141" s="405"/>
      <c r="M141" s="405"/>
      <c r="N141" s="405"/>
      <c r="O141" s="405"/>
      <c r="P141" s="405"/>
      <c r="Q141" s="405"/>
      <c r="R141" s="405"/>
      <c r="S141" s="405"/>
      <c r="T141" s="405"/>
      <c r="U141" s="405"/>
      <c r="V141" s="405"/>
      <c r="W141" s="405"/>
      <c r="X141" s="405"/>
      <c r="Y141" s="405"/>
      <c r="Z141" s="405"/>
      <c r="AA141" s="405"/>
      <c r="AB141" s="405"/>
      <c r="AC141" s="405"/>
      <c r="AD141" s="405"/>
      <c r="AE141" s="405"/>
      <c r="AF141" s="405"/>
      <c r="AG141" s="405"/>
      <c r="AH141" s="405"/>
      <c r="AI141" s="405"/>
      <c r="AJ141" s="405"/>
      <c r="AK141" s="405"/>
      <c r="AL141" s="405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x14ac:dyDescent="0.2">
      <c r="B151" s="201"/>
    </row>
    <row r="152" spans="2:44" ht="236" x14ac:dyDescent="0.2">
      <c r="B152" s="201"/>
      <c r="C152" s="204" t="s">
        <v>413</v>
      </c>
      <c r="D152" s="204" t="s">
        <v>415</v>
      </c>
      <c r="E152" s="204" t="s">
        <v>416</v>
      </c>
      <c r="F152" s="204" t="s">
        <v>436</v>
      </c>
      <c r="G152" s="204" t="s">
        <v>459</v>
      </c>
      <c r="H152" s="204" t="s">
        <v>492</v>
      </c>
      <c r="I152" s="204" t="s">
        <v>552</v>
      </c>
      <c r="J152" s="204" t="s">
        <v>553</v>
      </c>
      <c r="K152" s="204" t="s">
        <v>545</v>
      </c>
      <c r="L152" s="206" t="s">
        <v>527</v>
      </c>
      <c r="M152" s="204" t="s">
        <v>494</v>
      </c>
      <c r="N152" s="206" t="s">
        <v>497</v>
      </c>
      <c r="O152" s="204" t="s">
        <v>522</v>
      </c>
      <c r="P152" s="207" t="s">
        <v>515</v>
      </c>
      <c r="Q152" s="204" t="s">
        <v>501</v>
      </c>
      <c r="R152" s="206" t="s">
        <v>526</v>
      </c>
      <c r="S152" s="206" t="s">
        <v>521</v>
      </c>
      <c r="T152" s="206" t="s">
        <v>518</v>
      </c>
      <c r="U152" s="206" t="s">
        <v>524</v>
      </c>
      <c r="V152" s="207" t="s">
        <v>523</v>
      </c>
      <c r="W152" s="207" t="s">
        <v>509</v>
      </c>
      <c r="X152" s="207" t="s">
        <v>542</v>
      </c>
      <c r="Y152" s="207" t="s">
        <v>510</v>
      </c>
      <c r="Z152" s="207" t="s">
        <v>512</v>
      </c>
      <c r="AA152" s="207" t="s">
        <v>511</v>
      </c>
      <c r="AB152" s="207" t="s">
        <v>607</v>
      </c>
      <c r="AC152" s="229" t="s">
        <v>507</v>
      </c>
      <c r="AD152" s="229" t="s">
        <v>684</v>
      </c>
      <c r="AE152" s="207" t="s">
        <v>506</v>
      </c>
      <c r="AF152" s="204" t="s">
        <v>508</v>
      </c>
      <c r="AG152" s="207" t="s">
        <v>643</v>
      </c>
      <c r="AH152" s="207" t="s">
        <v>646</v>
      </c>
      <c r="AI152" s="207" t="s">
        <v>530</v>
      </c>
      <c r="AJ152" s="207" t="s">
        <v>531</v>
      </c>
      <c r="AK152" s="207" t="s">
        <v>532</v>
      </c>
      <c r="AL152" s="207" t="s">
        <v>543</v>
      </c>
      <c r="AM152" s="207"/>
      <c r="AN152" s="207"/>
    </row>
    <row r="153" spans="2:44" x14ac:dyDescent="0.2">
      <c r="B153" s="201" t="s">
        <v>412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x14ac:dyDescent="0.2">
      <c r="B154" s="202" t="s">
        <v>414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3" t="s">
        <v>437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462</v>
      </c>
      <c r="C156" s="240"/>
      <c r="D156" s="240"/>
      <c r="E156" s="240"/>
      <c r="F156" s="246">
        <f>Ore_to_PI!EL140+Ore_to_PI!CA140+Ore_to_PI!U163+Ore_to_PI!U72+Ore_to_PI!CA232+Ore_to_PI!U236</f>
        <v>362460.64799951966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458</v>
      </c>
      <c r="C157" s="240"/>
      <c r="D157" s="240"/>
      <c r="E157" s="240"/>
      <c r="F157" s="240"/>
      <c r="G157" s="240">
        <f>Ore_to_PI!EL114+Ore_to_PI!CA152+Ore_to_PI!CA244</f>
        <v>21047.371244024282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201" t="s">
        <v>555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554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495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29"/>
    </row>
    <row r="161" spans="2:40" x14ac:dyDescent="0.2">
      <c r="B161" s="201" t="s">
        <v>544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405" t="s">
        <v>57</v>
      </c>
      <c r="D162" s="405"/>
      <c r="E162" s="405"/>
      <c r="F162" s="405"/>
      <c r="G162" s="405"/>
      <c r="H162" s="405"/>
      <c r="I162" s="405"/>
      <c r="J162" s="405"/>
      <c r="K162" s="405"/>
      <c r="L162" s="405"/>
      <c r="M162" s="405"/>
      <c r="N162" s="405"/>
      <c r="O162" s="405"/>
      <c r="P162" s="405"/>
      <c r="Q162" s="405"/>
      <c r="R162" s="405"/>
      <c r="S162" s="405"/>
      <c r="T162" s="405"/>
      <c r="U162" s="405"/>
      <c r="V162" s="405"/>
      <c r="W162" s="405"/>
      <c r="X162" s="405"/>
      <c r="Y162" s="405"/>
      <c r="Z162" s="405"/>
      <c r="AA162" s="405"/>
      <c r="AB162" s="405"/>
      <c r="AC162" s="405"/>
      <c r="AD162" s="405"/>
      <c r="AE162" s="405"/>
      <c r="AF162" s="405"/>
      <c r="AG162" s="405"/>
      <c r="AH162" s="405"/>
      <c r="AI162" s="405"/>
      <c r="AJ162" s="405"/>
      <c r="AK162" s="405"/>
      <c r="AL162" s="405"/>
      <c r="AM162" s="25"/>
      <c r="AN162" s="25"/>
    </row>
    <row r="163" spans="2:40" x14ac:dyDescent="0.2">
      <c r="C163" s="248">
        <f>SUM(C153:C161)</f>
        <v>1011.7674660019052</v>
      </c>
      <c r="D163" s="248">
        <f t="shared" ref="D163:AL163" si="86">SUM(D153:D161)</f>
        <v>208.55560337725498</v>
      </c>
      <c r="E163" s="248">
        <f t="shared" si="86"/>
        <v>298.6148747230165</v>
      </c>
      <c r="F163" s="248">
        <f t="shared" si="86"/>
        <v>362460.64799951966</v>
      </c>
      <c r="G163" s="248">
        <f t="shared" si="86"/>
        <v>21047.371244024282</v>
      </c>
      <c r="H163" s="248">
        <f t="shared" si="86"/>
        <v>2.5875439035128025</v>
      </c>
      <c r="I163" s="248">
        <f t="shared" si="86"/>
        <v>5.1714158616864253E-4</v>
      </c>
      <c r="J163" s="248">
        <f t="shared" si="86"/>
        <v>4.914718171980665</v>
      </c>
      <c r="K163" s="248">
        <f t="shared" si="86"/>
        <v>0</v>
      </c>
      <c r="L163" s="248">
        <f t="shared" si="86"/>
        <v>0</v>
      </c>
      <c r="M163" s="248">
        <f t="shared" si="86"/>
        <v>0</v>
      </c>
      <c r="N163" s="248">
        <f t="shared" si="86"/>
        <v>0</v>
      </c>
      <c r="O163" s="248">
        <f t="shared" si="86"/>
        <v>0</v>
      </c>
      <c r="P163" s="248">
        <f t="shared" si="86"/>
        <v>0</v>
      </c>
      <c r="Q163" s="248">
        <f t="shared" si="86"/>
        <v>0</v>
      </c>
      <c r="R163" s="248">
        <f t="shared" si="86"/>
        <v>0</v>
      </c>
      <c r="S163" s="248">
        <f t="shared" si="86"/>
        <v>0</v>
      </c>
      <c r="T163" s="248">
        <f t="shared" si="86"/>
        <v>0</v>
      </c>
      <c r="U163" s="248">
        <f t="shared" si="86"/>
        <v>0</v>
      </c>
      <c r="V163" s="248">
        <f t="shared" si="86"/>
        <v>0</v>
      </c>
      <c r="W163" s="248">
        <f t="shared" si="86"/>
        <v>0</v>
      </c>
      <c r="X163" s="248">
        <f t="shared" si="86"/>
        <v>0</v>
      </c>
      <c r="Y163" s="248">
        <f t="shared" si="86"/>
        <v>0</v>
      </c>
      <c r="Z163" s="248">
        <f t="shared" si="86"/>
        <v>0</v>
      </c>
      <c r="AA163" s="248">
        <f t="shared" si="86"/>
        <v>0</v>
      </c>
      <c r="AB163" s="248">
        <f t="shared" si="86"/>
        <v>0</v>
      </c>
      <c r="AC163" s="248">
        <f t="shared" si="86"/>
        <v>0</v>
      </c>
      <c r="AD163" s="248">
        <f t="shared" si="86"/>
        <v>0</v>
      </c>
      <c r="AE163" s="248">
        <f t="shared" si="86"/>
        <v>0</v>
      </c>
      <c r="AF163" s="248">
        <f t="shared" si="86"/>
        <v>0</v>
      </c>
      <c r="AG163" s="248">
        <f t="shared" si="86"/>
        <v>0</v>
      </c>
      <c r="AH163" s="248">
        <f t="shared" si="86"/>
        <v>0</v>
      </c>
      <c r="AI163" s="248">
        <f t="shared" si="86"/>
        <v>0</v>
      </c>
      <c r="AJ163" s="248">
        <f t="shared" si="86"/>
        <v>0</v>
      </c>
      <c r="AK163" s="248">
        <f t="shared" si="86"/>
        <v>0</v>
      </c>
      <c r="AL163" s="248">
        <f t="shared" si="86"/>
        <v>0</v>
      </c>
    </row>
    <row r="164" spans="2:40" x14ac:dyDescent="0.2">
      <c r="C164" s="405" t="s">
        <v>449</v>
      </c>
      <c r="D164" s="405"/>
      <c r="E164" s="405"/>
      <c r="F164" s="405"/>
      <c r="G164" s="405"/>
      <c r="H164" s="405"/>
      <c r="I164" s="405"/>
      <c r="J164" s="405"/>
      <c r="K164" s="405"/>
      <c r="L164" s="405"/>
      <c r="M164" s="405"/>
      <c r="N164" s="405"/>
      <c r="O164" s="405"/>
      <c r="P164" s="405"/>
      <c r="Q164" s="405"/>
      <c r="R164" s="405"/>
      <c r="S164" s="405"/>
      <c r="T164" s="405"/>
      <c r="U164" s="405"/>
      <c r="V164" s="405"/>
      <c r="W164" s="405"/>
      <c r="X164" s="405"/>
      <c r="Y164" s="405"/>
      <c r="Z164" s="405"/>
      <c r="AA164" s="405"/>
      <c r="AB164" s="405"/>
      <c r="AC164" s="405"/>
      <c r="AD164" s="405"/>
      <c r="AE164" s="405"/>
      <c r="AF164" s="405"/>
      <c r="AG164" s="405"/>
      <c r="AH164" s="405"/>
      <c r="AI164" s="405"/>
      <c r="AJ164" s="405"/>
      <c r="AK164" s="405"/>
      <c r="AL164" s="405"/>
      <c r="AM164" s="25"/>
      <c r="AN164" s="25"/>
    </row>
    <row r="168" spans="2:40" x14ac:dyDescent="0.2">
      <c r="C168" s="405" t="s">
        <v>446</v>
      </c>
      <c r="D168" s="405"/>
      <c r="E168" s="405"/>
      <c r="F168" s="405"/>
      <c r="G168" s="405"/>
      <c r="H168" s="405"/>
      <c r="I168" s="405"/>
      <c r="J168" s="405"/>
      <c r="K168" s="405"/>
      <c r="L168" s="241"/>
      <c r="M168" s="241"/>
      <c r="N168" s="241"/>
      <c r="O168" s="241"/>
      <c r="P168" s="241"/>
      <c r="Q168" s="241"/>
      <c r="R168" s="241"/>
      <c r="S168" s="241"/>
      <c r="T168" s="241"/>
      <c r="U168" s="25"/>
      <c r="V168" s="25"/>
    </row>
    <row r="171" spans="2:40" x14ac:dyDescent="0.2">
      <c r="B171" s="201" t="s">
        <v>413</v>
      </c>
      <c r="C171" s="248" cm="1">
        <f t="array" ref="C171:C206">TRANSPOSE(C163:AL163)</f>
        <v>1011.7674660019052</v>
      </c>
      <c r="E171" s="248" cm="1">
        <f t="array" ref="E171:E206">TRANSPOSE(C140:AL140)</f>
        <v>0</v>
      </c>
      <c r="G171" s="248">
        <f t="shared" ref="G171:G197" si="87">BG83</f>
        <v>1011.7674660019052</v>
      </c>
      <c r="I171" s="248" cm="1">
        <f t="array" ref="I171:I206">BN83:BN118</f>
        <v>0</v>
      </c>
      <c r="K171" s="295">
        <f>C171+E171-G171-I171</f>
        <v>0</v>
      </c>
    </row>
    <row r="172" spans="2:40" x14ac:dyDescent="0.2">
      <c r="B172" s="201" t="s">
        <v>415</v>
      </c>
      <c r="C172" s="248">
        <v>208.55560337725498</v>
      </c>
      <c r="E172" s="248">
        <v>0</v>
      </c>
      <c r="G172" s="248">
        <f t="shared" si="87"/>
        <v>208.55560337725498</v>
      </c>
      <c r="I172" s="248">
        <v>0</v>
      </c>
      <c r="K172" s="295">
        <f>C172+E172-G172-I172</f>
        <v>0</v>
      </c>
    </row>
    <row r="173" spans="2:40" x14ac:dyDescent="0.2">
      <c r="B173" s="201" t="s">
        <v>416</v>
      </c>
      <c r="C173" s="248">
        <v>298.6148747230165</v>
      </c>
      <c r="E173" s="248">
        <v>0</v>
      </c>
      <c r="G173" s="248">
        <f t="shared" si="87"/>
        <v>298.6148747230165</v>
      </c>
      <c r="I173" s="248">
        <v>0</v>
      </c>
      <c r="K173" s="295">
        <f>C173+E173-G173-I173</f>
        <v>0</v>
      </c>
    </row>
    <row r="174" spans="2:40" x14ac:dyDescent="0.2">
      <c r="B174" s="201" t="s">
        <v>436</v>
      </c>
      <c r="C174" s="248">
        <v>362460.64799951966</v>
      </c>
      <c r="E174" s="248">
        <v>0</v>
      </c>
      <c r="G174" s="248">
        <f t="shared" si="87"/>
        <v>362460.64799951972</v>
      </c>
      <c r="I174" s="248">
        <v>0</v>
      </c>
      <c r="K174" s="295">
        <f>ROUND(C174+E174-G174-I174, 10)</f>
        <v>-1E-10</v>
      </c>
    </row>
    <row r="175" spans="2:40" x14ac:dyDescent="0.2">
      <c r="B175" s="201" t="s">
        <v>459</v>
      </c>
      <c r="C175" s="248">
        <v>21047.371244024282</v>
      </c>
      <c r="E175" s="248">
        <v>0</v>
      </c>
      <c r="G175" s="248">
        <f t="shared" si="87"/>
        <v>21047.371244024282</v>
      </c>
      <c r="I175" s="248">
        <v>0</v>
      </c>
      <c r="K175" s="295">
        <f t="shared" ref="K175:K190" si="88">C175+E175-G175-I175</f>
        <v>0</v>
      </c>
    </row>
    <row r="176" spans="2:40" x14ac:dyDescent="0.2">
      <c r="B176" s="201" t="s">
        <v>492</v>
      </c>
      <c r="C176" s="248">
        <v>2.5875439035128025</v>
      </c>
      <c r="E176" s="248">
        <v>0</v>
      </c>
      <c r="G176" s="248">
        <f t="shared" si="87"/>
        <v>2.5875439035128025</v>
      </c>
      <c r="I176" s="248">
        <v>0</v>
      </c>
      <c r="K176" s="295">
        <f t="shared" si="88"/>
        <v>0</v>
      </c>
    </row>
    <row r="177" spans="2:18" x14ac:dyDescent="0.2">
      <c r="B177" s="201" t="s">
        <v>493</v>
      </c>
      <c r="C177" s="248">
        <v>5.1714158616864253E-4</v>
      </c>
      <c r="E177" s="248">
        <v>0</v>
      </c>
      <c r="G177" s="248">
        <f t="shared" si="87"/>
        <v>5.1714158616864253E-4</v>
      </c>
      <c r="I177" s="248">
        <v>0</v>
      </c>
      <c r="K177" s="295">
        <f t="shared" si="88"/>
        <v>0</v>
      </c>
    </row>
    <row r="178" spans="2:18" x14ac:dyDescent="0.2">
      <c r="B178" s="201" t="s">
        <v>496</v>
      </c>
      <c r="C178" s="248">
        <v>4.914718171980665</v>
      </c>
      <c r="E178" s="248">
        <v>0</v>
      </c>
      <c r="G178" s="248">
        <f t="shared" si="87"/>
        <v>4.914718171980665</v>
      </c>
      <c r="I178" s="248">
        <v>0</v>
      </c>
      <c r="K178" s="295">
        <f t="shared" si="88"/>
        <v>0</v>
      </c>
    </row>
    <row r="179" spans="2:18" x14ac:dyDescent="0.2">
      <c r="B179" s="201" t="s">
        <v>545</v>
      </c>
      <c r="C179" s="248">
        <v>0</v>
      </c>
      <c r="E179" s="248">
        <v>0</v>
      </c>
      <c r="G179" s="248">
        <f t="shared" si="87"/>
        <v>0</v>
      </c>
      <c r="I179" s="248">
        <v>0</v>
      </c>
      <c r="K179" s="295">
        <f t="shared" si="88"/>
        <v>0</v>
      </c>
    </row>
    <row r="180" spans="2:18" ht="16" x14ac:dyDescent="0.2">
      <c r="B180" s="202" t="s">
        <v>527</v>
      </c>
      <c r="C180" s="248">
        <v>0</v>
      </c>
      <c r="E180" s="248">
        <v>1011.7674660019052</v>
      </c>
      <c r="G180" s="248">
        <f t="shared" si="87"/>
        <v>1011.7674660019052</v>
      </c>
      <c r="I180" s="248">
        <v>0</v>
      </c>
      <c r="K180" s="295">
        <f t="shared" si="88"/>
        <v>0</v>
      </c>
    </row>
    <row r="181" spans="2:18" x14ac:dyDescent="0.2">
      <c r="B181" s="201" t="s">
        <v>494</v>
      </c>
      <c r="C181" s="248">
        <v>0</v>
      </c>
      <c r="E181" s="248">
        <v>32.219926549044033</v>
      </c>
      <c r="G181" s="248">
        <f t="shared" si="87"/>
        <v>0</v>
      </c>
      <c r="I181" s="248">
        <v>32.219926549044033</v>
      </c>
      <c r="K181" s="295">
        <f t="shared" si="88"/>
        <v>0</v>
      </c>
    </row>
    <row r="182" spans="2:18" ht="16" x14ac:dyDescent="0.2">
      <c r="B182" s="202" t="s">
        <v>497</v>
      </c>
      <c r="C182" s="248">
        <v>0</v>
      </c>
      <c r="E182" s="248">
        <v>208.55560337725498</v>
      </c>
      <c r="G182" s="248">
        <f t="shared" si="87"/>
        <v>208.55560337725498</v>
      </c>
      <c r="I182" s="248">
        <v>0</v>
      </c>
      <c r="K182" s="295">
        <f t="shared" si="88"/>
        <v>0</v>
      </c>
    </row>
    <row r="183" spans="2:18" x14ac:dyDescent="0.2">
      <c r="B183" s="201" t="s">
        <v>522</v>
      </c>
      <c r="C183" s="248">
        <v>0</v>
      </c>
      <c r="E183" s="248">
        <v>9.658257192857822E-2</v>
      </c>
      <c r="G183" s="248">
        <f t="shared" si="87"/>
        <v>0</v>
      </c>
      <c r="I183" s="248">
        <v>9.658257192857822E-2</v>
      </c>
      <c r="K183" s="295">
        <f t="shared" si="88"/>
        <v>0</v>
      </c>
    </row>
    <row r="184" spans="2:18" x14ac:dyDescent="0.2">
      <c r="B184" s="203" t="s">
        <v>515</v>
      </c>
      <c r="C184" s="248">
        <v>0</v>
      </c>
      <c r="D184" s="255" t="s">
        <v>453</v>
      </c>
      <c r="E184" s="248">
        <v>298.6148747230165</v>
      </c>
      <c r="F184" s="169" t="s">
        <v>455</v>
      </c>
      <c r="G184" s="248">
        <f t="shared" si="87"/>
        <v>298.6148747230165</v>
      </c>
      <c r="H184" s="169" t="s">
        <v>455</v>
      </c>
      <c r="I184" s="248">
        <v>0</v>
      </c>
      <c r="J184" s="255" t="s">
        <v>456</v>
      </c>
      <c r="K184" s="295">
        <f t="shared" si="88"/>
        <v>0</v>
      </c>
    </row>
    <row r="185" spans="2:18" x14ac:dyDescent="0.2">
      <c r="B185" s="201" t="s">
        <v>501</v>
      </c>
      <c r="C185" s="248">
        <v>0</v>
      </c>
      <c r="E185" s="248">
        <v>7.9771214256715108</v>
      </c>
      <c r="G185" s="248">
        <f t="shared" si="87"/>
        <v>0</v>
      </c>
      <c r="I185" s="248">
        <v>7.9771214256715108</v>
      </c>
      <c r="K185" s="295">
        <f t="shared" si="88"/>
        <v>0</v>
      </c>
    </row>
    <row r="186" spans="2:18" ht="16" x14ac:dyDescent="0.2">
      <c r="B186" s="202" t="s">
        <v>526</v>
      </c>
      <c r="C186" s="248">
        <v>0</v>
      </c>
      <c r="E186" s="248">
        <v>1011.7674660019052</v>
      </c>
      <c r="G186" s="248">
        <f t="shared" si="87"/>
        <v>1011.7674660019052</v>
      </c>
      <c r="I186" s="248">
        <v>0</v>
      </c>
      <c r="K186" s="295">
        <f t="shared" si="88"/>
        <v>0</v>
      </c>
    </row>
    <row r="187" spans="2:18" ht="16" x14ac:dyDescent="0.2">
      <c r="B187" s="202" t="s">
        <v>521</v>
      </c>
      <c r="C187" s="248">
        <v>0</v>
      </c>
      <c r="E187" s="248">
        <v>208.55560337725498</v>
      </c>
      <c r="G187" s="248">
        <f t="shared" si="87"/>
        <v>208.55560337725498</v>
      </c>
      <c r="I187" s="248">
        <v>0</v>
      </c>
      <c r="K187" s="295">
        <f t="shared" si="88"/>
        <v>0</v>
      </c>
    </row>
    <row r="188" spans="2:18" ht="16" x14ac:dyDescent="0.2">
      <c r="B188" s="202" t="s">
        <v>518</v>
      </c>
      <c r="C188" s="248">
        <v>0</v>
      </c>
      <c r="E188" s="248">
        <v>298.6148747230165</v>
      </c>
      <c r="G188" s="248">
        <f t="shared" si="87"/>
        <v>298.6148747230165</v>
      </c>
      <c r="I188" s="248">
        <v>0</v>
      </c>
      <c r="K188" s="295">
        <f t="shared" si="88"/>
        <v>0</v>
      </c>
    </row>
    <row r="189" spans="2:18" ht="16" x14ac:dyDescent="0.2">
      <c r="B189" s="202" t="s">
        <v>524</v>
      </c>
      <c r="C189" s="248">
        <v>0</v>
      </c>
      <c r="E189" s="248">
        <v>1000.0000000000001</v>
      </c>
      <c r="G189" s="248">
        <f t="shared" si="87"/>
        <v>1000.0000000000001</v>
      </c>
      <c r="I189" s="248">
        <v>0</v>
      </c>
      <c r="K189" s="295">
        <f t="shared" si="88"/>
        <v>0</v>
      </c>
    </row>
    <row r="190" spans="2:18" x14ac:dyDescent="0.2">
      <c r="B190" s="203" t="s">
        <v>523</v>
      </c>
      <c r="C190" s="248">
        <v>0</v>
      </c>
      <c r="E190" s="248">
        <v>11.767466001905108</v>
      </c>
      <c r="G190" s="248">
        <f t="shared" si="87"/>
        <v>0</v>
      </c>
      <c r="I190" s="248">
        <v>11.767466001905108</v>
      </c>
      <c r="K190" s="295">
        <f t="shared" si="88"/>
        <v>0</v>
      </c>
    </row>
    <row r="191" spans="2:18" x14ac:dyDescent="0.2">
      <c r="B191" s="203" t="s">
        <v>509</v>
      </c>
      <c r="C191" s="248">
        <v>0</v>
      </c>
      <c r="E191" s="248">
        <v>208.55560337725498</v>
      </c>
      <c r="G191" s="248">
        <f t="shared" si="87"/>
        <v>208.55560337725498</v>
      </c>
      <c r="I191" s="248">
        <v>0</v>
      </c>
      <c r="K191" s="295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203" t="s">
        <v>542</v>
      </c>
      <c r="C192" s="248">
        <v>0</v>
      </c>
      <c r="E192" s="248">
        <v>298.6148747230165</v>
      </c>
      <c r="G192" s="248">
        <f t="shared" si="87"/>
        <v>298.6148747230165</v>
      </c>
      <c r="I192" s="248">
        <v>0</v>
      </c>
      <c r="K192" s="295">
        <f t="shared" si="89"/>
        <v>0</v>
      </c>
      <c r="N192" s="25"/>
      <c r="P192" s="25"/>
      <c r="Q192" s="25"/>
      <c r="R192" s="25"/>
    </row>
    <row r="193" spans="2:19" x14ac:dyDescent="0.2">
      <c r="B193" s="203" t="s">
        <v>510</v>
      </c>
      <c r="C193" s="248">
        <v>0</v>
      </c>
      <c r="E193" s="248">
        <v>111.00813284002646</v>
      </c>
      <c r="G193" s="248">
        <f t="shared" si="87"/>
        <v>111.00813284002646</v>
      </c>
      <c r="I193" s="248">
        <v>0</v>
      </c>
      <c r="K193" s="295">
        <f t="shared" si="89"/>
        <v>0</v>
      </c>
      <c r="N193" s="25"/>
      <c r="P193" s="25"/>
      <c r="Q193" s="25"/>
      <c r="R193" s="25"/>
    </row>
    <row r="194" spans="2:19" x14ac:dyDescent="0.2">
      <c r="B194" s="203" t="s">
        <v>512</v>
      </c>
      <c r="C194" s="248">
        <v>0</v>
      </c>
      <c r="E194" s="248">
        <v>4.9847525450981189</v>
      </c>
      <c r="G194" s="248">
        <f t="shared" si="87"/>
        <v>0</v>
      </c>
      <c r="I194" s="248">
        <v>4.9847525450981189</v>
      </c>
      <c r="K194" s="295">
        <f t="shared" si="89"/>
        <v>0</v>
      </c>
      <c r="N194" s="25"/>
      <c r="P194" s="25"/>
      <c r="Q194" s="25"/>
      <c r="R194" s="25"/>
    </row>
    <row r="195" spans="2:19" x14ac:dyDescent="0.2">
      <c r="B195" s="203" t="s">
        <v>511</v>
      </c>
      <c r="C195" s="248">
        <v>0</v>
      </c>
      <c r="E195" s="248">
        <v>376967.02647382859</v>
      </c>
      <c r="G195" s="248">
        <f t="shared" si="87"/>
        <v>0</v>
      </c>
      <c r="I195" s="248">
        <v>376967.02647382859</v>
      </c>
      <c r="K195" s="295">
        <f t="shared" si="89"/>
        <v>0</v>
      </c>
      <c r="N195" s="25"/>
      <c r="P195" s="25"/>
      <c r="Q195" s="25"/>
      <c r="R195" s="25"/>
    </row>
    <row r="196" spans="2:19" x14ac:dyDescent="0.2">
      <c r="B196" s="203" t="s">
        <v>607</v>
      </c>
      <c r="C196" s="248">
        <v>0</v>
      </c>
      <c r="E196" s="248">
        <v>203.27980063725872</v>
      </c>
      <c r="G196" s="248">
        <f t="shared" si="87"/>
        <v>203.27980063725872</v>
      </c>
      <c r="I196" s="248">
        <v>0</v>
      </c>
      <c r="K196" s="295">
        <f t="shared" si="89"/>
        <v>0</v>
      </c>
    </row>
    <row r="197" spans="2:19" ht="16" x14ac:dyDescent="0.2">
      <c r="B197" s="249" t="s">
        <v>507</v>
      </c>
      <c r="C197" s="248">
        <v>0</v>
      </c>
      <c r="E197" s="248">
        <v>46.0998047134687</v>
      </c>
      <c r="G197" s="248">
        <f t="shared" si="87"/>
        <v>46.0998047134687</v>
      </c>
      <c r="I197" s="248">
        <v>0</v>
      </c>
      <c r="K197" s="295">
        <f t="shared" si="89"/>
        <v>0</v>
      </c>
    </row>
    <row r="198" spans="2:19" ht="16" x14ac:dyDescent="0.2">
      <c r="B198" s="249" t="s">
        <v>684</v>
      </c>
      <c r="C198" s="248">
        <v>0</v>
      </c>
      <c r="E198" s="248">
        <v>23.982067525572877</v>
      </c>
      <c r="G198" s="248">
        <f t="shared" ref="G198:G199" si="90">BG110</f>
        <v>0</v>
      </c>
      <c r="I198" s="248">
        <v>23.982067525572877</v>
      </c>
      <c r="K198" s="295">
        <f t="shared" si="89"/>
        <v>0</v>
      </c>
    </row>
    <row r="199" spans="2:19" x14ac:dyDescent="0.2">
      <c r="B199" s="203" t="s">
        <v>506</v>
      </c>
      <c r="C199" s="248">
        <v>0</v>
      </c>
      <c r="E199" s="248">
        <v>25.253201846716312</v>
      </c>
      <c r="G199" s="248">
        <f t="shared" si="90"/>
        <v>0</v>
      </c>
      <c r="I199" s="248">
        <v>25.253201846716312</v>
      </c>
      <c r="K199" s="295">
        <f t="shared" si="89"/>
        <v>0</v>
      </c>
      <c r="L199" s="25"/>
    </row>
    <row r="200" spans="2:19" x14ac:dyDescent="0.2">
      <c r="B200" s="201" t="s">
        <v>508</v>
      </c>
      <c r="C200" s="248">
        <v>0</v>
      </c>
      <c r="E200" s="248">
        <v>3698.8733194995434</v>
      </c>
      <c r="G200" s="248">
        <f t="shared" ref="G200:G206" si="91">BG112</f>
        <v>0</v>
      </c>
      <c r="I200" s="248">
        <v>3698.8733194995434</v>
      </c>
      <c r="K200" s="295">
        <f t="shared" si="89"/>
        <v>0</v>
      </c>
    </row>
    <row r="201" spans="2:19" x14ac:dyDescent="0.2">
      <c r="B201" s="203" t="s">
        <v>643</v>
      </c>
      <c r="C201" s="248">
        <v>0</v>
      </c>
      <c r="E201" s="248">
        <v>46.099804713468714</v>
      </c>
      <c r="G201" s="248">
        <f t="shared" si="91"/>
        <v>46.099804713468714</v>
      </c>
      <c r="I201" s="248">
        <v>0</v>
      </c>
      <c r="K201" s="295">
        <f t="shared" si="89"/>
        <v>0</v>
      </c>
    </row>
    <row r="202" spans="2:19" x14ac:dyDescent="0.2">
      <c r="B202" s="203" t="s">
        <v>646</v>
      </c>
      <c r="C202" s="248">
        <v>0</v>
      </c>
      <c r="E202" s="248">
        <v>46.099804713468714</v>
      </c>
      <c r="G202" s="248">
        <f t="shared" si="91"/>
        <v>32.269863299428096</v>
      </c>
      <c r="I202" s="248">
        <v>13.829941414040613</v>
      </c>
      <c r="K202" s="295">
        <f t="shared" si="89"/>
        <v>0</v>
      </c>
    </row>
    <row r="203" spans="2:19" x14ac:dyDescent="0.2">
      <c r="B203" s="203" t="s">
        <v>530</v>
      </c>
      <c r="C203" s="248">
        <v>0</v>
      </c>
      <c r="E203" s="248">
        <v>1314.2879334772852</v>
      </c>
      <c r="G203" s="248">
        <f t="shared" si="91"/>
        <v>1314.2879334772852</v>
      </c>
      <c r="I203" s="248">
        <v>0</v>
      </c>
      <c r="K203" s="295">
        <f t="shared" si="89"/>
        <v>0</v>
      </c>
      <c r="P203" s="241"/>
      <c r="Q203" s="241"/>
      <c r="R203" s="241"/>
      <c r="S203" s="241"/>
    </row>
    <row r="204" spans="2:19" x14ac:dyDescent="0.2">
      <c r="B204" s="203" t="s">
        <v>531</v>
      </c>
      <c r="C204" s="248">
        <v>0</v>
      </c>
      <c r="E204" s="248">
        <v>616.23583583508366</v>
      </c>
      <c r="G204" s="248">
        <f t="shared" si="91"/>
        <v>0</v>
      </c>
      <c r="I204" s="248">
        <v>616.23583583508366</v>
      </c>
      <c r="K204" s="295">
        <f t="shared" si="89"/>
        <v>0</v>
      </c>
    </row>
    <row r="205" spans="2:19" x14ac:dyDescent="0.2">
      <c r="B205" s="203" t="s">
        <v>532</v>
      </c>
      <c r="C205" s="248">
        <v>0</v>
      </c>
      <c r="E205" s="248">
        <v>3402.2651449800928</v>
      </c>
      <c r="G205" s="248">
        <f t="shared" si="91"/>
        <v>0</v>
      </c>
      <c r="I205" s="248">
        <v>3402.2651449800928</v>
      </c>
      <c r="K205" s="295">
        <f t="shared" si="89"/>
        <v>0</v>
      </c>
    </row>
    <row r="206" spans="2:19" x14ac:dyDescent="0.2">
      <c r="B206" s="203" t="s">
        <v>543</v>
      </c>
      <c r="C206" s="248">
        <v>0</v>
      </c>
      <c r="E206" s="248">
        <v>229.94813284002646</v>
      </c>
      <c r="G206" s="248">
        <f t="shared" si="91"/>
        <v>0</v>
      </c>
      <c r="I206" s="248">
        <v>229.94813284002646</v>
      </c>
      <c r="K206" s="295">
        <f t="shared" si="89"/>
        <v>0</v>
      </c>
    </row>
    <row r="207" spans="2:19" ht="17" x14ac:dyDescent="0.2">
      <c r="B207" s="203"/>
      <c r="C207" s="3" t="s">
        <v>452</v>
      </c>
      <c r="E207" s="3" t="s">
        <v>454</v>
      </c>
      <c r="G207" s="25" t="s">
        <v>451</v>
      </c>
      <c r="I207" s="25" t="s">
        <v>39</v>
      </c>
      <c r="K207" s="25">
        <f>SUM(K171:K206)</f>
        <v>-1E-10</v>
      </c>
    </row>
    <row r="208" spans="2:19" x14ac:dyDescent="0.2">
      <c r="B208" s="203"/>
      <c r="G208" s="25"/>
      <c r="I208" s="25"/>
    </row>
    <row r="209" spans="2:15" x14ac:dyDescent="0.2">
      <c r="B209" s="203"/>
    </row>
    <row r="210" spans="2:15" x14ac:dyDescent="0.2">
      <c r="C210" s="405" t="s">
        <v>457</v>
      </c>
      <c r="D210" s="405"/>
      <c r="E210" s="405"/>
      <c r="F210" s="405"/>
      <c r="G210" s="405"/>
      <c r="L210" s="241"/>
      <c r="M210" s="241"/>
    </row>
    <row r="213" spans="2:15" x14ac:dyDescent="0.2">
      <c r="B213" s="201" t="s">
        <v>405</v>
      </c>
      <c r="C213" s="248" cm="1">
        <f t="array" ref="C213:C227">TRANSPOSE((AR120:BF120))</f>
        <v>1043.9873925509492</v>
      </c>
      <c r="E213" s="248">
        <f t="shared" ref="E213:E227" si="92">AM124</f>
        <v>1043.9873925509492</v>
      </c>
      <c r="G213" s="295">
        <f>C213-E213</f>
        <v>0</v>
      </c>
    </row>
    <row r="214" spans="2:15" x14ac:dyDescent="0.2">
      <c r="B214" s="201" t="s">
        <v>406</v>
      </c>
      <c r="C214" s="248">
        <v>208.65218594918355</v>
      </c>
      <c r="E214" s="248">
        <f t="shared" si="92"/>
        <v>208.65218594918355</v>
      </c>
      <c r="G214" s="295">
        <f t="shared" ref="G214:G227" si="93">C214-E214</f>
        <v>0</v>
      </c>
      <c r="N214" s="241"/>
      <c r="O214" s="241"/>
    </row>
    <row r="215" spans="2:15" x14ac:dyDescent="0.2">
      <c r="B215" s="201" t="s">
        <v>407</v>
      </c>
      <c r="C215" s="248">
        <v>306.591996148688</v>
      </c>
      <c r="E215" s="248">
        <f t="shared" si="92"/>
        <v>306.591996148688</v>
      </c>
      <c r="G215" s="295">
        <f t="shared" si="93"/>
        <v>0</v>
      </c>
    </row>
    <row r="216" spans="2:15" x14ac:dyDescent="0.2">
      <c r="B216" s="201" t="s">
        <v>541</v>
      </c>
      <c r="C216" s="248">
        <v>1011.7674660019052</v>
      </c>
      <c r="D216" s="250"/>
      <c r="E216" s="248">
        <f t="shared" si="92"/>
        <v>1011.7674660019052</v>
      </c>
      <c r="F216" s="250"/>
      <c r="G216" s="295">
        <f t="shared" si="93"/>
        <v>0</v>
      </c>
    </row>
    <row r="217" spans="2:15" x14ac:dyDescent="0.2">
      <c r="B217" s="201" t="s">
        <v>520</v>
      </c>
      <c r="C217" s="248">
        <v>208.55560337725498</v>
      </c>
      <c r="E217" s="248">
        <f t="shared" si="92"/>
        <v>208.55560337725498</v>
      </c>
      <c r="G217" s="295">
        <f t="shared" si="93"/>
        <v>0</v>
      </c>
      <c r="H217" s="241"/>
      <c r="I217" s="241"/>
      <c r="J217" s="241"/>
      <c r="K217" s="241"/>
    </row>
    <row r="218" spans="2:15" x14ac:dyDescent="0.2">
      <c r="B218" s="201" t="s">
        <v>519</v>
      </c>
      <c r="C218" s="248">
        <v>298.6148747230165</v>
      </c>
      <c r="E218" s="248">
        <f t="shared" si="92"/>
        <v>298.6148747230165</v>
      </c>
      <c r="G218" s="295">
        <f t="shared" si="93"/>
        <v>0</v>
      </c>
    </row>
    <row r="219" spans="2:15" x14ac:dyDescent="0.2">
      <c r="B219" s="201" t="s">
        <v>432</v>
      </c>
      <c r="C219" s="248">
        <v>1011.7674660019052</v>
      </c>
      <c r="E219" s="248">
        <f t="shared" si="92"/>
        <v>1011.7674660019052</v>
      </c>
      <c r="G219" s="295">
        <f t="shared" si="93"/>
        <v>0</v>
      </c>
    </row>
    <row r="220" spans="2:15" x14ac:dyDescent="0.2">
      <c r="B220" s="201" t="s">
        <v>429</v>
      </c>
      <c r="C220" s="248">
        <v>208.55560337725498</v>
      </c>
      <c r="D220" s="169" t="s">
        <v>460</v>
      </c>
      <c r="E220" s="248">
        <f t="shared" si="92"/>
        <v>208.55560337725498</v>
      </c>
      <c r="F220" s="169" t="s">
        <v>456</v>
      </c>
      <c r="G220" s="295">
        <f t="shared" si="93"/>
        <v>0</v>
      </c>
    </row>
    <row r="221" spans="2:15" x14ac:dyDescent="0.2">
      <c r="B221" s="201" t="s">
        <v>444</v>
      </c>
      <c r="C221" s="248">
        <v>298.6148747230165</v>
      </c>
      <c r="E221" s="248">
        <f t="shared" si="92"/>
        <v>298.6148747230165</v>
      </c>
      <c r="G221" s="295">
        <f t="shared" si="93"/>
        <v>0</v>
      </c>
    </row>
    <row r="222" spans="2:15" x14ac:dyDescent="0.2">
      <c r="B222" s="201" t="s">
        <v>430</v>
      </c>
      <c r="C222" s="248">
        <v>377083.01935921365</v>
      </c>
      <c r="E222" s="248">
        <f t="shared" si="92"/>
        <v>377083.01935921371</v>
      </c>
      <c r="G222" s="295">
        <f t="shared" si="93"/>
        <v>0</v>
      </c>
    </row>
    <row r="223" spans="2:15" x14ac:dyDescent="0.2">
      <c r="B223" s="201" t="s">
        <v>425</v>
      </c>
      <c r="C223" s="248">
        <v>3997.4881942225597</v>
      </c>
      <c r="E223" s="248">
        <f t="shared" si="92"/>
        <v>3997.4881942225602</v>
      </c>
      <c r="G223" s="295">
        <f t="shared" si="93"/>
        <v>0</v>
      </c>
    </row>
    <row r="224" spans="2:15" x14ac:dyDescent="0.2">
      <c r="B224" s="201" t="s">
        <v>642</v>
      </c>
      <c r="C224" s="248">
        <v>46.0998047134687</v>
      </c>
      <c r="E224" s="248">
        <f t="shared" si="92"/>
        <v>46.099804713468714</v>
      </c>
      <c r="G224" s="295">
        <f t="shared" si="93"/>
        <v>0</v>
      </c>
    </row>
    <row r="225" spans="2:11" x14ac:dyDescent="0.2">
      <c r="B225" s="201" t="s">
        <v>645</v>
      </c>
      <c r="C225" s="248">
        <v>46.099804713468714</v>
      </c>
      <c r="E225" s="248">
        <f t="shared" si="92"/>
        <v>46.099804713468714</v>
      </c>
      <c r="G225" s="295">
        <f t="shared" si="93"/>
        <v>0</v>
      </c>
    </row>
    <row r="226" spans="2:11" x14ac:dyDescent="0.2">
      <c r="B226" s="201" t="s">
        <v>81</v>
      </c>
      <c r="C226" s="248">
        <v>1314.2879334772852</v>
      </c>
      <c r="E226" s="248">
        <f t="shared" si="92"/>
        <v>1314.2879334772852</v>
      </c>
      <c r="G226" s="295">
        <f t="shared" si="93"/>
        <v>0</v>
      </c>
    </row>
    <row r="227" spans="2:11" x14ac:dyDescent="0.2">
      <c r="B227" s="201" t="s">
        <v>417</v>
      </c>
      <c r="C227" s="248">
        <v>4248.4491136552024</v>
      </c>
      <c r="D227" s="169"/>
      <c r="E227" s="248">
        <f t="shared" si="92"/>
        <v>4248.4491136552024</v>
      </c>
      <c r="G227" s="295">
        <f t="shared" si="93"/>
        <v>0</v>
      </c>
    </row>
    <row r="228" spans="2:11" x14ac:dyDescent="0.2">
      <c r="B228" s="203"/>
      <c r="C228" s="169" t="s">
        <v>450</v>
      </c>
      <c r="D228" s="169"/>
      <c r="E228" s="169" t="s">
        <v>447</v>
      </c>
      <c r="F228" s="169"/>
      <c r="G228" s="169">
        <v>0</v>
      </c>
    </row>
    <row r="229" spans="2:11" x14ac:dyDescent="0.2">
      <c r="B229" s="203"/>
    </row>
    <row r="230" spans="2:11" x14ac:dyDescent="0.2">
      <c r="B230" s="203"/>
    </row>
    <row r="235" spans="2:11" x14ac:dyDescent="0.2">
      <c r="H235" s="169"/>
      <c r="I235" s="169"/>
      <c r="J235" s="169"/>
      <c r="K235" s="169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abSelected="1" topLeftCell="A106" zoomScale="75" workbookViewId="0">
      <selection activeCell="L149" sqref="L149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204" t="s">
        <v>699</v>
      </c>
      <c r="AQ1" s="256"/>
      <c r="AR1" s="204" t="s">
        <v>405</v>
      </c>
      <c r="AS1" s="204" t="s">
        <v>406</v>
      </c>
      <c r="AT1" s="204" t="s">
        <v>407</v>
      </c>
      <c r="AU1" s="204" t="s">
        <v>541</v>
      </c>
      <c r="AV1" s="204" t="s">
        <v>520</v>
      </c>
      <c r="AW1" s="204" t="s">
        <v>519</v>
      </c>
      <c r="AX1" s="204" t="s">
        <v>432</v>
      </c>
      <c r="AY1" s="204" t="s">
        <v>429</v>
      </c>
      <c r="AZ1" s="204" t="s">
        <v>444</v>
      </c>
      <c r="BA1" s="204" t="s">
        <v>430</v>
      </c>
      <c r="BB1" s="204" t="s">
        <v>425</v>
      </c>
      <c r="BC1" s="204" t="s">
        <v>642</v>
      </c>
      <c r="BD1" s="204" t="s">
        <v>645</v>
      </c>
      <c r="BE1" s="204" t="s">
        <v>81</v>
      </c>
      <c r="BF1" s="204" t="s">
        <v>417</v>
      </c>
      <c r="BK1" s="256"/>
      <c r="BL1" s="204" t="s">
        <v>405</v>
      </c>
      <c r="BM1" s="204" t="s">
        <v>406</v>
      </c>
      <c r="BN1" s="204" t="s">
        <v>407</v>
      </c>
      <c r="BO1" s="204" t="s">
        <v>541</v>
      </c>
      <c r="BP1" s="204" t="s">
        <v>520</v>
      </c>
      <c r="BQ1" s="204" t="s">
        <v>519</v>
      </c>
      <c r="BR1" s="204" t="s">
        <v>432</v>
      </c>
      <c r="BS1" s="204" t="s">
        <v>429</v>
      </c>
      <c r="BT1" s="204" t="s">
        <v>444</v>
      </c>
      <c r="BU1" s="204" t="s">
        <v>430</v>
      </c>
      <c r="BV1" s="204" t="s">
        <v>425</v>
      </c>
      <c r="BW1" s="204" t="s">
        <v>642</v>
      </c>
      <c r="BX1" s="204" t="s">
        <v>645</v>
      </c>
      <c r="BY1" s="204" t="s">
        <v>81</v>
      </c>
      <c r="BZ1" s="204" t="s">
        <v>417</v>
      </c>
    </row>
    <row r="2" spans="2:78" x14ac:dyDescent="0.2">
      <c r="B2" s="201" t="s">
        <v>413</v>
      </c>
      <c r="C2" s="280">
        <v>1</v>
      </c>
      <c r="AQ2" s="201" t="s">
        <v>413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413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</row>
    <row r="3" spans="2:78" x14ac:dyDescent="0.2">
      <c r="B3" s="201" t="s">
        <v>415</v>
      </c>
      <c r="C3" s="280">
        <v>1</v>
      </c>
      <c r="AQ3" s="201" t="s">
        <v>415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415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</row>
    <row r="4" spans="2:78" x14ac:dyDescent="0.2">
      <c r="B4" s="201" t="s">
        <v>416</v>
      </c>
      <c r="C4" s="280">
        <v>1</v>
      </c>
      <c r="AQ4" s="201" t="s">
        <v>416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416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</row>
    <row r="5" spans="2:78" x14ac:dyDescent="0.2">
      <c r="B5" s="201" t="s">
        <v>436</v>
      </c>
      <c r="C5" s="280">
        <v>1</v>
      </c>
      <c r="AQ5" s="201" t="s">
        <v>436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436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</row>
    <row r="6" spans="2:78" x14ac:dyDescent="0.2">
      <c r="B6" s="201" t="s">
        <v>459</v>
      </c>
      <c r="C6" s="280">
        <v>1</v>
      </c>
      <c r="AQ6" s="201" t="s">
        <v>459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459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</row>
    <row r="7" spans="2:78" x14ac:dyDescent="0.2">
      <c r="B7" s="201" t="s">
        <v>552</v>
      </c>
      <c r="C7" s="280">
        <v>1</v>
      </c>
      <c r="AQ7" s="201" t="s">
        <v>552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552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</row>
    <row r="8" spans="2:78" x14ac:dyDescent="0.2">
      <c r="B8" s="201" t="s">
        <v>553</v>
      </c>
      <c r="C8" s="280">
        <v>1</v>
      </c>
      <c r="AQ8" s="201" t="s">
        <v>553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553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</row>
    <row r="9" spans="2:78" x14ac:dyDescent="0.2">
      <c r="B9" s="201" t="s">
        <v>496</v>
      </c>
      <c r="C9" s="280">
        <v>1</v>
      </c>
      <c r="AQ9" s="201" t="s">
        <v>496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496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</row>
    <row r="10" spans="2:78" x14ac:dyDescent="0.2">
      <c r="B10" s="201" t="s">
        <v>545</v>
      </c>
      <c r="C10" s="280">
        <v>1</v>
      </c>
      <c r="AQ10" s="201" t="s">
        <v>545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545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</row>
    <row r="11" spans="2:78" ht="16" x14ac:dyDescent="0.2">
      <c r="B11" s="202" t="s">
        <v>527</v>
      </c>
      <c r="C11" s="280">
        <v>1</v>
      </c>
      <c r="AQ11" s="202" t="s">
        <v>527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527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</row>
    <row r="12" spans="2:78" x14ac:dyDescent="0.2">
      <c r="B12" s="201" t="s">
        <v>494</v>
      </c>
      <c r="C12" s="280">
        <v>1</v>
      </c>
      <c r="AQ12" s="201" t="s">
        <v>494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494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</row>
    <row r="13" spans="2:78" ht="16" x14ac:dyDescent="0.2">
      <c r="B13" s="202" t="s">
        <v>497</v>
      </c>
      <c r="C13" s="280">
        <v>1</v>
      </c>
      <c r="AQ13" s="202" t="s">
        <v>497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497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</row>
    <row r="14" spans="2:78" x14ac:dyDescent="0.2">
      <c r="B14" s="201" t="s">
        <v>522</v>
      </c>
      <c r="C14" s="280">
        <v>1</v>
      </c>
      <c r="AQ14" s="201" t="s">
        <v>522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522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</row>
    <row r="15" spans="2:78" x14ac:dyDescent="0.2">
      <c r="B15" s="203" t="s">
        <v>515</v>
      </c>
      <c r="C15" s="280">
        <v>1</v>
      </c>
      <c r="AQ15" s="203" t="s">
        <v>515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515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</row>
    <row r="16" spans="2:78" x14ac:dyDescent="0.2">
      <c r="B16" s="201" t="s">
        <v>501</v>
      </c>
      <c r="C16" s="280">
        <v>1</v>
      </c>
      <c r="AQ16" s="201" t="s">
        <v>501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501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</row>
    <row r="17" spans="2:78" ht="16" x14ac:dyDescent="0.2">
      <c r="B17" s="202" t="s">
        <v>526</v>
      </c>
      <c r="C17" s="280">
        <v>1</v>
      </c>
      <c r="AQ17" s="202" t="s">
        <v>526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526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</row>
    <row r="18" spans="2:78" ht="16" x14ac:dyDescent="0.2">
      <c r="B18" s="202" t="s">
        <v>521</v>
      </c>
      <c r="C18" s="280">
        <v>1</v>
      </c>
      <c r="AQ18" s="202" t="s">
        <v>521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521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</row>
    <row r="19" spans="2:78" ht="16" x14ac:dyDescent="0.2">
      <c r="B19" s="202" t="s">
        <v>518</v>
      </c>
      <c r="C19" s="280">
        <v>1</v>
      </c>
      <c r="AQ19" s="202" t="s">
        <v>518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518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</row>
    <row r="20" spans="2:78" ht="16" x14ac:dyDescent="0.2">
      <c r="B20" s="202" t="s">
        <v>524</v>
      </c>
      <c r="C20" s="280">
        <v>1</v>
      </c>
      <c r="AQ20" s="202" t="s">
        <v>524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524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</row>
    <row r="21" spans="2:78" x14ac:dyDescent="0.2">
      <c r="B21" s="203" t="s">
        <v>523</v>
      </c>
      <c r="C21" s="280">
        <v>1</v>
      </c>
      <c r="AQ21" s="203" t="s">
        <v>523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523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</row>
    <row r="22" spans="2:78" x14ac:dyDescent="0.2">
      <c r="B22" s="203" t="s">
        <v>509</v>
      </c>
      <c r="C22" s="280">
        <v>1</v>
      </c>
      <c r="AQ22" s="203" t="s">
        <v>509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509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</row>
    <row r="23" spans="2:78" x14ac:dyDescent="0.2">
      <c r="B23" s="203" t="s">
        <v>542</v>
      </c>
      <c r="C23" s="280">
        <v>1</v>
      </c>
      <c r="AQ23" s="203" t="s">
        <v>542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542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</row>
    <row r="24" spans="2:78" x14ac:dyDescent="0.2">
      <c r="B24" s="203" t="s">
        <v>510</v>
      </c>
      <c r="C24" s="280">
        <v>1</v>
      </c>
      <c r="AQ24" s="203" t="s">
        <v>510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510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</row>
    <row r="25" spans="2:78" x14ac:dyDescent="0.2">
      <c r="B25" s="203" t="s">
        <v>512</v>
      </c>
      <c r="C25" s="280">
        <v>1</v>
      </c>
      <c r="AQ25" s="203" t="s">
        <v>512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512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</row>
    <row r="26" spans="2:78" x14ac:dyDescent="0.2">
      <c r="B26" s="203" t="s">
        <v>511</v>
      </c>
      <c r="C26" s="280">
        <v>1</v>
      </c>
      <c r="AQ26" s="203" t="s">
        <v>511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511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</row>
    <row r="27" spans="2:78" x14ac:dyDescent="0.2">
      <c r="B27" s="203" t="s">
        <v>607</v>
      </c>
      <c r="C27" s="280">
        <v>1</v>
      </c>
      <c r="AQ27" s="203" t="s">
        <v>607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607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</row>
    <row r="28" spans="2:78" ht="16" x14ac:dyDescent="0.2">
      <c r="B28" s="249" t="s">
        <v>507</v>
      </c>
      <c r="C28" s="280">
        <v>1</v>
      </c>
      <c r="AQ28" s="249" t="s">
        <v>507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507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</row>
    <row r="29" spans="2:78" ht="16" x14ac:dyDescent="0.2">
      <c r="B29" s="249" t="s">
        <v>684</v>
      </c>
      <c r="C29" s="280">
        <v>1</v>
      </c>
      <c r="AQ29" s="249" t="s">
        <v>684</v>
      </c>
      <c r="AR29" s="280">
        <v>0</v>
      </c>
      <c r="AS29" s="280">
        <v>0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F29" s="280">
        <v>0</v>
      </c>
      <c r="BK29" s="249" t="s">
        <v>684</v>
      </c>
      <c r="BL29" s="280">
        <v>0</v>
      </c>
      <c r="BM29" s="280">
        <v>0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  <c r="BY29" s="280">
        <v>0</v>
      </c>
      <c r="BZ29" s="280">
        <v>0</v>
      </c>
    </row>
    <row r="30" spans="2:78" x14ac:dyDescent="0.2">
      <c r="B30" s="203" t="s">
        <v>506</v>
      </c>
      <c r="C30" s="280">
        <v>1</v>
      </c>
      <c r="AQ30" s="203" t="s">
        <v>506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506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</row>
    <row r="31" spans="2:78" x14ac:dyDescent="0.2">
      <c r="B31" s="201" t="s">
        <v>508</v>
      </c>
      <c r="C31" s="280">
        <v>1</v>
      </c>
      <c r="AQ31" s="201" t="s">
        <v>508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508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</row>
    <row r="32" spans="2:78" x14ac:dyDescent="0.2">
      <c r="B32" s="203" t="s">
        <v>643</v>
      </c>
      <c r="C32" s="280">
        <v>1</v>
      </c>
      <c r="AQ32" s="203" t="s">
        <v>643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643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</row>
    <row r="33" spans="2:78" x14ac:dyDescent="0.2">
      <c r="B33" s="203" t="s">
        <v>646</v>
      </c>
      <c r="C33" s="280">
        <v>1</v>
      </c>
      <c r="AQ33" s="203" t="s">
        <v>646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646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</row>
    <row r="34" spans="2:78" x14ac:dyDescent="0.2">
      <c r="B34" s="203" t="s">
        <v>530</v>
      </c>
      <c r="C34" s="280">
        <v>1</v>
      </c>
      <c r="AQ34" s="203" t="s">
        <v>530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530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</row>
    <row r="35" spans="2:78" x14ac:dyDescent="0.2">
      <c r="B35" s="203" t="s">
        <v>531</v>
      </c>
      <c r="C35" s="280">
        <v>1</v>
      </c>
      <c r="AQ35" s="203" t="s">
        <v>531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531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</row>
    <row r="36" spans="2:78" x14ac:dyDescent="0.2">
      <c r="B36" s="203" t="s">
        <v>532</v>
      </c>
      <c r="C36" s="280">
        <v>1</v>
      </c>
      <c r="AQ36" s="203" t="s">
        <v>532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532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</row>
    <row r="37" spans="2:78" x14ac:dyDescent="0.2">
      <c r="B37" s="203" t="s">
        <v>543</v>
      </c>
      <c r="C37" s="280">
        <v>1</v>
      </c>
      <c r="AQ37" s="203" t="s">
        <v>543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543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</row>
    <row r="38" spans="2:78" x14ac:dyDescent="0.2">
      <c r="C38" s="169" t="s">
        <v>559</v>
      </c>
      <c r="AQ38" s="203"/>
      <c r="AR38" s="405" t="s">
        <v>556</v>
      </c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K38" s="203"/>
      <c r="BL38" s="405" t="s">
        <v>557</v>
      </c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</row>
    <row r="39" spans="2:78" x14ac:dyDescent="0.2">
      <c r="AQ39" s="203"/>
      <c r="BK39" s="203"/>
    </row>
    <row r="40" spans="2:78" x14ac:dyDescent="0.2">
      <c r="AQ40" s="203"/>
    </row>
    <row r="41" spans="2:78" ht="112" x14ac:dyDescent="0.2">
      <c r="AQ41" s="256"/>
      <c r="AR41" s="204" t="s">
        <v>405</v>
      </c>
      <c r="AS41" s="204" t="s">
        <v>406</v>
      </c>
      <c r="AT41" s="204" t="s">
        <v>407</v>
      </c>
      <c r="AU41" s="204" t="s">
        <v>541</v>
      </c>
      <c r="AV41" s="204" t="s">
        <v>520</v>
      </c>
      <c r="AW41" s="204" t="s">
        <v>519</v>
      </c>
      <c r="AX41" s="204" t="s">
        <v>432</v>
      </c>
      <c r="AY41" s="204" t="s">
        <v>429</v>
      </c>
      <c r="AZ41" s="204" t="s">
        <v>444</v>
      </c>
      <c r="BA41" s="204" t="s">
        <v>430</v>
      </c>
      <c r="BB41" s="204" t="s">
        <v>425</v>
      </c>
      <c r="BC41" s="204" t="s">
        <v>642</v>
      </c>
      <c r="BD41" s="204" t="s">
        <v>645</v>
      </c>
      <c r="BE41" s="204" t="s">
        <v>81</v>
      </c>
      <c r="BF41" s="204" t="s">
        <v>417</v>
      </c>
    </row>
    <row r="42" spans="2:78" x14ac:dyDescent="0.2">
      <c r="AQ42" s="201" t="s">
        <v>413</v>
      </c>
      <c r="AR42" s="280">
        <f>AR83</f>
        <v>-841.69623437072971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8" x14ac:dyDescent="0.2">
      <c r="AQ43" s="201" t="s">
        <v>415</v>
      </c>
      <c r="AR43" s="280">
        <f t="shared" ref="AR43:BF68" si="1">AR84</f>
        <v>0</v>
      </c>
      <c r="AS43" s="280">
        <f t="shared" si="1"/>
        <v>-1202.01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si="1"/>
        <v>0</v>
      </c>
      <c r="BA43" s="280">
        <f t="shared" si="1"/>
        <v>0</v>
      </c>
      <c r="BB43" s="280">
        <f t="shared" si="1"/>
        <v>0</v>
      </c>
      <c r="BC43" s="280">
        <f t="shared" si="1"/>
        <v>0</v>
      </c>
      <c r="BD43" s="280">
        <f t="shared" si="1"/>
        <v>0</v>
      </c>
      <c r="BE43" s="280">
        <f t="shared" si="1"/>
        <v>0</v>
      </c>
      <c r="BF43" s="280">
        <f t="shared" si="1"/>
        <v>0</v>
      </c>
    </row>
    <row r="44" spans="2:78" x14ac:dyDescent="0.2">
      <c r="AQ44" s="201" t="s">
        <v>416</v>
      </c>
      <c r="AR44" s="280">
        <f t="shared" si="1"/>
        <v>0</v>
      </c>
      <c r="AS44" s="280">
        <f t="shared" si="1"/>
        <v>0</v>
      </c>
      <c r="AT44" s="280">
        <f t="shared" si="1"/>
        <v>23054812.906863328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si="1"/>
        <v>0</v>
      </c>
      <c r="BA44" s="280">
        <f t="shared" si="1"/>
        <v>0</v>
      </c>
      <c r="BB44" s="280">
        <f t="shared" si="1"/>
        <v>0</v>
      </c>
      <c r="BC44" s="280">
        <f t="shared" si="1"/>
        <v>0</v>
      </c>
      <c r="BD44" s="280">
        <f t="shared" si="1"/>
        <v>0</v>
      </c>
      <c r="BE44" s="280">
        <f t="shared" si="1"/>
        <v>0</v>
      </c>
      <c r="BF44" s="280">
        <f t="shared" si="1"/>
        <v>0</v>
      </c>
    </row>
    <row r="45" spans="2:78" x14ac:dyDescent="0.2">
      <c r="AQ45" s="201" t="s">
        <v>436</v>
      </c>
      <c r="AR45" s="280">
        <f t="shared" si="1"/>
        <v>0</v>
      </c>
      <c r="AS45" s="280">
        <f t="shared" si="1"/>
        <v>0</v>
      </c>
      <c r="AT45" s="280">
        <f t="shared" si="1"/>
        <v>0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si="1"/>
        <v>0</v>
      </c>
      <c r="BA45" s="280">
        <f t="shared" si="1"/>
        <v>0</v>
      </c>
      <c r="BB45" s="280">
        <f t="shared" si="1"/>
        <v>0</v>
      </c>
      <c r="BC45" s="280">
        <f t="shared" si="1"/>
        <v>0</v>
      </c>
      <c r="BD45" s="280">
        <f t="shared" si="1"/>
        <v>0</v>
      </c>
      <c r="BE45" s="280">
        <f t="shared" si="1"/>
        <v>0</v>
      </c>
      <c r="BF45" s="280">
        <f t="shared" si="1"/>
        <v>0</v>
      </c>
    </row>
    <row r="46" spans="2:78" x14ac:dyDescent="0.2">
      <c r="AQ46" s="201" t="s">
        <v>459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si="1"/>
        <v>0</v>
      </c>
      <c r="BA46" s="280">
        <f t="shared" si="1"/>
        <v>-74.599999999999994</v>
      </c>
      <c r="BB46" s="280">
        <f t="shared" si="1"/>
        <v>-74.599999999999994</v>
      </c>
      <c r="BC46" s="280">
        <f t="shared" si="1"/>
        <v>0</v>
      </c>
      <c r="BD46" s="280">
        <f t="shared" si="1"/>
        <v>0</v>
      </c>
      <c r="BE46" s="280">
        <f t="shared" si="1"/>
        <v>0</v>
      </c>
      <c r="BF46" s="280">
        <f t="shared" si="1"/>
        <v>-74.599999999999994</v>
      </c>
    </row>
    <row r="47" spans="2:78" x14ac:dyDescent="0.2">
      <c r="AQ47" s="201" t="s">
        <v>552</v>
      </c>
      <c r="AR47" s="280">
        <f t="shared" si="1"/>
        <v>7127.6028120000001</v>
      </c>
      <c r="AS47" s="280">
        <f t="shared" si="1"/>
        <v>7127.6028120000001</v>
      </c>
      <c r="AT47" s="280">
        <f t="shared" si="1"/>
        <v>7127.6028120000001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si="1"/>
        <v>0</v>
      </c>
      <c r="BA47" s="280">
        <f t="shared" si="1"/>
        <v>0</v>
      </c>
      <c r="BB47" s="280">
        <f t="shared" si="1"/>
        <v>0</v>
      </c>
      <c r="BC47" s="280">
        <f t="shared" si="1"/>
        <v>0</v>
      </c>
      <c r="BD47" s="280">
        <f t="shared" si="1"/>
        <v>0</v>
      </c>
      <c r="BE47" s="280">
        <f t="shared" si="1"/>
        <v>0</v>
      </c>
      <c r="BF47" s="280">
        <f t="shared" si="1"/>
        <v>0</v>
      </c>
    </row>
    <row r="48" spans="2:78" x14ac:dyDescent="0.2">
      <c r="AQ48" s="201" t="s">
        <v>553</v>
      </c>
      <c r="AR48" s="280">
        <f t="shared" si="1"/>
        <v>0</v>
      </c>
      <c r="AS48" s="280">
        <f t="shared" si="1"/>
        <v>-250.1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si="1"/>
        <v>0</v>
      </c>
      <c r="BA48" s="280">
        <f t="shared" si="1"/>
        <v>0</v>
      </c>
      <c r="BB48" s="280">
        <f t="shared" si="1"/>
        <v>0</v>
      </c>
      <c r="BC48" s="280">
        <f t="shared" si="1"/>
        <v>0</v>
      </c>
      <c r="BD48" s="280">
        <f t="shared" si="1"/>
        <v>0</v>
      </c>
      <c r="BE48" s="280">
        <f t="shared" si="1"/>
        <v>0</v>
      </c>
      <c r="BF48" s="280">
        <f t="shared" si="1"/>
        <v>0</v>
      </c>
    </row>
    <row r="49" spans="43:58" x14ac:dyDescent="0.2">
      <c r="AQ49" s="201" t="s">
        <v>496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si="1"/>
        <v>0</v>
      </c>
      <c r="BA49" s="280">
        <f t="shared" si="1"/>
        <v>0</v>
      </c>
      <c r="BB49" s="280">
        <f t="shared" si="1"/>
        <v>0</v>
      </c>
      <c r="BC49" s="280">
        <f t="shared" si="1"/>
        <v>0</v>
      </c>
      <c r="BD49" s="280">
        <f t="shared" si="1"/>
        <v>0</v>
      </c>
      <c r="BE49" s="280">
        <f t="shared" si="1"/>
        <v>0</v>
      </c>
      <c r="BF49" s="280">
        <f t="shared" si="1"/>
        <v>5540.6175999999996</v>
      </c>
    </row>
    <row r="50" spans="43:58" x14ac:dyDescent="0.2">
      <c r="AQ50" s="201" t="s">
        <v>545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si="1"/>
        <v>0</v>
      </c>
      <c r="BA50" s="280">
        <f t="shared" si="1"/>
        <v>0</v>
      </c>
      <c r="BB50" s="280">
        <f t="shared" si="1"/>
        <v>0</v>
      </c>
      <c r="BC50" s="280">
        <f t="shared" si="1"/>
        <v>0</v>
      </c>
      <c r="BD50" s="280">
        <f t="shared" si="1"/>
        <v>0</v>
      </c>
      <c r="BE50" s="280">
        <f t="shared" si="1"/>
        <v>0</v>
      </c>
      <c r="BF50" s="280">
        <f t="shared" si="1"/>
        <v>0</v>
      </c>
    </row>
    <row r="51" spans="43:58" ht="16" x14ac:dyDescent="0.2">
      <c r="AQ51" s="202" t="s">
        <v>527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-841.69623437072971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si="1"/>
        <v>0</v>
      </c>
      <c r="BA51" s="280">
        <f t="shared" si="1"/>
        <v>0</v>
      </c>
      <c r="BB51" s="280">
        <f t="shared" si="1"/>
        <v>0</v>
      </c>
      <c r="BC51" s="280">
        <f t="shared" si="1"/>
        <v>0</v>
      </c>
      <c r="BD51" s="280">
        <f t="shared" si="1"/>
        <v>0</v>
      </c>
      <c r="BE51" s="280">
        <f t="shared" si="1"/>
        <v>0</v>
      </c>
      <c r="BF51" s="280">
        <f t="shared" si="1"/>
        <v>0</v>
      </c>
    </row>
    <row r="52" spans="43:58" x14ac:dyDescent="0.2">
      <c r="AQ52" s="201" t="s">
        <v>494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si="1"/>
        <v>0</v>
      </c>
      <c r="BA52" s="280">
        <f t="shared" si="1"/>
        <v>0</v>
      </c>
      <c r="BB52" s="280">
        <f t="shared" si="1"/>
        <v>0</v>
      </c>
      <c r="BC52" s="280">
        <f t="shared" si="1"/>
        <v>0</v>
      </c>
      <c r="BD52" s="280">
        <f t="shared" si="1"/>
        <v>0</v>
      </c>
      <c r="BE52" s="280">
        <f t="shared" si="1"/>
        <v>0</v>
      </c>
      <c r="BF52" s="280">
        <f t="shared" si="1"/>
        <v>0</v>
      </c>
    </row>
    <row r="53" spans="43:58" ht="16" x14ac:dyDescent="0.2">
      <c r="AQ53" s="202" t="s">
        <v>497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-1202.01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si="1"/>
        <v>0</v>
      </c>
      <c r="BA53" s="280">
        <f t="shared" si="1"/>
        <v>0</v>
      </c>
      <c r="BB53" s="280">
        <f t="shared" si="1"/>
        <v>0</v>
      </c>
      <c r="BC53" s="280">
        <f t="shared" si="1"/>
        <v>0</v>
      </c>
      <c r="BD53" s="280">
        <f t="shared" si="1"/>
        <v>0</v>
      </c>
      <c r="BE53" s="280">
        <f t="shared" si="1"/>
        <v>0</v>
      </c>
      <c r="BF53" s="280">
        <f t="shared" si="1"/>
        <v>0</v>
      </c>
    </row>
    <row r="54" spans="43:58" x14ac:dyDescent="0.2">
      <c r="AQ54" s="201" t="s">
        <v>522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si="1"/>
        <v>0</v>
      </c>
      <c r="BA54" s="280">
        <f t="shared" si="1"/>
        <v>0</v>
      </c>
      <c r="BB54" s="280">
        <f t="shared" si="1"/>
        <v>0</v>
      </c>
      <c r="BC54" s="280">
        <f t="shared" si="1"/>
        <v>0</v>
      </c>
      <c r="BD54" s="280">
        <f t="shared" si="1"/>
        <v>0</v>
      </c>
      <c r="BE54" s="280">
        <f t="shared" si="1"/>
        <v>0</v>
      </c>
      <c r="BF54" s="280">
        <f t="shared" si="1"/>
        <v>0</v>
      </c>
    </row>
    <row r="55" spans="43:58" x14ac:dyDescent="0.2">
      <c r="AQ55" s="203" t="s">
        <v>515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-284.89999999999998</v>
      </c>
      <c r="AX55" s="280">
        <f t="shared" si="1"/>
        <v>0</v>
      </c>
      <c r="AY55" s="280">
        <f t="shared" si="1"/>
        <v>0</v>
      </c>
      <c r="AZ55" s="280">
        <f t="shared" si="1"/>
        <v>0</v>
      </c>
      <c r="BA55" s="280">
        <f t="shared" si="1"/>
        <v>0</v>
      </c>
      <c r="BB55" s="280">
        <f t="shared" si="1"/>
        <v>0</v>
      </c>
      <c r="BC55" s="280">
        <f t="shared" si="1"/>
        <v>0</v>
      </c>
      <c r="BD55" s="280">
        <f t="shared" si="1"/>
        <v>0</v>
      </c>
      <c r="BE55" s="280">
        <f t="shared" si="1"/>
        <v>0</v>
      </c>
      <c r="BF55" s="280">
        <f t="shared" si="1"/>
        <v>0</v>
      </c>
    </row>
    <row r="56" spans="43:58" x14ac:dyDescent="0.2">
      <c r="AQ56" s="201" t="s">
        <v>501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si="1"/>
        <v>0</v>
      </c>
      <c r="BA56" s="280">
        <f t="shared" si="1"/>
        <v>0</v>
      </c>
      <c r="BB56" s="280">
        <f t="shared" si="1"/>
        <v>0</v>
      </c>
      <c r="BC56" s="280">
        <f t="shared" si="1"/>
        <v>0</v>
      </c>
      <c r="BD56" s="280">
        <f t="shared" si="1"/>
        <v>0</v>
      </c>
      <c r="BE56" s="280">
        <f t="shared" si="1"/>
        <v>0</v>
      </c>
      <c r="BF56" s="280">
        <f t="shared" si="1"/>
        <v>0</v>
      </c>
    </row>
    <row r="57" spans="43:58" ht="16" x14ac:dyDescent="0.2">
      <c r="AQ57" s="202" t="s">
        <v>526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-841.69623437072971</v>
      </c>
      <c r="AY57" s="280">
        <f t="shared" si="1"/>
        <v>0</v>
      </c>
      <c r="AZ57" s="280">
        <f t="shared" si="1"/>
        <v>0</v>
      </c>
      <c r="BA57" s="280">
        <f t="shared" si="1"/>
        <v>0</v>
      </c>
      <c r="BB57" s="280">
        <f t="shared" si="1"/>
        <v>0</v>
      </c>
      <c r="BC57" s="280">
        <f t="shared" si="1"/>
        <v>0</v>
      </c>
      <c r="BD57" s="280">
        <f t="shared" si="1"/>
        <v>0</v>
      </c>
      <c r="BE57" s="280">
        <f t="shared" si="1"/>
        <v>0</v>
      </c>
      <c r="BF57" s="280">
        <f t="shared" si="1"/>
        <v>0</v>
      </c>
    </row>
    <row r="58" spans="43:58" ht="16" x14ac:dyDescent="0.2">
      <c r="AQ58" s="202" t="s">
        <v>521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-1202.01</v>
      </c>
      <c r="AZ58" s="280">
        <f t="shared" si="1"/>
        <v>0</v>
      </c>
      <c r="BA58" s="280">
        <f t="shared" si="1"/>
        <v>0</v>
      </c>
      <c r="BB58" s="280">
        <f t="shared" si="1"/>
        <v>0</v>
      </c>
      <c r="BC58" s="280">
        <f t="shared" si="1"/>
        <v>0</v>
      </c>
      <c r="BD58" s="280">
        <f t="shared" ref="AS58:BF67" si="2">BD99</f>
        <v>0</v>
      </c>
      <c r="BE58" s="280">
        <f t="shared" si="2"/>
        <v>0</v>
      </c>
      <c r="BF58" s="280">
        <f t="shared" si="2"/>
        <v>0</v>
      </c>
    </row>
    <row r="59" spans="43:58" ht="16" x14ac:dyDescent="0.2">
      <c r="AQ59" s="202" t="s">
        <v>518</v>
      </c>
      <c r="AR59" s="280">
        <f t="shared" si="1"/>
        <v>0</v>
      </c>
      <c r="AS59" s="280">
        <f t="shared" si="2"/>
        <v>0</v>
      </c>
      <c r="AT59" s="280">
        <f t="shared" si="2"/>
        <v>0</v>
      </c>
      <c r="AU59" s="280">
        <f t="shared" si="2"/>
        <v>0</v>
      </c>
      <c r="AV59" s="280">
        <f t="shared" si="2"/>
        <v>0</v>
      </c>
      <c r="AW59" s="280">
        <f t="shared" si="2"/>
        <v>0</v>
      </c>
      <c r="AX59" s="280">
        <f t="shared" si="2"/>
        <v>0</v>
      </c>
      <c r="AY59" s="280">
        <f t="shared" si="2"/>
        <v>0</v>
      </c>
      <c r="AZ59" s="280">
        <f t="shared" si="2"/>
        <v>-284.89999999999998</v>
      </c>
      <c r="BA59" s="280">
        <f t="shared" si="2"/>
        <v>0</v>
      </c>
      <c r="BB59" s="280">
        <f t="shared" si="2"/>
        <v>0</v>
      </c>
      <c r="BC59" s="280">
        <f t="shared" si="2"/>
        <v>0</v>
      </c>
      <c r="BD59" s="280">
        <f t="shared" si="2"/>
        <v>0</v>
      </c>
      <c r="BE59" s="280">
        <f t="shared" si="2"/>
        <v>0</v>
      </c>
      <c r="BF59" s="280">
        <f t="shared" si="2"/>
        <v>0</v>
      </c>
    </row>
    <row r="60" spans="43:58" ht="16" x14ac:dyDescent="0.2">
      <c r="AQ60" s="202" t="s">
        <v>524</v>
      </c>
      <c r="AR60" s="280">
        <f t="shared" si="1"/>
        <v>0</v>
      </c>
      <c r="AS60" s="280">
        <f t="shared" si="2"/>
        <v>0</v>
      </c>
      <c r="AT60" s="280">
        <f t="shared" si="2"/>
        <v>0</v>
      </c>
      <c r="AU60" s="280">
        <f t="shared" si="2"/>
        <v>0</v>
      </c>
      <c r="AV60" s="280">
        <f t="shared" si="2"/>
        <v>0</v>
      </c>
      <c r="AW60" s="280">
        <f t="shared" si="2"/>
        <v>0</v>
      </c>
      <c r="AX60" s="280">
        <f t="shared" si="2"/>
        <v>0</v>
      </c>
      <c r="AY60" s="280">
        <f t="shared" si="2"/>
        <v>0</v>
      </c>
      <c r="AZ60" s="280">
        <f t="shared" si="2"/>
        <v>0</v>
      </c>
      <c r="BA60" s="280">
        <f t="shared" si="2"/>
        <v>0</v>
      </c>
      <c r="BB60" s="280">
        <f t="shared" si="2"/>
        <v>0</v>
      </c>
      <c r="BC60" s="280">
        <f t="shared" si="2"/>
        <v>0</v>
      </c>
      <c r="BD60" s="280">
        <f t="shared" si="2"/>
        <v>0</v>
      </c>
      <c r="BE60" s="280">
        <f t="shared" si="2"/>
        <v>-834.48831000000007</v>
      </c>
      <c r="BF60" s="280">
        <f t="shared" si="2"/>
        <v>0</v>
      </c>
    </row>
    <row r="61" spans="43:58" x14ac:dyDescent="0.2">
      <c r="AQ61" s="203" t="s">
        <v>523</v>
      </c>
      <c r="AR61" s="280">
        <f t="shared" si="1"/>
        <v>0</v>
      </c>
      <c r="AS61" s="280">
        <f t="shared" si="2"/>
        <v>0</v>
      </c>
      <c r="AT61" s="280">
        <f t="shared" si="2"/>
        <v>0</v>
      </c>
      <c r="AU61" s="280">
        <f t="shared" si="2"/>
        <v>0</v>
      </c>
      <c r="AV61" s="280">
        <f t="shared" si="2"/>
        <v>0</v>
      </c>
      <c r="AW61" s="280">
        <f t="shared" si="2"/>
        <v>0</v>
      </c>
      <c r="AX61" s="280">
        <f t="shared" si="2"/>
        <v>0</v>
      </c>
      <c r="AY61" s="280">
        <f t="shared" si="2"/>
        <v>0</v>
      </c>
      <c r="AZ61" s="280">
        <f t="shared" si="2"/>
        <v>0</v>
      </c>
      <c r="BA61" s="280">
        <f t="shared" si="2"/>
        <v>0</v>
      </c>
      <c r="BB61" s="280">
        <f t="shared" si="2"/>
        <v>0</v>
      </c>
      <c r="BC61" s="280">
        <f t="shared" si="2"/>
        <v>0</v>
      </c>
      <c r="BD61" s="280">
        <f t="shared" si="2"/>
        <v>0</v>
      </c>
      <c r="BE61" s="280">
        <f t="shared" si="2"/>
        <v>0</v>
      </c>
      <c r="BF61" s="280">
        <f t="shared" si="2"/>
        <v>0</v>
      </c>
    </row>
    <row r="62" spans="43:58" x14ac:dyDescent="0.2">
      <c r="AQ62" s="203" t="s">
        <v>509</v>
      </c>
      <c r="AR62" s="280">
        <f t="shared" si="1"/>
        <v>0</v>
      </c>
      <c r="AS62" s="280">
        <f t="shared" si="2"/>
        <v>0</v>
      </c>
      <c r="AT62" s="280">
        <f t="shared" si="2"/>
        <v>0</v>
      </c>
      <c r="AU62" s="280">
        <f t="shared" si="2"/>
        <v>0</v>
      </c>
      <c r="AV62" s="280">
        <f t="shared" si="2"/>
        <v>0</v>
      </c>
      <c r="AW62" s="280">
        <f t="shared" si="2"/>
        <v>0</v>
      </c>
      <c r="AX62" s="280">
        <f t="shared" si="2"/>
        <v>0</v>
      </c>
      <c r="AY62" s="280">
        <f t="shared" si="2"/>
        <v>0</v>
      </c>
      <c r="AZ62" s="280">
        <f t="shared" si="2"/>
        <v>0</v>
      </c>
      <c r="BA62" s="280">
        <f t="shared" si="2"/>
        <v>-1202.01</v>
      </c>
      <c r="BB62" s="280">
        <f t="shared" si="2"/>
        <v>0</v>
      </c>
      <c r="BC62" s="280">
        <f t="shared" si="2"/>
        <v>0</v>
      </c>
      <c r="BD62" s="280">
        <f t="shared" si="2"/>
        <v>0</v>
      </c>
      <c r="BE62" s="280">
        <f t="shared" si="2"/>
        <v>0</v>
      </c>
      <c r="BF62" s="280">
        <f t="shared" si="2"/>
        <v>0</v>
      </c>
    </row>
    <row r="63" spans="43:58" x14ac:dyDescent="0.2">
      <c r="AQ63" s="203" t="s">
        <v>542</v>
      </c>
      <c r="AR63" s="280">
        <f t="shared" si="1"/>
        <v>0</v>
      </c>
      <c r="AS63" s="280">
        <f t="shared" si="2"/>
        <v>0</v>
      </c>
      <c r="AT63" s="280">
        <f t="shared" si="2"/>
        <v>0</v>
      </c>
      <c r="AU63" s="280">
        <f t="shared" si="2"/>
        <v>0</v>
      </c>
      <c r="AV63" s="280">
        <f t="shared" si="2"/>
        <v>0</v>
      </c>
      <c r="AW63" s="280">
        <f t="shared" si="2"/>
        <v>0</v>
      </c>
      <c r="AX63" s="280">
        <f t="shared" si="2"/>
        <v>0</v>
      </c>
      <c r="AY63" s="280">
        <f t="shared" si="2"/>
        <v>0</v>
      </c>
      <c r="AZ63" s="280">
        <f t="shared" si="2"/>
        <v>0</v>
      </c>
      <c r="BA63" s="280">
        <f t="shared" si="2"/>
        <v>0</v>
      </c>
      <c r="BB63" s="280">
        <f t="shared" si="2"/>
        <v>-284.89999999999998</v>
      </c>
      <c r="BC63" s="280">
        <f t="shared" si="2"/>
        <v>0</v>
      </c>
      <c r="BD63" s="280">
        <f t="shared" si="2"/>
        <v>0</v>
      </c>
      <c r="BE63" s="280">
        <f t="shared" si="2"/>
        <v>0</v>
      </c>
      <c r="BF63" s="280">
        <f t="shared" si="2"/>
        <v>0</v>
      </c>
    </row>
    <row r="64" spans="43:58" x14ac:dyDescent="0.2">
      <c r="AQ64" s="203" t="s">
        <v>510</v>
      </c>
      <c r="AR64" s="280">
        <f t="shared" si="1"/>
        <v>0</v>
      </c>
      <c r="AS64" s="280">
        <f t="shared" si="2"/>
        <v>0</v>
      </c>
      <c r="AT64" s="280">
        <f t="shared" si="2"/>
        <v>0</v>
      </c>
      <c r="AU64" s="280">
        <f t="shared" si="2"/>
        <v>0</v>
      </c>
      <c r="AV64" s="280">
        <f t="shared" si="2"/>
        <v>0</v>
      </c>
      <c r="AW64" s="280">
        <f t="shared" si="2"/>
        <v>0</v>
      </c>
      <c r="AX64" s="280">
        <f t="shared" si="2"/>
        <v>0</v>
      </c>
      <c r="AY64" s="280">
        <f t="shared" si="2"/>
        <v>0</v>
      </c>
      <c r="AZ64" s="280">
        <f t="shared" si="2"/>
        <v>0</v>
      </c>
      <c r="BA64" s="280">
        <f t="shared" si="2"/>
        <v>0</v>
      </c>
      <c r="BB64" s="280">
        <f t="shared" si="2"/>
        <v>0</v>
      </c>
      <c r="BC64" s="280">
        <f t="shared" si="2"/>
        <v>0</v>
      </c>
      <c r="BD64" s="280">
        <f t="shared" si="2"/>
        <v>0</v>
      </c>
      <c r="BE64" s="280">
        <f t="shared" si="2"/>
        <v>-634.9</v>
      </c>
      <c r="BF64" s="280">
        <f t="shared" si="2"/>
        <v>0</v>
      </c>
    </row>
    <row r="65" spans="43:58" x14ac:dyDescent="0.2">
      <c r="AQ65" s="203" t="s">
        <v>512</v>
      </c>
      <c r="AR65" s="280">
        <f t="shared" si="1"/>
        <v>0</v>
      </c>
      <c r="AS65" s="280">
        <f t="shared" si="2"/>
        <v>0</v>
      </c>
      <c r="AT65" s="280">
        <f t="shared" si="2"/>
        <v>0</v>
      </c>
      <c r="AU65" s="280">
        <f t="shared" si="2"/>
        <v>0</v>
      </c>
      <c r="AV65" s="280">
        <f t="shared" si="2"/>
        <v>0</v>
      </c>
      <c r="AW65" s="280">
        <f t="shared" si="2"/>
        <v>0</v>
      </c>
      <c r="AX65" s="280">
        <f t="shared" si="2"/>
        <v>0</v>
      </c>
      <c r="AY65" s="280">
        <f t="shared" si="2"/>
        <v>0</v>
      </c>
      <c r="AZ65" s="280">
        <f t="shared" si="2"/>
        <v>0</v>
      </c>
      <c r="BA65" s="280">
        <f t="shared" si="2"/>
        <v>0</v>
      </c>
      <c r="BB65" s="280">
        <f t="shared" si="2"/>
        <v>0</v>
      </c>
      <c r="BC65" s="280">
        <f t="shared" si="2"/>
        <v>0</v>
      </c>
      <c r="BD65" s="280">
        <f t="shared" si="2"/>
        <v>0</v>
      </c>
      <c r="BE65" s="280">
        <f t="shared" si="2"/>
        <v>0</v>
      </c>
      <c r="BF65" s="280">
        <f t="shared" si="2"/>
        <v>0</v>
      </c>
    </row>
    <row r="66" spans="43:58" x14ac:dyDescent="0.2">
      <c r="AQ66" s="203" t="s">
        <v>511</v>
      </c>
      <c r="AR66" s="280">
        <f t="shared" si="1"/>
        <v>0</v>
      </c>
      <c r="AS66" s="280">
        <f t="shared" si="2"/>
        <v>0</v>
      </c>
      <c r="AT66" s="280">
        <f t="shared" si="2"/>
        <v>0</v>
      </c>
      <c r="AU66" s="280">
        <f t="shared" si="2"/>
        <v>0</v>
      </c>
      <c r="AV66" s="280">
        <f t="shared" si="2"/>
        <v>0</v>
      </c>
      <c r="AW66" s="280">
        <f t="shared" si="2"/>
        <v>0</v>
      </c>
      <c r="AX66" s="280">
        <f t="shared" si="2"/>
        <v>0</v>
      </c>
      <c r="AY66" s="280">
        <f t="shared" si="2"/>
        <v>0</v>
      </c>
      <c r="AZ66" s="280">
        <f t="shared" si="2"/>
        <v>0</v>
      </c>
      <c r="BA66" s="280">
        <f t="shared" si="2"/>
        <v>0</v>
      </c>
      <c r="BB66" s="280">
        <f t="shared" si="2"/>
        <v>0</v>
      </c>
      <c r="BC66" s="280">
        <f t="shared" si="2"/>
        <v>0</v>
      </c>
      <c r="BD66" s="280">
        <f t="shared" si="2"/>
        <v>0</v>
      </c>
      <c r="BE66" s="280">
        <f t="shared" si="2"/>
        <v>0</v>
      </c>
      <c r="BF66" s="280">
        <f t="shared" si="2"/>
        <v>0</v>
      </c>
    </row>
    <row r="67" spans="43:58" x14ac:dyDescent="0.2">
      <c r="AQ67" s="203" t="s">
        <v>607</v>
      </c>
      <c r="AR67" s="280">
        <f t="shared" si="1"/>
        <v>0</v>
      </c>
      <c r="AS67" s="280">
        <f t="shared" si="2"/>
        <v>0</v>
      </c>
      <c r="AT67" s="280">
        <f t="shared" si="2"/>
        <v>0</v>
      </c>
      <c r="AU67" s="280">
        <f t="shared" si="2"/>
        <v>0</v>
      </c>
      <c r="AV67" s="280">
        <f t="shared" si="2"/>
        <v>0</v>
      </c>
      <c r="AW67" s="280">
        <f t="shared" si="2"/>
        <v>0</v>
      </c>
      <c r="AX67" s="280">
        <f t="shared" si="2"/>
        <v>0</v>
      </c>
      <c r="AY67" s="280">
        <f t="shared" si="2"/>
        <v>0</v>
      </c>
      <c r="AZ67" s="280">
        <f t="shared" si="2"/>
        <v>0</v>
      </c>
      <c r="BA67" s="280">
        <f t="shared" si="2"/>
        <v>0</v>
      </c>
      <c r="BB67" s="280">
        <f t="shared" si="2"/>
        <v>0</v>
      </c>
      <c r="BC67" s="280">
        <f t="shared" si="2"/>
        <v>0</v>
      </c>
      <c r="BD67" s="280">
        <f t="shared" si="2"/>
        <v>0</v>
      </c>
      <c r="BE67" s="280">
        <f t="shared" si="2"/>
        <v>6546468.5968566798</v>
      </c>
      <c r="BF67" s="280">
        <f t="shared" si="2"/>
        <v>0</v>
      </c>
    </row>
    <row r="68" spans="43:58" ht="16" x14ac:dyDescent="0.2">
      <c r="AQ68" s="249" t="s">
        <v>507</v>
      </c>
      <c r="AR68" s="280">
        <f t="shared" si="1"/>
        <v>0</v>
      </c>
      <c r="AS68" s="280">
        <f t="shared" ref="AS68:BF68" si="3">AS109</f>
        <v>0</v>
      </c>
      <c r="AT68" s="280">
        <f t="shared" si="3"/>
        <v>0</v>
      </c>
      <c r="AU68" s="280">
        <f t="shared" si="3"/>
        <v>0</v>
      </c>
      <c r="AV68" s="280">
        <f t="shared" si="3"/>
        <v>0</v>
      </c>
      <c r="AW68" s="280">
        <f t="shared" si="3"/>
        <v>0</v>
      </c>
      <c r="AX68" s="280">
        <f t="shared" si="3"/>
        <v>0</v>
      </c>
      <c r="AY68" s="280">
        <f t="shared" si="3"/>
        <v>0</v>
      </c>
      <c r="AZ68" s="280">
        <f t="shared" si="3"/>
        <v>0</v>
      </c>
      <c r="BA68" s="280">
        <f t="shared" si="3"/>
        <v>0</v>
      </c>
      <c r="BB68" s="280">
        <f t="shared" si="3"/>
        <v>0</v>
      </c>
      <c r="BC68" s="280">
        <f t="shared" si="3"/>
        <v>-37.006500000000003</v>
      </c>
      <c r="BD68" s="280">
        <f t="shared" si="3"/>
        <v>0</v>
      </c>
      <c r="BE68" s="280">
        <f t="shared" si="3"/>
        <v>0</v>
      </c>
      <c r="BF68" s="280">
        <f t="shared" si="3"/>
        <v>0</v>
      </c>
    </row>
    <row r="69" spans="43:58" ht="16" x14ac:dyDescent="0.2">
      <c r="AQ69" s="249" t="s">
        <v>684</v>
      </c>
      <c r="AR69" s="280">
        <f t="shared" ref="AR69:BF69" si="4">AR110</f>
        <v>0</v>
      </c>
      <c r="AS69" s="280">
        <f t="shared" si="4"/>
        <v>0</v>
      </c>
      <c r="AT69" s="280">
        <f t="shared" si="4"/>
        <v>0</v>
      </c>
      <c r="AU69" s="280">
        <f t="shared" si="4"/>
        <v>0</v>
      </c>
      <c r="AV69" s="280">
        <f t="shared" si="4"/>
        <v>0</v>
      </c>
      <c r="AW69" s="280">
        <f t="shared" si="4"/>
        <v>0</v>
      </c>
      <c r="AX69" s="280">
        <f t="shared" si="4"/>
        <v>0</v>
      </c>
      <c r="AY69" s="280">
        <f t="shared" si="4"/>
        <v>0</v>
      </c>
      <c r="AZ69" s="280">
        <f t="shared" si="4"/>
        <v>0</v>
      </c>
      <c r="BA69" s="280">
        <f t="shared" si="4"/>
        <v>0</v>
      </c>
      <c r="BB69" s="280">
        <f t="shared" si="4"/>
        <v>0</v>
      </c>
      <c r="BC69" s="280">
        <f t="shared" si="4"/>
        <v>0</v>
      </c>
      <c r="BD69" s="280">
        <f t="shared" si="4"/>
        <v>0</v>
      </c>
      <c r="BE69" s="280">
        <f t="shared" si="4"/>
        <v>0</v>
      </c>
      <c r="BF69" s="280">
        <f t="shared" si="4"/>
        <v>0</v>
      </c>
    </row>
    <row r="70" spans="43:58" x14ac:dyDescent="0.2">
      <c r="AQ70" s="203" t="s">
        <v>506</v>
      </c>
      <c r="AR70" s="280">
        <f t="shared" ref="AR70:BF70" si="5">AR111</f>
        <v>0</v>
      </c>
      <c r="AS70" s="280">
        <f t="shared" si="5"/>
        <v>0</v>
      </c>
      <c r="AT70" s="280">
        <f t="shared" si="5"/>
        <v>0</v>
      </c>
      <c r="AU70" s="280">
        <f t="shared" si="5"/>
        <v>0</v>
      </c>
      <c r="AV70" s="280">
        <f t="shared" si="5"/>
        <v>0</v>
      </c>
      <c r="AW70" s="280">
        <f t="shared" si="5"/>
        <v>0</v>
      </c>
      <c r="AX70" s="280">
        <f t="shared" si="5"/>
        <v>0</v>
      </c>
      <c r="AY70" s="280">
        <f t="shared" si="5"/>
        <v>0</v>
      </c>
      <c r="AZ70" s="280">
        <f t="shared" si="5"/>
        <v>0</v>
      </c>
      <c r="BA70" s="280">
        <f t="shared" si="5"/>
        <v>0</v>
      </c>
      <c r="BB70" s="280">
        <f t="shared" si="5"/>
        <v>0</v>
      </c>
      <c r="BC70" s="280">
        <f t="shared" si="5"/>
        <v>0</v>
      </c>
      <c r="BD70" s="280">
        <f t="shared" si="5"/>
        <v>0</v>
      </c>
      <c r="BE70" s="280">
        <f t="shared" si="5"/>
        <v>0</v>
      </c>
      <c r="BF70" s="280">
        <f t="shared" si="5"/>
        <v>0</v>
      </c>
    </row>
    <row r="71" spans="43:58" x14ac:dyDescent="0.2">
      <c r="AQ71" s="201" t="s">
        <v>508</v>
      </c>
      <c r="AR71" s="280">
        <f t="shared" ref="AR71:BF71" si="6">AR112</f>
        <v>0</v>
      </c>
      <c r="AS71" s="280">
        <f t="shared" si="6"/>
        <v>0</v>
      </c>
      <c r="AT71" s="280">
        <f t="shared" si="6"/>
        <v>0</v>
      </c>
      <c r="AU71" s="280">
        <f t="shared" si="6"/>
        <v>0</v>
      </c>
      <c r="AV71" s="280">
        <f t="shared" si="6"/>
        <v>0</v>
      </c>
      <c r="AW71" s="280">
        <f t="shared" si="6"/>
        <v>0</v>
      </c>
      <c r="AX71" s="280">
        <f t="shared" si="6"/>
        <v>0</v>
      </c>
      <c r="AY71" s="280">
        <f t="shared" si="6"/>
        <v>0</v>
      </c>
      <c r="AZ71" s="280">
        <f t="shared" si="6"/>
        <v>0</v>
      </c>
      <c r="BA71" s="280">
        <f t="shared" si="6"/>
        <v>0</v>
      </c>
      <c r="BB71" s="280">
        <f t="shared" si="6"/>
        <v>0</v>
      </c>
      <c r="BC71" s="280">
        <f t="shared" si="6"/>
        <v>0</v>
      </c>
      <c r="BD71" s="280">
        <f t="shared" si="6"/>
        <v>0</v>
      </c>
      <c r="BE71" s="280">
        <f t="shared" si="6"/>
        <v>0</v>
      </c>
      <c r="BF71" s="280">
        <f t="shared" si="6"/>
        <v>0</v>
      </c>
    </row>
    <row r="72" spans="43:58" x14ac:dyDescent="0.2">
      <c r="AQ72" s="203" t="s">
        <v>643</v>
      </c>
      <c r="AR72" s="280">
        <f t="shared" ref="AR72:BF72" si="7">AR113</f>
        <v>0</v>
      </c>
      <c r="AS72" s="280">
        <f t="shared" si="7"/>
        <v>0</v>
      </c>
      <c r="AT72" s="280">
        <f t="shared" si="7"/>
        <v>0</v>
      </c>
      <c r="AU72" s="280">
        <f t="shared" si="7"/>
        <v>0</v>
      </c>
      <c r="AV72" s="280">
        <f t="shared" si="7"/>
        <v>0</v>
      </c>
      <c r="AW72" s="280">
        <f t="shared" si="7"/>
        <v>0</v>
      </c>
      <c r="AX72" s="280">
        <f t="shared" si="7"/>
        <v>0</v>
      </c>
      <c r="AY72" s="280">
        <f t="shared" si="7"/>
        <v>0</v>
      </c>
      <c r="AZ72" s="280">
        <f t="shared" si="7"/>
        <v>0</v>
      </c>
      <c r="BA72" s="280">
        <f t="shared" si="7"/>
        <v>0</v>
      </c>
      <c r="BB72" s="280">
        <f t="shared" si="7"/>
        <v>0</v>
      </c>
      <c r="BC72" s="280">
        <f t="shared" si="7"/>
        <v>0</v>
      </c>
      <c r="BD72" s="280">
        <f t="shared" si="7"/>
        <v>-23.917987170512152</v>
      </c>
      <c r="BE72" s="280">
        <f t="shared" si="7"/>
        <v>0</v>
      </c>
      <c r="BF72" s="280">
        <f t="shared" si="7"/>
        <v>0</v>
      </c>
    </row>
    <row r="73" spans="43:58" x14ac:dyDescent="0.2">
      <c r="AQ73" s="203" t="s">
        <v>646</v>
      </c>
      <c r="AR73" s="280">
        <f t="shared" ref="AR73:BF73" si="8">AR114</f>
        <v>0</v>
      </c>
      <c r="AS73" s="280">
        <f t="shared" si="8"/>
        <v>0</v>
      </c>
      <c r="AT73" s="280">
        <f t="shared" si="8"/>
        <v>0</v>
      </c>
      <c r="AU73" s="280">
        <f t="shared" si="8"/>
        <v>0</v>
      </c>
      <c r="AV73" s="280">
        <f t="shared" si="8"/>
        <v>0</v>
      </c>
      <c r="AW73" s="280">
        <f t="shared" si="8"/>
        <v>0</v>
      </c>
      <c r="AX73" s="280">
        <f t="shared" si="8"/>
        <v>0</v>
      </c>
      <c r="AY73" s="280">
        <f t="shared" si="8"/>
        <v>0</v>
      </c>
      <c r="AZ73" s="280">
        <f t="shared" si="8"/>
        <v>0</v>
      </c>
      <c r="BA73" s="280">
        <f t="shared" si="8"/>
        <v>0</v>
      </c>
      <c r="BB73" s="280">
        <f t="shared" si="8"/>
        <v>0</v>
      </c>
      <c r="BC73" s="280">
        <f t="shared" si="8"/>
        <v>0</v>
      </c>
      <c r="BD73" s="280">
        <f t="shared" si="8"/>
        <v>0</v>
      </c>
      <c r="BE73" s="280">
        <f t="shared" si="8"/>
        <v>0</v>
      </c>
      <c r="BF73" s="280">
        <f t="shared" si="8"/>
        <v>-23.917987170512156</v>
      </c>
    </row>
    <row r="74" spans="43:58" x14ac:dyDescent="0.2">
      <c r="AQ74" s="203" t="s">
        <v>530</v>
      </c>
      <c r="AR74" s="280">
        <f t="shared" ref="AR74:BF74" si="9">AR115</f>
        <v>0</v>
      </c>
      <c r="AS74" s="280">
        <f t="shared" si="9"/>
        <v>0</v>
      </c>
      <c r="AT74" s="280">
        <f t="shared" si="9"/>
        <v>0</v>
      </c>
      <c r="AU74" s="280">
        <f t="shared" si="9"/>
        <v>0</v>
      </c>
      <c r="AV74" s="280">
        <f t="shared" si="9"/>
        <v>0</v>
      </c>
      <c r="AW74" s="280">
        <f t="shared" si="9"/>
        <v>0</v>
      </c>
      <c r="AX74" s="280">
        <f t="shared" si="9"/>
        <v>0</v>
      </c>
      <c r="AY74" s="280">
        <f t="shared" si="9"/>
        <v>0</v>
      </c>
      <c r="AZ74" s="280">
        <f t="shared" si="9"/>
        <v>0</v>
      </c>
      <c r="BA74" s="280">
        <f t="shared" si="9"/>
        <v>0</v>
      </c>
      <c r="BB74" s="280">
        <f t="shared" si="9"/>
        <v>0</v>
      </c>
      <c r="BC74" s="280">
        <f t="shared" si="9"/>
        <v>0</v>
      </c>
      <c r="BD74" s="280">
        <f t="shared" si="9"/>
        <v>0</v>
      </c>
      <c r="BE74" s="280">
        <f t="shared" si="9"/>
        <v>0</v>
      </c>
      <c r="BF74" s="280">
        <f t="shared" si="9"/>
        <v>3963.8871338071585</v>
      </c>
    </row>
    <row r="75" spans="43:58" x14ac:dyDescent="0.2">
      <c r="AQ75" s="203" t="s">
        <v>531</v>
      </c>
      <c r="AR75" s="280">
        <f>AR116</f>
        <v>0</v>
      </c>
      <c r="AS75" s="280">
        <f t="shared" ref="AS75:BF77" si="10">AS116</f>
        <v>0</v>
      </c>
      <c r="AT75" s="280">
        <f t="shared" si="10"/>
        <v>0</v>
      </c>
      <c r="AU75" s="280">
        <f t="shared" si="10"/>
        <v>0</v>
      </c>
      <c r="AV75" s="280">
        <f t="shared" si="10"/>
        <v>0</v>
      </c>
      <c r="AW75" s="280">
        <f t="shared" si="10"/>
        <v>0</v>
      </c>
      <c r="AX75" s="280">
        <f t="shared" si="10"/>
        <v>0</v>
      </c>
      <c r="AY75" s="280">
        <f t="shared" si="10"/>
        <v>0</v>
      </c>
      <c r="AZ75" s="280">
        <f t="shared" si="10"/>
        <v>0</v>
      </c>
      <c r="BA75" s="280">
        <f t="shared" si="10"/>
        <v>0</v>
      </c>
      <c r="BB75" s="280">
        <f t="shared" si="10"/>
        <v>0</v>
      </c>
      <c r="BC75" s="280">
        <f t="shared" si="10"/>
        <v>0</v>
      </c>
      <c r="BD75" s="280">
        <f t="shared" si="10"/>
        <v>0</v>
      </c>
      <c r="BE75" s="280">
        <f t="shared" si="10"/>
        <v>0</v>
      </c>
      <c r="BF75" s="280">
        <f t="shared" si="10"/>
        <v>0</v>
      </c>
    </row>
    <row r="76" spans="43:58" x14ac:dyDescent="0.2">
      <c r="AQ76" s="203" t="s">
        <v>532</v>
      </c>
      <c r="AR76" s="280">
        <f>AR117</f>
        <v>0</v>
      </c>
      <c r="AS76" s="280">
        <f t="shared" si="10"/>
        <v>0</v>
      </c>
      <c r="AT76" s="280">
        <f t="shared" si="10"/>
        <v>0</v>
      </c>
      <c r="AU76" s="280">
        <f t="shared" si="10"/>
        <v>0</v>
      </c>
      <c r="AV76" s="280">
        <f t="shared" si="10"/>
        <v>0</v>
      </c>
      <c r="AW76" s="280">
        <f t="shared" si="10"/>
        <v>0</v>
      </c>
      <c r="AX76" s="280">
        <f t="shared" si="10"/>
        <v>0</v>
      </c>
      <c r="AY76" s="280">
        <f t="shared" si="10"/>
        <v>0</v>
      </c>
      <c r="AZ76" s="280">
        <f t="shared" si="10"/>
        <v>0</v>
      </c>
      <c r="BA76" s="280">
        <f t="shared" si="10"/>
        <v>0</v>
      </c>
      <c r="BB76" s="280">
        <f t="shared" si="10"/>
        <v>0</v>
      </c>
      <c r="BC76" s="280">
        <f t="shared" si="10"/>
        <v>0</v>
      </c>
      <c r="BD76" s="280">
        <f t="shared" si="10"/>
        <v>0</v>
      </c>
      <c r="BE76" s="280">
        <f t="shared" si="10"/>
        <v>0</v>
      </c>
      <c r="BF76" s="280">
        <f t="shared" si="10"/>
        <v>0</v>
      </c>
    </row>
    <row r="77" spans="43:58" x14ac:dyDescent="0.2">
      <c r="AQ77" s="203" t="s">
        <v>543</v>
      </c>
      <c r="AR77" s="280">
        <f>AR118</f>
        <v>0</v>
      </c>
      <c r="AS77" s="280">
        <f t="shared" si="10"/>
        <v>0</v>
      </c>
      <c r="AT77" s="280">
        <f t="shared" si="10"/>
        <v>0</v>
      </c>
      <c r="AU77" s="280">
        <f t="shared" si="10"/>
        <v>0</v>
      </c>
      <c r="AV77" s="280">
        <f t="shared" si="10"/>
        <v>0</v>
      </c>
      <c r="AW77" s="280">
        <f t="shared" si="10"/>
        <v>0</v>
      </c>
      <c r="AX77" s="280">
        <f t="shared" si="10"/>
        <v>0</v>
      </c>
      <c r="AY77" s="280">
        <f t="shared" si="10"/>
        <v>0</v>
      </c>
      <c r="AZ77" s="280">
        <f t="shared" si="10"/>
        <v>0</v>
      </c>
      <c r="BA77" s="280">
        <f t="shared" si="10"/>
        <v>0</v>
      </c>
      <c r="BB77" s="280">
        <f t="shared" si="10"/>
        <v>0</v>
      </c>
      <c r="BC77" s="280">
        <f t="shared" si="10"/>
        <v>0</v>
      </c>
      <c r="BD77" s="280">
        <f t="shared" si="10"/>
        <v>0</v>
      </c>
      <c r="BE77" s="280">
        <f t="shared" si="10"/>
        <v>0</v>
      </c>
      <c r="BF77" s="280">
        <f t="shared" si="10"/>
        <v>0</v>
      </c>
    </row>
    <row r="78" spans="43:58" x14ac:dyDescent="0.2">
      <c r="AQ78" s="203"/>
      <c r="AR78" s="405" t="s">
        <v>558</v>
      </c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</row>
    <row r="82" spans="33:66" ht="112" x14ac:dyDescent="0.2">
      <c r="AQ82" s="256"/>
      <c r="AR82" s="204" t="s">
        <v>405</v>
      </c>
      <c r="AS82" s="204" t="s">
        <v>406</v>
      </c>
      <c r="AT82" s="204" t="s">
        <v>407</v>
      </c>
      <c r="AU82" s="204" t="s">
        <v>541</v>
      </c>
      <c r="AV82" s="204" t="s">
        <v>520</v>
      </c>
      <c r="AW82" s="204" t="s">
        <v>519</v>
      </c>
      <c r="AX82" s="204" t="s">
        <v>432</v>
      </c>
      <c r="AY82" s="204" t="s">
        <v>429</v>
      </c>
      <c r="AZ82" s="204" t="s">
        <v>444</v>
      </c>
      <c r="BA82" s="204" t="s">
        <v>430</v>
      </c>
      <c r="BB82" s="204" t="s">
        <v>425</v>
      </c>
      <c r="BC82" s="204" t="s">
        <v>642</v>
      </c>
      <c r="BD82" s="204" t="s">
        <v>645</v>
      </c>
      <c r="BE82" s="204" t="s">
        <v>81</v>
      </c>
      <c r="BF82" s="204" t="s">
        <v>417</v>
      </c>
      <c r="BK82" s="204"/>
      <c r="BL82" s="204" t="s">
        <v>411</v>
      </c>
      <c r="BM82" s="204" t="s">
        <v>353</v>
      </c>
    </row>
    <row r="83" spans="33:66" x14ac:dyDescent="0.2">
      <c r="AG83" s="201"/>
      <c r="AH83" s="201"/>
      <c r="AQ83" s="201" t="s">
        <v>413</v>
      </c>
      <c r="AR83" s="227">
        <f>Ore_to_PI!O52</f>
        <v>-841.69623437072971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>SUM(AR83:BF83)</f>
        <v>-841.69623437072971</v>
      </c>
      <c r="BK83" s="201" t="s">
        <v>413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415</v>
      </c>
      <c r="AR84" s="227"/>
      <c r="AS84" s="227">
        <f>Ore_to_PI!O132</f>
        <v>-1202.01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>SUM(AR84:BF84)</f>
        <v>-1202.01</v>
      </c>
      <c r="BK84" s="201" t="s">
        <v>415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416</v>
      </c>
      <c r="AR85" s="227"/>
      <c r="AS85" s="227"/>
      <c r="AT85" s="227">
        <f>Ore_to_PI!O218</f>
        <v>23054812.906863328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ref="BG85:BG118" si="11">SUM(AR85:BF85)</f>
        <v>23054812.906863328</v>
      </c>
      <c r="BK85" s="201" t="s">
        <v>416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436</v>
      </c>
      <c r="AR86" s="227">
        <f>Ore_to_PI!O78</f>
        <v>0</v>
      </c>
      <c r="AS86" s="227">
        <f>Ore_to_PI!O169</f>
        <v>0</v>
      </c>
      <c r="AT86" s="227">
        <f>Ore_to_PI!O242</f>
        <v>0</v>
      </c>
      <c r="AU86" s="227"/>
      <c r="AV86" s="227"/>
      <c r="AW86" s="227"/>
      <c r="AX86" s="227"/>
      <c r="AY86" s="227"/>
      <c r="AZ86" s="227"/>
      <c r="BA86" s="227">
        <f>Ore_to_PI!BU146</f>
        <v>0</v>
      </c>
      <c r="BB86" s="227">
        <f>Ore_to_PI!BU238</f>
        <v>0</v>
      </c>
      <c r="BC86" s="227"/>
      <c r="BD86" s="227"/>
      <c r="BE86" s="227"/>
      <c r="BF86" s="239">
        <f>Ore_to_PI!EF146</f>
        <v>0</v>
      </c>
      <c r="BG86" s="248">
        <f t="shared" si="11"/>
        <v>0</v>
      </c>
      <c r="BK86" s="201" t="s">
        <v>436</v>
      </c>
      <c r="BL86" s="240"/>
      <c r="BM86" s="240"/>
      <c r="BN86" s="248">
        <f t="shared" ref="BN86:BN118" si="12">SUM(BL86:BM86)</f>
        <v>0</v>
      </c>
    </row>
    <row r="87" spans="33:66" x14ac:dyDescent="0.2">
      <c r="AG87" s="201"/>
      <c r="AH87" s="201"/>
      <c r="AQ87" s="201" t="s">
        <v>459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Ore_to_PI!BU157</f>
        <v>-74.599999999999994</v>
      </c>
      <c r="BB87" s="227">
        <f>Ore_to_PI!BU249</f>
        <v>-74.599999999999994</v>
      </c>
      <c r="BC87" s="227"/>
      <c r="BD87" s="227"/>
      <c r="BE87" s="227"/>
      <c r="BF87" s="227">
        <f>Ore_to_PI!EF119</f>
        <v>-74.599999999999994</v>
      </c>
      <c r="BG87" s="248">
        <f t="shared" si="11"/>
        <v>-223.79999999999998</v>
      </c>
      <c r="BK87" s="201" t="s">
        <v>459</v>
      </c>
      <c r="BL87" s="240"/>
      <c r="BM87" s="240"/>
      <c r="BN87" s="248">
        <f t="shared" si="12"/>
        <v>0</v>
      </c>
    </row>
    <row r="88" spans="33:66" x14ac:dyDescent="0.2">
      <c r="AG88" s="201"/>
      <c r="AH88" s="201"/>
      <c r="AQ88" s="201" t="s">
        <v>552</v>
      </c>
      <c r="AR88" s="227">
        <f>Ore_to_PI!O64</f>
        <v>7127.6028120000001</v>
      </c>
      <c r="AS88" s="227">
        <f>Ore_to_PI!O145</f>
        <v>7127.6028120000001</v>
      </c>
      <c r="AT88" s="227">
        <f>Ore_to_PI!O227</f>
        <v>7127.6028120000001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11"/>
        <v>21382.808435999999</v>
      </c>
      <c r="BK88" s="201" t="s">
        <v>552</v>
      </c>
      <c r="BL88" s="240"/>
      <c r="BM88" s="240"/>
      <c r="BN88" s="248">
        <f t="shared" si="12"/>
        <v>0</v>
      </c>
    </row>
    <row r="89" spans="33:66" x14ac:dyDescent="0.2">
      <c r="AG89" s="201"/>
      <c r="AH89" s="201"/>
      <c r="AQ89" s="201" t="s">
        <v>553</v>
      </c>
      <c r="AR89" s="227"/>
      <c r="AS89" s="227">
        <f>Ore_to_PI!O156</f>
        <v>-250.1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11"/>
        <v>-250.1</v>
      </c>
      <c r="BK89" s="201" t="s">
        <v>553</v>
      </c>
      <c r="BL89" s="240"/>
      <c r="BM89" s="240"/>
      <c r="BN89" s="248">
        <f t="shared" si="12"/>
        <v>0</v>
      </c>
    </row>
    <row r="90" spans="33:66" x14ac:dyDescent="0.2">
      <c r="AG90" s="201"/>
      <c r="AH90" s="201"/>
      <c r="AQ90" s="201" t="s">
        <v>496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Ore_to_PI!EF106</f>
        <v>5540.6175999999996</v>
      </c>
      <c r="BG90" s="248">
        <f t="shared" si="11"/>
        <v>5540.6175999999996</v>
      </c>
      <c r="BK90" s="201" t="s">
        <v>496</v>
      </c>
      <c r="BL90" s="240"/>
      <c r="BM90" s="240"/>
      <c r="BN90" s="248">
        <f t="shared" si="12"/>
        <v>0</v>
      </c>
    </row>
    <row r="91" spans="33:66" x14ac:dyDescent="0.2">
      <c r="AG91" s="201"/>
      <c r="AH91" s="201"/>
      <c r="AQ91" s="201" t="s">
        <v>545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11"/>
        <v>0</v>
      </c>
      <c r="BK91" s="201" t="s">
        <v>545</v>
      </c>
      <c r="BL91" s="240"/>
      <c r="BM91" s="240"/>
      <c r="BN91" s="248">
        <f t="shared" si="12"/>
        <v>0</v>
      </c>
    </row>
    <row r="92" spans="33:66" ht="16" x14ac:dyDescent="0.2">
      <c r="AG92" s="242"/>
      <c r="AH92" s="242"/>
      <c r="AQ92" s="202" t="s">
        <v>527</v>
      </c>
      <c r="AR92" s="227"/>
      <c r="AS92" s="227"/>
      <c r="AT92" s="227"/>
      <c r="AU92" s="227">
        <f>Ore_to_PI!AH52</f>
        <v>-841.69623437072971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11"/>
        <v>-841.69623437072971</v>
      </c>
      <c r="BK92" s="202" t="s">
        <v>527</v>
      </c>
      <c r="BL92" s="240"/>
      <c r="BM92" s="240"/>
      <c r="BN92" s="248">
        <f t="shared" si="12"/>
        <v>0</v>
      </c>
    </row>
    <row r="93" spans="33:66" ht="16" x14ac:dyDescent="0.2">
      <c r="AG93" s="202"/>
      <c r="AH93" s="202"/>
      <c r="AQ93" s="201" t="s">
        <v>494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11"/>
        <v>0</v>
      </c>
      <c r="BK93" s="201" t="s">
        <v>494</v>
      </c>
      <c r="BL93" s="240"/>
      <c r="BM93" s="240">
        <f>Ore_to_PI!AH70</f>
        <v>-99.008821849873215</v>
      </c>
      <c r="BN93" s="248">
        <f t="shared" si="12"/>
        <v>-99.008821849873215</v>
      </c>
    </row>
    <row r="94" spans="33:66" ht="16" x14ac:dyDescent="0.2">
      <c r="AG94" s="203"/>
      <c r="AH94" s="203"/>
      <c r="AQ94" s="202" t="s">
        <v>497</v>
      </c>
      <c r="AR94" s="227"/>
      <c r="AS94" s="227"/>
      <c r="AT94" s="227"/>
      <c r="AU94" s="227"/>
      <c r="AV94" s="227">
        <f>Ore_to_PI!AI132</f>
        <v>-1202.01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11"/>
        <v>-1202.01</v>
      </c>
      <c r="BK94" s="202" t="s">
        <v>497</v>
      </c>
      <c r="BL94" s="240"/>
      <c r="BM94" s="244"/>
      <c r="BN94" s="248">
        <f t="shared" si="12"/>
        <v>0</v>
      </c>
    </row>
    <row r="95" spans="33:66" x14ac:dyDescent="0.2">
      <c r="AG95" s="203"/>
      <c r="AH95" s="203"/>
      <c r="AQ95" s="201" t="s">
        <v>522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11"/>
        <v>0</v>
      </c>
      <c r="BK95" s="201" t="s">
        <v>522</v>
      </c>
      <c r="BL95" s="240"/>
      <c r="BM95" s="240">
        <f>Ore_to_PI!AI149</f>
        <v>-98.84370786785361</v>
      </c>
      <c r="BN95" s="248">
        <f t="shared" si="12"/>
        <v>-98.84370786785361</v>
      </c>
    </row>
    <row r="96" spans="33:66" x14ac:dyDescent="0.2">
      <c r="AG96" s="203"/>
      <c r="AH96" s="203"/>
      <c r="AQ96" s="203" t="s">
        <v>515</v>
      </c>
      <c r="AR96" s="227"/>
      <c r="AS96" s="227"/>
      <c r="AT96" s="227"/>
      <c r="AU96" s="227"/>
      <c r="AV96" s="227"/>
      <c r="AW96" s="227">
        <f>Ore_to_PI!AI217</f>
        <v>-284.89999999999998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11"/>
        <v>-284.89999999999998</v>
      </c>
      <c r="BK96" s="203" t="s">
        <v>515</v>
      </c>
      <c r="BL96" s="240"/>
      <c r="BM96" s="240"/>
      <c r="BN96" s="248">
        <f t="shared" si="12"/>
        <v>0</v>
      </c>
    </row>
    <row r="97" spans="33:71" x14ac:dyDescent="0.2">
      <c r="AG97" s="203"/>
      <c r="AH97" s="203"/>
      <c r="AQ97" s="201" t="s">
        <v>501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11"/>
        <v>0</v>
      </c>
      <c r="BK97" s="201" t="s">
        <v>501</v>
      </c>
      <c r="BL97" s="240"/>
      <c r="BM97" s="240">
        <f>Ore_to_PI!AI234</f>
        <v>-99.008821849873215</v>
      </c>
      <c r="BN97" s="248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526</v>
      </c>
      <c r="AR98" s="227"/>
      <c r="AS98" s="227"/>
      <c r="AT98" s="227"/>
      <c r="AU98" s="227"/>
      <c r="AV98" s="227"/>
      <c r="AW98" s="227"/>
      <c r="AX98" s="227">
        <f>Ore_to_PI!BA52</f>
        <v>-841.69623437072971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11"/>
        <v>-841.69623437072971</v>
      </c>
      <c r="BK98" s="202" t="s">
        <v>526</v>
      </c>
      <c r="BL98" s="240"/>
      <c r="BM98" s="240"/>
      <c r="BN98" s="248">
        <f t="shared" si="12"/>
        <v>0</v>
      </c>
    </row>
    <row r="99" spans="33:71" ht="16" x14ac:dyDescent="0.2">
      <c r="AG99" s="203"/>
      <c r="AH99" s="203"/>
      <c r="AQ99" s="202" t="s">
        <v>521</v>
      </c>
      <c r="AR99" s="227"/>
      <c r="AS99" s="227"/>
      <c r="AT99" s="227"/>
      <c r="AU99" s="227"/>
      <c r="AV99" s="227"/>
      <c r="AW99" s="227"/>
      <c r="AX99" s="227"/>
      <c r="AY99" s="227">
        <f>Ore_to_PI!BB132</f>
        <v>-1202.01</v>
      </c>
      <c r="AZ99" s="227"/>
      <c r="BA99" s="227"/>
      <c r="BB99" s="227"/>
      <c r="BC99" s="227"/>
      <c r="BD99" s="227"/>
      <c r="BE99" s="227"/>
      <c r="BF99" s="227"/>
      <c r="BG99" s="248">
        <f t="shared" si="11"/>
        <v>-1202.01</v>
      </c>
      <c r="BK99" s="202" t="s">
        <v>521</v>
      </c>
      <c r="BL99" s="240"/>
      <c r="BM99" s="240"/>
      <c r="BN99" s="248">
        <f t="shared" si="12"/>
        <v>0</v>
      </c>
    </row>
    <row r="100" spans="33:71" ht="16" x14ac:dyDescent="0.2">
      <c r="AG100" s="203"/>
      <c r="AH100" s="203"/>
      <c r="AQ100" s="202" t="s">
        <v>518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Ore_to_PI!BB217</f>
        <v>-284.89999999999998</v>
      </c>
      <c r="BA100" s="227"/>
      <c r="BB100" s="227"/>
      <c r="BC100" s="227"/>
      <c r="BD100" s="227"/>
      <c r="BE100" s="227"/>
      <c r="BF100" s="227"/>
      <c r="BG100" s="248">
        <f t="shared" si="11"/>
        <v>-284.89999999999998</v>
      </c>
      <c r="BK100" s="202" t="s">
        <v>518</v>
      </c>
      <c r="BL100" s="240"/>
      <c r="BM100" s="240"/>
      <c r="BN100" s="248">
        <f t="shared" si="12"/>
        <v>0</v>
      </c>
    </row>
    <row r="101" spans="33:71" ht="16" x14ac:dyDescent="0.2">
      <c r="AG101" s="249"/>
      <c r="AH101" s="249"/>
      <c r="AQ101" s="202" t="s">
        <v>524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Ore_to_PI!BT48</f>
        <v>-834.48831000000007</v>
      </c>
      <c r="BF101" s="227"/>
      <c r="BG101" s="248">
        <f t="shared" si="11"/>
        <v>-834.48831000000007</v>
      </c>
      <c r="BK101" s="202" t="s">
        <v>524</v>
      </c>
      <c r="BL101" s="240"/>
      <c r="BM101" s="240"/>
      <c r="BN101" s="248">
        <f t="shared" si="12"/>
        <v>0</v>
      </c>
    </row>
    <row r="102" spans="33:71" x14ac:dyDescent="0.2">
      <c r="AG102" s="203"/>
      <c r="AH102" s="203"/>
      <c r="AQ102" s="203" t="s">
        <v>523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11"/>
        <v>0</v>
      </c>
      <c r="BH102" s="25"/>
      <c r="BI102" s="25"/>
      <c r="BK102" s="203" t="s">
        <v>523</v>
      </c>
      <c r="BL102" s="240"/>
      <c r="BM102" s="240">
        <f>Ore_to_PI!BT63</f>
        <v>-1454.2261001517452</v>
      </c>
      <c r="BN102" s="248">
        <f t="shared" si="12"/>
        <v>-1454.2261001517452</v>
      </c>
    </row>
    <row r="103" spans="33:71" x14ac:dyDescent="0.2">
      <c r="AG103" s="203"/>
      <c r="AH103" s="203"/>
      <c r="AQ103" s="203" t="s">
        <v>509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Ore_to_PI!BU132</f>
        <v>-1202.01</v>
      </c>
      <c r="BB103" s="227"/>
      <c r="BC103" s="227"/>
      <c r="BD103" s="227"/>
      <c r="BE103" s="227"/>
      <c r="BF103" s="227"/>
      <c r="BG103" s="248">
        <f t="shared" si="11"/>
        <v>-1202.01</v>
      </c>
      <c r="BK103" s="203" t="s">
        <v>509</v>
      </c>
      <c r="BL103" s="240"/>
      <c r="BM103" s="240"/>
      <c r="BN103" s="248">
        <f t="shared" si="12"/>
        <v>0</v>
      </c>
    </row>
    <row r="104" spans="33:71" x14ac:dyDescent="0.2">
      <c r="AG104" s="203"/>
      <c r="AH104" s="203"/>
      <c r="AQ104" s="203" t="s">
        <v>542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Ore_to_PI!BU217</f>
        <v>-284.89999999999998</v>
      </c>
      <c r="BC104" s="227"/>
      <c r="BD104" s="227"/>
      <c r="BE104" s="227"/>
      <c r="BF104" s="227"/>
      <c r="BG104" s="248">
        <f t="shared" si="11"/>
        <v>-284.89999999999998</v>
      </c>
      <c r="BK104" s="203" t="s">
        <v>542</v>
      </c>
      <c r="BL104" s="240"/>
      <c r="BM104" s="240"/>
      <c r="BN104" s="248">
        <f t="shared" si="12"/>
        <v>0</v>
      </c>
    </row>
    <row r="105" spans="33:71" x14ac:dyDescent="0.2">
      <c r="AG105" s="203"/>
      <c r="AH105" s="203"/>
      <c r="AQ105" s="203" t="s">
        <v>510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Ore_to_PI!CP131</f>
        <v>-634.9</v>
      </c>
      <c r="BF105" s="227"/>
      <c r="BG105" s="248">
        <f t="shared" si="11"/>
        <v>-634.9</v>
      </c>
      <c r="BK105" s="203" t="s">
        <v>510</v>
      </c>
      <c r="BL105" s="240"/>
      <c r="BM105" s="240"/>
      <c r="BN105" s="248">
        <f t="shared" si="12"/>
        <v>0</v>
      </c>
    </row>
    <row r="106" spans="33:71" x14ac:dyDescent="0.2">
      <c r="AG106" s="203"/>
      <c r="AH106" s="203"/>
      <c r="AQ106" s="203" t="s">
        <v>512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11"/>
        <v>0</v>
      </c>
      <c r="BK106" s="203" t="s">
        <v>512</v>
      </c>
      <c r="BL106" s="240"/>
      <c r="BM106" s="240">
        <f>Ore_to_PI!CP119</f>
        <v>-601.6</v>
      </c>
      <c r="BN106" s="248">
        <f t="shared" si="12"/>
        <v>-601.6</v>
      </c>
    </row>
    <row r="107" spans="33:71" x14ac:dyDescent="0.2">
      <c r="AG107" s="203"/>
      <c r="AH107" s="203"/>
      <c r="AQ107" s="203" t="s">
        <v>511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11"/>
        <v>0</v>
      </c>
      <c r="BK107" s="203" t="s">
        <v>511</v>
      </c>
      <c r="BL107" s="240"/>
      <c r="BM107" s="240">
        <f>Ore_to_PI!CP145</f>
        <v>-89.61674376121961</v>
      </c>
      <c r="BN107" s="248">
        <f t="shared" si="12"/>
        <v>-89.61674376121961</v>
      </c>
    </row>
    <row r="108" spans="33:71" x14ac:dyDescent="0.2">
      <c r="AG108" s="203"/>
      <c r="AH108" s="203"/>
      <c r="AQ108" s="203" t="s">
        <v>607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Ore_to_PI!CP211</f>
        <v>6546468.5968566798</v>
      </c>
      <c r="BF108" s="227"/>
      <c r="BG108" s="248">
        <f t="shared" si="11"/>
        <v>6546468.5968566798</v>
      </c>
      <c r="BK108" s="203" t="s">
        <v>607</v>
      </c>
      <c r="BL108" s="240"/>
      <c r="BM108" s="240"/>
      <c r="BN108" s="248">
        <f t="shared" si="12"/>
        <v>0</v>
      </c>
    </row>
    <row r="109" spans="33:71" ht="16" x14ac:dyDescent="0.2">
      <c r="AG109" s="203"/>
      <c r="AH109" s="203"/>
      <c r="AQ109" s="249" t="s">
        <v>507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Ore_to_PI!CP243</f>
        <v>-37.006500000000003</v>
      </c>
      <c r="BD109" s="227"/>
      <c r="BE109" s="227"/>
      <c r="BF109" s="227"/>
      <c r="BG109" s="248">
        <f t="shared" si="11"/>
        <v>-37.006500000000003</v>
      </c>
      <c r="BK109" s="249" t="s">
        <v>507</v>
      </c>
      <c r="BL109" s="240"/>
      <c r="BM109" s="240"/>
      <c r="BN109" s="248">
        <f t="shared" si="12"/>
        <v>0</v>
      </c>
    </row>
    <row r="110" spans="33:71" ht="16" x14ac:dyDescent="0.2">
      <c r="AG110" s="203"/>
      <c r="AH110" s="203"/>
      <c r="AQ110" s="249" t="s">
        <v>684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11"/>
        <v>0</v>
      </c>
      <c r="BK110" s="249" t="s">
        <v>684</v>
      </c>
      <c r="BL110" s="240"/>
      <c r="BM110" s="240">
        <f>Ore_to_PI!CP282</f>
        <v>-221.69899000000004</v>
      </c>
      <c r="BN110" s="248">
        <f t="shared" si="12"/>
        <v>-221.69899000000004</v>
      </c>
    </row>
    <row r="111" spans="33:71" x14ac:dyDescent="0.2">
      <c r="AG111" s="203"/>
      <c r="AH111" s="203"/>
      <c r="AQ111" s="203" t="s">
        <v>506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11"/>
        <v>0</v>
      </c>
      <c r="BK111" s="203" t="s">
        <v>506</v>
      </c>
      <c r="BL111" s="240"/>
      <c r="BM111" s="240">
        <f>Ore_to_PI!CP228</f>
        <v>-284.89999999999998</v>
      </c>
      <c r="BN111" s="248">
        <f t="shared" si="12"/>
        <v>-284.89999999999998</v>
      </c>
    </row>
    <row r="112" spans="33:71" x14ac:dyDescent="0.2">
      <c r="AG112" s="203"/>
      <c r="AH112" s="203"/>
      <c r="AQ112" s="201" t="s">
        <v>508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11"/>
        <v>0</v>
      </c>
      <c r="BK112" s="201" t="s">
        <v>508</v>
      </c>
      <c r="BL112" s="240"/>
      <c r="BM112" s="240">
        <f>Ore_to_PI!CP258</f>
        <v>-89.542108138870873</v>
      </c>
      <c r="BN112" s="248">
        <f t="shared" si="12"/>
        <v>-89.542108138870873</v>
      </c>
    </row>
    <row r="113" spans="2:66" x14ac:dyDescent="0.2">
      <c r="AG113" s="203"/>
      <c r="AH113" s="203"/>
      <c r="AQ113" s="203" t="s">
        <v>643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Ore_to_PI!DJ241</f>
        <v>-23.917987170512152</v>
      </c>
      <c r="BE113" s="227"/>
      <c r="BF113" s="239"/>
      <c r="BG113" s="248">
        <f t="shared" si="11"/>
        <v>-23.917987170512152</v>
      </c>
      <c r="BK113" s="203" t="s">
        <v>643</v>
      </c>
      <c r="BL113" s="240"/>
      <c r="BM113" s="240"/>
      <c r="BN113" s="248">
        <f t="shared" si="12"/>
        <v>0</v>
      </c>
    </row>
    <row r="114" spans="2:66" x14ac:dyDescent="0.2">
      <c r="AG114" s="203"/>
      <c r="AH114" s="203"/>
      <c r="AQ114" s="203" t="s">
        <v>646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Ore_to_PI!EF160</f>
        <v>-23.917987170512156</v>
      </c>
      <c r="BG114" s="248">
        <f t="shared" si="11"/>
        <v>-23.917987170512156</v>
      </c>
      <c r="BK114" s="203" t="s">
        <v>646</v>
      </c>
      <c r="BL114" s="240">
        <f>Ore_to_PI!EZ241</f>
        <v>-23.917987170512156</v>
      </c>
      <c r="BM114" s="240"/>
      <c r="BN114" s="248">
        <f t="shared" si="12"/>
        <v>-23.917987170512156</v>
      </c>
    </row>
    <row r="115" spans="2:66" x14ac:dyDescent="0.2">
      <c r="AG115" s="203"/>
      <c r="AH115" s="203"/>
      <c r="AQ115" s="203" t="s">
        <v>530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Ore_to_PI!EF134</f>
        <v>3963.8871338071585</v>
      </c>
      <c r="BG115" s="248">
        <f t="shared" si="11"/>
        <v>3963.8871338071585</v>
      </c>
      <c r="BK115" s="203" t="s">
        <v>530</v>
      </c>
      <c r="BL115" s="240"/>
      <c r="BM115" s="240"/>
      <c r="BN115" s="248">
        <f t="shared" si="12"/>
        <v>0</v>
      </c>
    </row>
    <row r="116" spans="2:66" x14ac:dyDescent="0.2">
      <c r="AG116" s="203"/>
      <c r="AH116" s="203"/>
      <c r="AQ116" s="203" t="s">
        <v>531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11"/>
        <v>0</v>
      </c>
      <c r="BK116" s="203" t="s">
        <v>531</v>
      </c>
      <c r="BL116" s="240">
        <f>Ore_to_PI!FF131</f>
        <v>0</v>
      </c>
      <c r="BM116" s="240"/>
      <c r="BN116" s="248">
        <f t="shared" si="12"/>
        <v>0</v>
      </c>
    </row>
    <row r="117" spans="2:66" x14ac:dyDescent="0.2">
      <c r="AG117" s="203"/>
      <c r="AH117" s="203"/>
      <c r="AQ117" s="203" t="s">
        <v>532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11"/>
        <v>0</v>
      </c>
      <c r="BK117" s="203" t="s">
        <v>532</v>
      </c>
      <c r="BL117" s="240"/>
      <c r="BM117" s="240">
        <f>Ore_to_PI!FF149</f>
        <v>-126.30390709179704</v>
      </c>
      <c r="BN117" s="248">
        <f t="shared" si="12"/>
        <v>-126.30390709179704</v>
      </c>
    </row>
    <row r="118" spans="2:66" x14ac:dyDescent="0.2">
      <c r="AG118" s="203"/>
      <c r="AH118" s="203"/>
      <c r="AQ118" s="203" t="s">
        <v>543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11"/>
        <v>0</v>
      </c>
      <c r="BK118" s="203" t="s">
        <v>543</v>
      </c>
      <c r="BL118" s="240"/>
      <c r="BM118" s="240">
        <f>Ore_to_PI!FF109</f>
        <v>-89.61</v>
      </c>
      <c r="BN118" s="248">
        <f t="shared" si="12"/>
        <v>-89.61</v>
      </c>
    </row>
    <row r="119" spans="2:66" x14ac:dyDescent="0.2">
      <c r="AG119" s="203"/>
      <c r="AH119" s="203"/>
      <c r="AQ119" s="203"/>
      <c r="AR119" s="405" t="s">
        <v>408</v>
      </c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5"/>
      <c r="BF119" s="405"/>
      <c r="BG119" s="25" t="s">
        <v>451</v>
      </c>
      <c r="BL119" s="405" t="s">
        <v>410</v>
      </c>
      <c r="BM119" s="405"/>
      <c r="BN119" s="25" t="s">
        <v>463</v>
      </c>
    </row>
    <row r="120" spans="2:66" x14ac:dyDescent="0.2">
      <c r="AG120" s="203"/>
      <c r="AH120" s="203"/>
      <c r="AQ120" s="203"/>
      <c r="AR120" s="248">
        <f>SUM(AR83:AR118)</f>
        <v>6285.90657762927</v>
      </c>
      <c r="AS120" s="248">
        <f>SUM(AS83:AS118)</f>
        <v>5675.4928119999995</v>
      </c>
      <c r="AT120" s="248">
        <f>SUM(AT83:AT118)</f>
        <v>23061940.509675328</v>
      </c>
      <c r="AU120" s="248">
        <f t="shared" ref="AU120:BF120" si="13">SUM(AU83:AU118)</f>
        <v>-841.69623437072971</v>
      </c>
      <c r="AV120" s="248">
        <f t="shared" si="13"/>
        <v>-1202.01</v>
      </c>
      <c r="AW120" s="248">
        <f t="shared" si="13"/>
        <v>-284.89999999999998</v>
      </c>
      <c r="AX120" s="248">
        <f t="shared" si="13"/>
        <v>-841.69623437072971</v>
      </c>
      <c r="AY120" s="248">
        <f t="shared" si="13"/>
        <v>-1202.01</v>
      </c>
      <c r="AZ120" s="248">
        <f t="shared" si="13"/>
        <v>-284.89999999999998</v>
      </c>
      <c r="BA120" s="248">
        <f t="shared" si="13"/>
        <v>-1276.6099999999999</v>
      </c>
      <c r="BB120" s="248">
        <f t="shared" si="13"/>
        <v>-359.5</v>
      </c>
      <c r="BC120" s="248">
        <f t="shared" si="13"/>
        <v>-37.006500000000003</v>
      </c>
      <c r="BD120" s="248">
        <f t="shared" si="13"/>
        <v>-23.917987170512152</v>
      </c>
      <c r="BE120" s="248">
        <f t="shared" si="13"/>
        <v>6544999.2085466795</v>
      </c>
      <c r="BF120" s="248">
        <f t="shared" si="13"/>
        <v>9405.986746636645</v>
      </c>
      <c r="BL120" s="25"/>
      <c r="BM120" s="25"/>
    </row>
    <row r="121" spans="2:66" ht="13" customHeight="1" x14ac:dyDescent="0.2">
      <c r="C121" s="406"/>
      <c r="D121" s="406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03"/>
      <c r="AH121" s="203"/>
      <c r="AI121" s="230"/>
      <c r="AJ121" s="230"/>
      <c r="AK121" s="230"/>
      <c r="AL121" s="230"/>
      <c r="AM121" s="230"/>
      <c r="AN121" s="230"/>
      <c r="AO121" s="230"/>
      <c r="AR121" s="405" t="s">
        <v>450</v>
      </c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5"/>
      <c r="BF121" s="405"/>
      <c r="BL121" s="25"/>
      <c r="BM121" s="25"/>
    </row>
    <row r="122" spans="2:66" ht="236" x14ac:dyDescent="0.2">
      <c r="B122" s="236"/>
      <c r="C122" s="204" t="s">
        <v>413</v>
      </c>
      <c r="D122" s="204" t="s">
        <v>415</v>
      </c>
      <c r="E122" s="204" t="s">
        <v>416</v>
      </c>
      <c r="F122" s="204" t="s">
        <v>436</v>
      </c>
      <c r="G122" s="204" t="s">
        <v>459</v>
      </c>
      <c r="H122" s="204" t="s">
        <v>552</v>
      </c>
      <c r="I122" s="204" t="s">
        <v>553</v>
      </c>
      <c r="J122" s="204" t="s">
        <v>496</v>
      </c>
      <c r="K122" s="204" t="s">
        <v>545</v>
      </c>
      <c r="L122" s="206" t="s">
        <v>527</v>
      </c>
      <c r="M122" s="204" t="s">
        <v>494</v>
      </c>
      <c r="N122" s="206" t="s">
        <v>497</v>
      </c>
      <c r="O122" s="204" t="s">
        <v>522</v>
      </c>
      <c r="P122" s="207" t="s">
        <v>515</v>
      </c>
      <c r="Q122" s="204" t="s">
        <v>501</v>
      </c>
      <c r="R122" s="206" t="s">
        <v>526</v>
      </c>
      <c r="S122" s="206" t="s">
        <v>521</v>
      </c>
      <c r="T122" s="206" t="s">
        <v>518</v>
      </c>
      <c r="U122" s="206" t="s">
        <v>524</v>
      </c>
      <c r="V122" s="207" t="s">
        <v>523</v>
      </c>
      <c r="W122" s="207" t="s">
        <v>509</v>
      </c>
      <c r="X122" s="207" t="s">
        <v>542</v>
      </c>
      <c r="Y122" s="207" t="s">
        <v>510</v>
      </c>
      <c r="Z122" s="207" t="s">
        <v>512</v>
      </c>
      <c r="AA122" s="207" t="s">
        <v>511</v>
      </c>
      <c r="AB122" s="207" t="s">
        <v>607</v>
      </c>
      <c r="AC122" s="229" t="s">
        <v>507</v>
      </c>
      <c r="AD122" s="229" t="s">
        <v>684</v>
      </c>
      <c r="AE122" s="207" t="s">
        <v>506</v>
      </c>
      <c r="AF122" s="204" t="s">
        <v>552</v>
      </c>
      <c r="AG122" s="204" t="s">
        <v>553</v>
      </c>
      <c r="AH122" s="204" t="s">
        <v>545</v>
      </c>
      <c r="AI122" s="206" t="s">
        <v>527</v>
      </c>
      <c r="AJ122" s="204" t="s">
        <v>494</v>
      </c>
      <c r="AK122" s="206" t="s">
        <v>497</v>
      </c>
      <c r="AL122" s="204" t="s">
        <v>522</v>
      </c>
      <c r="AM122" s="207" t="s">
        <v>515</v>
      </c>
    </row>
    <row r="123" spans="2:66" x14ac:dyDescent="0.2">
      <c r="B123" s="201" t="s">
        <v>405</v>
      </c>
      <c r="C123" s="227"/>
      <c r="D123" s="227"/>
      <c r="E123" s="227"/>
      <c r="F123" s="227"/>
      <c r="G123" s="227"/>
      <c r="H123" s="227"/>
      <c r="I123" s="227"/>
      <c r="J123" s="227"/>
      <c r="K123" s="227"/>
      <c r="L123" s="227">
        <f>Ore_to_PI!AH52</f>
        <v>-841.69623437072971</v>
      </c>
      <c r="M123" s="227">
        <f>Ore_to_PI!AH70</f>
        <v>-99.008821849873215</v>
      </c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>
        <f>Ore_to_PI!BE52</f>
        <v>0</v>
      </c>
      <c r="AJ123" s="227">
        <f>Ore_to_PI!BE70</f>
        <v>0</v>
      </c>
      <c r="AK123" s="227"/>
      <c r="AL123" s="227"/>
      <c r="AM123" s="227"/>
    </row>
    <row r="124" spans="2:66" x14ac:dyDescent="0.2">
      <c r="B124" s="201" t="s">
        <v>406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>
        <f>Ore_to_PI!AI132</f>
        <v>-1202.01</v>
      </c>
      <c r="O124" s="227">
        <f>Ore_to_PI!AI149</f>
        <v>-98.84370786785361</v>
      </c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>
        <f>Ore_to_PI!BF132</f>
        <v>0</v>
      </c>
      <c r="AL124" s="227">
        <f>Ore_to_PI!BF149</f>
        <v>0</v>
      </c>
      <c r="AM124" s="227"/>
    </row>
    <row r="125" spans="2:66" x14ac:dyDescent="0.2">
      <c r="B125" s="201" t="s">
        <v>407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>
        <f>Ore_to_PI!AI217</f>
        <v>-284.89999999999998</v>
      </c>
      <c r="Q125" s="227">
        <f>Ore_to_PI!AI234</f>
        <v>-99.008821849873215</v>
      </c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>
        <f>Ore_to_PI!BF217</f>
        <v>-20.915097846405036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201" t="s">
        <v>541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>
        <f>Ore_to_PI!BA52</f>
        <v>-841.69623437072971</v>
      </c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201" t="s">
        <v>520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>
        <f>Ore_to_PI!BB132</f>
        <v>-1202.01</v>
      </c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201" t="s">
        <v>519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>
        <f>Ore_to_PI!BB217</f>
        <v>-284.89999999999998</v>
      </c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432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>
        <f>Ore_to_PI!BT48</f>
        <v>-834.48831000000007</v>
      </c>
      <c r="V129" s="227">
        <f>Ore_to_PI!BT63</f>
        <v>-1454.2261001517452</v>
      </c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429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>
        <f>Ore_to_PI!BU132</f>
        <v>-1202.01</v>
      </c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444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>
        <f>Ore_to_PI!BU217</f>
        <v>-284.89999999999998</v>
      </c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430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>
        <f>Ore_to_PI!CP131</f>
        <v>-634.9</v>
      </c>
      <c r="Z132" s="227">
        <f>Ore_to_PI!CP119</f>
        <v>-601.6</v>
      </c>
      <c r="AA132" s="227">
        <f>Ore_to_PI!CP145</f>
        <v>-89.61674376121961</v>
      </c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425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>
        <f>Ore_to_PI!CP211</f>
        <v>6546468.5968566798</v>
      </c>
      <c r="AC133" s="227">
        <f>Ore_to_PI!CP243</f>
        <v>-37.006500000000003</v>
      </c>
      <c r="AD133" s="227">
        <f>Ore_to_PI!CP282</f>
        <v>-221.69899000000004</v>
      </c>
      <c r="AE133" s="227">
        <f>Ore_to_PI!CP228</f>
        <v>-284.89999999999998</v>
      </c>
      <c r="AF133" s="227"/>
      <c r="AG133" s="227"/>
      <c r="AH133" s="227"/>
      <c r="AI133" s="227"/>
      <c r="AJ133" s="227"/>
      <c r="AK133" s="227"/>
      <c r="AL133" s="227"/>
      <c r="AM133" s="227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642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</row>
    <row r="135" spans="2:65" x14ac:dyDescent="0.2">
      <c r="B135" s="201" t="s">
        <v>645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</row>
    <row r="136" spans="2:65" x14ac:dyDescent="0.2">
      <c r="B136" s="201" t="s">
        <v>81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/>
      <c r="AI136" s="227"/>
      <c r="AJ136" s="227"/>
      <c r="AK136" s="227"/>
      <c r="AL136" s="227"/>
      <c r="AM136" s="227"/>
    </row>
    <row r="137" spans="2:65" x14ac:dyDescent="0.2">
      <c r="B137" s="201" t="s">
        <v>417</v>
      </c>
      <c r="C137" s="227"/>
      <c r="D137" s="227"/>
      <c r="E137" s="227"/>
      <c r="F137" s="239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43"/>
      <c r="AB137" s="227"/>
      <c r="AC137" s="227"/>
      <c r="AD137" s="227"/>
      <c r="AE137" s="227"/>
      <c r="AF137" s="227"/>
      <c r="AG137" s="227"/>
      <c r="AH137" s="227"/>
      <c r="AI137" s="227"/>
      <c r="AJ137" s="227"/>
      <c r="AK137" s="227"/>
      <c r="AL137" s="227"/>
      <c r="AM137" s="227"/>
    </row>
    <row r="138" spans="2:65" x14ac:dyDescent="0.2">
      <c r="B138" s="201"/>
      <c r="C138" s="405" t="s">
        <v>409</v>
      </c>
      <c r="D138" s="405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05"/>
      <c r="P138" s="405"/>
      <c r="Q138" s="405"/>
      <c r="R138" s="405"/>
      <c r="S138" s="405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  <c r="AM138" s="25" t="s">
        <v>447</v>
      </c>
      <c r="AN138" s="25"/>
    </row>
    <row r="139" spans="2:65" x14ac:dyDescent="0.2">
      <c r="B139" s="201"/>
      <c r="C139" s="248">
        <f t="shared" ref="C139:G139" si="14">SUM(C123:C137)</f>
        <v>0</v>
      </c>
      <c r="D139" s="248">
        <f t="shared" si="14"/>
        <v>0</v>
      </c>
      <c r="E139" s="248">
        <f t="shared" si="14"/>
        <v>0</v>
      </c>
      <c r="F139" s="248">
        <f t="shared" si="14"/>
        <v>0</v>
      </c>
      <c r="G139" s="248">
        <f t="shared" si="14"/>
        <v>0</v>
      </c>
      <c r="H139" s="248">
        <f>SUM(H123:H137)</f>
        <v>0</v>
      </c>
      <c r="I139" s="248">
        <f>SUM(I123:I137)</f>
        <v>0</v>
      </c>
      <c r="J139" s="248">
        <f>SUM(J123:J137)</f>
        <v>0</v>
      </c>
      <c r="K139" s="248">
        <f>SUM(K123:K137)</f>
        <v>0</v>
      </c>
      <c r="L139" s="248">
        <f>SUM(L123:L137)</f>
        <v>-841.69623437072971</v>
      </c>
      <c r="M139" s="248">
        <f>SUM(M123:M137)</f>
        <v>-99.008821849873215</v>
      </c>
      <c r="N139" s="248">
        <f>SUM(N123:N137)</f>
        <v>-1202.01</v>
      </c>
      <c r="O139" s="248">
        <f>SUM(O123:O137)</f>
        <v>-98.84370786785361</v>
      </c>
      <c r="P139" s="248">
        <f>SUM(P123:P137)</f>
        <v>-284.89999999999998</v>
      </c>
      <c r="Q139" s="248">
        <f>SUM(Q123:Q137)</f>
        <v>-99.008821849873215</v>
      </c>
      <c r="R139" s="248">
        <f>SUM(R123:R137)</f>
        <v>-841.69623437072971</v>
      </c>
      <c r="S139" s="248">
        <f>SUM(S123:S137)</f>
        <v>-1202.01</v>
      </c>
      <c r="T139" s="248">
        <f>SUM(T123:T137)</f>
        <v>-284.89999999999998</v>
      </c>
      <c r="U139" s="248">
        <f>SUM(U123:U137)</f>
        <v>-834.48831000000007</v>
      </c>
      <c r="V139" s="248">
        <f>SUM(V123:V137)</f>
        <v>-1454.2261001517452</v>
      </c>
      <c r="W139" s="248">
        <f>SUM(W123:W137)</f>
        <v>-1202.01</v>
      </c>
      <c r="X139" s="248">
        <f>SUM(X123:X137)</f>
        <v>-284.89999999999998</v>
      </c>
      <c r="Y139" s="248">
        <f>SUM(Y123:Y137)</f>
        <v>-634.9</v>
      </c>
      <c r="Z139" s="248">
        <f>SUM(Z123:Z137)</f>
        <v>-601.6</v>
      </c>
      <c r="AA139" s="248">
        <f>SUM(AA123:AA137)</f>
        <v>-89.61674376121961</v>
      </c>
      <c r="AB139" s="248">
        <f>SUM(AB123:AB137)</f>
        <v>6546468.5968566798</v>
      </c>
      <c r="AC139" s="248">
        <f>SUM(AC123:AC137)</f>
        <v>-37.006500000000003</v>
      </c>
      <c r="AD139" s="248">
        <f>SUM(AD123:AD137)</f>
        <v>-221.69899000000004</v>
      </c>
      <c r="AE139" s="248">
        <f>SUM(AE123:AE137)</f>
        <v>-284.89999999999998</v>
      </c>
      <c r="AF139" s="248">
        <f>SUM(AF123:AF137)</f>
        <v>0</v>
      </c>
      <c r="AG139" s="248">
        <f>SUM(AG123:AG137)</f>
        <v>0</v>
      </c>
      <c r="AH139" s="248">
        <f>SUM(AH123:AH137)</f>
        <v>0</v>
      </c>
      <c r="AI139" s="248">
        <f>SUM(AI123:AI137)</f>
        <v>0</v>
      </c>
      <c r="AJ139" s="248">
        <f>SUM(AJ123:AJ137)</f>
        <v>0</v>
      </c>
      <c r="AK139" s="248">
        <f>SUM(AK123:AK137)</f>
        <v>0</v>
      </c>
      <c r="AL139" s="248">
        <f>SUM(AL123:AL137)</f>
        <v>0</v>
      </c>
    </row>
    <row r="140" spans="2:65" x14ac:dyDescent="0.2">
      <c r="B140" s="201"/>
      <c r="C140" s="405" t="s">
        <v>448</v>
      </c>
      <c r="D140" s="405"/>
      <c r="E140" s="405"/>
      <c r="F140" s="405"/>
      <c r="G140" s="405"/>
      <c r="H140" s="405"/>
      <c r="I140" s="405"/>
      <c r="J140" s="405"/>
      <c r="K140" s="405"/>
      <c r="L140" s="405"/>
      <c r="M140" s="405"/>
      <c r="N140" s="405"/>
      <c r="O140" s="405"/>
      <c r="P140" s="405"/>
      <c r="Q140" s="405"/>
      <c r="R140" s="405"/>
      <c r="S140" s="405"/>
      <c r="T140" s="405"/>
      <c r="U140" s="405"/>
      <c r="V140" s="405"/>
      <c r="W140" s="405"/>
      <c r="X140" s="405"/>
      <c r="Y140" s="405"/>
      <c r="Z140" s="405"/>
      <c r="AA140" s="405"/>
      <c r="AB140" s="405"/>
      <c r="AC140" s="405"/>
      <c r="AD140" s="405"/>
      <c r="AE140" s="405"/>
      <c r="AF140" s="405"/>
      <c r="AG140" s="405"/>
      <c r="AH140" s="405"/>
      <c r="AI140" s="405"/>
      <c r="AJ140" s="405"/>
      <c r="AK140" s="405"/>
      <c r="AL140" s="405"/>
    </row>
    <row r="141" spans="2:65" x14ac:dyDescent="0.2">
      <c r="B141" s="201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ht="236" x14ac:dyDescent="0.2">
      <c r="B151" s="201"/>
      <c r="C151" s="204" t="s">
        <v>413</v>
      </c>
      <c r="D151" s="204" t="s">
        <v>415</v>
      </c>
      <c r="E151" s="204" t="s">
        <v>416</v>
      </c>
      <c r="F151" s="204" t="s">
        <v>436</v>
      </c>
      <c r="G151" s="204" t="s">
        <v>459</v>
      </c>
      <c r="H151" s="204" t="s">
        <v>552</v>
      </c>
      <c r="I151" s="204" t="s">
        <v>553</v>
      </c>
      <c r="J151" s="204" t="s">
        <v>496</v>
      </c>
      <c r="K151" s="204" t="s">
        <v>545</v>
      </c>
      <c r="L151" s="206" t="s">
        <v>527</v>
      </c>
      <c r="M151" s="204" t="s">
        <v>494</v>
      </c>
      <c r="N151" s="206" t="s">
        <v>497</v>
      </c>
      <c r="O151" s="204" t="s">
        <v>522</v>
      </c>
      <c r="P151" s="207" t="s">
        <v>515</v>
      </c>
      <c r="Q151" s="204" t="s">
        <v>501</v>
      </c>
      <c r="R151" s="206" t="s">
        <v>526</v>
      </c>
      <c r="S151" s="206" t="s">
        <v>521</v>
      </c>
      <c r="T151" s="206" t="s">
        <v>518</v>
      </c>
      <c r="U151" s="206" t="s">
        <v>524</v>
      </c>
      <c r="V151" s="207" t="s">
        <v>523</v>
      </c>
      <c r="W151" s="207" t="s">
        <v>509</v>
      </c>
      <c r="X151" s="207" t="s">
        <v>542</v>
      </c>
      <c r="Y151" s="207" t="s">
        <v>510</v>
      </c>
      <c r="Z151" s="207" t="s">
        <v>512</v>
      </c>
      <c r="AA151" s="207" t="s">
        <v>511</v>
      </c>
      <c r="AB151" s="207" t="s">
        <v>607</v>
      </c>
      <c r="AC151" s="229" t="s">
        <v>507</v>
      </c>
      <c r="AD151" s="229" t="s">
        <v>684</v>
      </c>
      <c r="AE151" s="207" t="s">
        <v>506</v>
      </c>
      <c r="AF151" s="204" t="s">
        <v>508</v>
      </c>
      <c r="AG151" s="207" t="s">
        <v>643</v>
      </c>
      <c r="AH151" s="207" t="s">
        <v>646</v>
      </c>
      <c r="AI151" s="207" t="s">
        <v>530</v>
      </c>
      <c r="AJ151" s="207" t="s">
        <v>531</v>
      </c>
      <c r="AK151" s="207" t="s">
        <v>532</v>
      </c>
      <c r="AL151" s="207" t="s">
        <v>543</v>
      </c>
      <c r="AM151" s="207"/>
      <c r="AN151" s="207"/>
    </row>
    <row r="152" spans="2:44" x14ac:dyDescent="0.2">
      <c r="B152" s="201" t="s">
        <v>412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x14ac:dyDescent="0.2">
      <c r="B153" s="202" t="s">
        <v>414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03" t="s">
        <v>437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1" t="s">
        <v>462</v>
      </c>
      <c r="C155" s="240"/>
      <c r="D155" s="240"/>
      <c r="E155" s="240"/>
      <c r="F155" s="246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458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555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29"/>
    </row>
    <row r="158" spans="2:44" x14ac:dyDescent="0.2">
      <c r="B158" s="201" t="s">
        <v>554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495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544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405" t="s">
        <v>57</v>
      </c>
      <c r="D161" s="405"/>
      <c r="E161" s="405"/>
      <c r="F161" s="405"/>
      <c r="G161" s="405"/>
      <c r="H161" s="405"/>
      <c r="I161" s="405"/>
      <c r="J161" s="405"/>
      <c r="K161" s="405"/>
      <c r="L161" s="405"/>
      <c r="M161" s="405"/>
      <c r="N161" s="405"/>
      <c r="O161" s="405"/>
      <c r="P161" s="405"/>
      <c r="Q161" s="405"/>
      <c r="R161" s="405"/>
      <c r="S161" s="405"/>
      <c r="T161" s="405"/>
      <c r="U161" s="405"/>
      <c r="V161" s="405"/>
      <c r="W161" s="405"/>
      <c r="X161" s="405"/>
      <c r="Y161" s="405"/>
      <c r="Z161" s="405"/>
      <c r="AA161" s="405"/>
      <c r="AB161" s="405"/>
      <c r="AC161" s="405"/>
      <c r="AD161" s="405"/>
      <c r="AE161" s="405"/>
      <c r="AF161" s="405"/>
      <c r="AG161" s="405"/>
      <c r="AH161" s="405"/>
      <c r="AI161" s="405"/>
      <c r="AJ161" s="405"/>
      <c r="AK161" s="405"/>
      <c r="AL161" s="405"/>
      <c r="AM161" s="25"/>
      <c r="AN161" s="25"/>
    </row>
    <row r="162" spans="2:40" x14ac:dyDescent="0.2">
      <c r="C162" s="248">
        <f t="shared" ref="C162:AL162" si="15">SUM(C152:C160)</f>
        <v>-841.69623437072971</v>
      </c>
      <c r="D162" s="248">
        <f t="shared" si="15"/>
        <v>-1202.01</v>
      </c>
      <c r="E162" s="248">
        <f t="shared" si="15"/>
        <v>23054812.906863328</v>
      </c>
      <c r="F162" s="248">
        <f t="shared" si="15"/>
        <v>0</v>
      </c>
      <c r="G162" s="248">
        <f t="shared" si="15"/>
        <v>-74.599999999999994</v>
      </c>
      <c r="H162" s="248">
        <f t="shared" si="15"/>
        <v>7127.6028120000001</v>
      </c>
      <c r="I162" s="248">
        <f t="shared" si="15"/>
        <v>-250.1</v>
      </c>
      <c r="J162" s="248">
        <f t="shared" si="15"/>
        <v>5540.6175999999996</v>
      </c>
      <c r="K162" s="248">
        <f t="shared" si="15"/>
        <v>0</v>
      </c>
      <c r="L162" s="248">
        <f t="shared" si="15"/>
        <v>0</v>
      </c>
      <c r="M162" s="248">
        <f t="shared" si="15"/>
        <v>0</v>
      </c>
      <c r="N162" s="248">
        <f t="shared" si="15"/>
        <v>0</v>
      </c>
      <c r="O162" s="248">
        <f t="shared" si="15"/>
        <v>0</v>
      </c>
      <c r="P162" s="248">
        <f t="shared" si="15"/>
        <v>0</v>
      </c>
      <c r="Q162" s="248">
        <f t="shared" si="15"/>
        <v>0</v>
      </c>
      <c r="R162" s="248">
        <f t="shared" si="15"/>
        <v>0</v>
      </c>
      <c r="S162" s="248">
        <f t="shared" si="15"/>
        <v>0</v>
      </c>
      <c r="T162" s="248">
        <f t="shared" si="15"/>
        <v>0</v>
      </c>
      <c r="U162" s="248">
        <f t="shared" si="15"/>
        <v>0</v>
      </c>
      <c r="V162" s="248">
        <f t="shared" si="15"/>
        <v>0</v>
      </c>
      <c r="W162" s="248">
        <f t="shared" si="15"/>
        <v>0</v>
      </c>
      <c r="X162" s="248">
        <f t="shared" si="15"/>
        <v>0</v>
      </c>
      <c r="Y162" s="248">
        <f t="shared" si="15"/>
        <v>0</v>
      </c>
      <c r="Z162" s="248">
        <f t="shared" si="15"/>
        <v>0</v>
      </c>
      <c r="AA162" s="248">
        <f t="shared" si="15"/>
        <v>0</v>
      </c>
      <c r="AB162" s="248">
        <f t="shared" si="15"/>
        <v>0</v>
      </c>
      <c r="AC162" s="248">
        <f t="shared" si="15"/>
        <v>0</v>
      </c>
      <c r="AD162" s="248">
        <f t="shared" si="15"/>
        <v>0</v>
      </c>
      <c r="AE162" s="248">
        <f t="shared" si="15"/>
        <v>0</v>
      </c>
      <c r="AF162" s="248">
        <f t="shared" si="15"/>
        <v>0</v>
      </c>
      <c r="AG162" s="248">
        <f t="shared" si="15"/>
        <v>0</v>
      </c>
      <c r="AH162" s="248">
        <f t="shared" si="15"/>
        <v>0</v>
      </c>
      <c r="AI162" s="248">
        <f t="shared" si="15"/>
        <v>0</v>
      </c>
      <c r="AJ162" s="248">
        <f t="shared" si="15"/>
        <v>0</v>
      </c>
      <c r="AK162" s="248">
        <f t="shared" si="15"/>
        <v>0</v>
      </c>
      <c r="AL162" s="248">
        <f t="shared" si="15"/>
        <v>0</v>
      </c>
    </row>
    <row r="163" spans="2:40" x14ac:dyDescent="0.2">
      <c r="C163" s="405" t="s">
        <v>449</v>
      </c>
      <c r="D163" s="405"/>
      <c r="E163" s="405"/>
      <c r="F163" s="405"/>
      <c r="G163" s="405"/>
      <c r="H163" s="405"/>
      <c r="I163" s="405"/>
      <c r="J163" s="405"/>
      <c r="K163" s="405"/>
      <c r="L163" s="405"/>
      <c r="M163" s="405"/>
      <c r="N163" s="405"/>
      <c r="O163" s="405"/>
      <c r="P163" s="405"/>
      <c r="Q163" s="405"/>
      <c r="R163" s="405"/>
      <c r="S163" s="405"/>
      <c r="T163" s="405"/>
      <c r="U163" s="405"/>
      <c r="V163" s="405"/>
      <c r="W163" s="405"/>
      <c r="X163" s="405"/>
      <c r="Y163" s="405"/>
      <c r="Z163" s="405"/>
      <c r="AA163" s="405"/>
      <c r="AB163" s="405"/>
      <c r="AC163" s="405"/>
      <c r="AD163" s="405"/>
      <c r="AE163" s="405"/>
      <c r="AF163" s="405"/>
      <c r="AG163" s="405"/>
      <c r="AH163" s="405"/>
      <c r="AI163" s="405"/>
      <c r="AJ163" s="405"/>
      <c r="AK163" s="405"/>
      <c r="AL163" s="405"/>
      <c r="AM163" s="25"/>
      <c r="AN163" s="25"/>
    </row>
    <row r="167" spans="2:40" x14ac:dyDescent="0.2">
      <c r="C167" s="405" t="s">
        <v>640</v>
      </c>
      <c r="D167" s="405"/>
      <c r="E167" s="405"/>
      <c r="F167" s="405"/>
      <c r="G167" s="405"/>
      <c r="H167" s="405"/>
      <c r="I167" s="405"/>
      <c r="J167" s="405"/>
      <c r="K167" s="405"/>
      <c r="L167" s="241"/>
      <c r="M167" s="241"/>
      <c r="N167" s="241"/>
      <c r="O167" s="241"/>
      <c r="P167" s="241"/>
      <c r="Q167" s="241"/>
      <c r="R167" s="241"/>
      <c r="S167" s="241"/>
      <c r="T167" s="241"/>
      <c r="U167" s="25"/>
      <c r="V167" s="25"/>
    </row>
    <row r="170" spans="2:40" x14ac:dyDescent="0.2">
      <c r="B170" s="201" t="s">
        <v>413</v>
      </c>
      <c r="C170" s="248" cm="1">
        <f t="array" ref="C170:C205">TRANSPOSE(C162:AL162)</f>
        <v>-841.69623437072971</v>
      </c>
      <c r="E170" s="248" cm="1">
        <f t="array" ref="E170:E205">TRANSPOSE(C139:AL139)</f>
        <v>0</v>
      </c>
      <c r="G170" s="248">
        <f t="shared" ref="G170:G196" si="16">BG83</f>
        <v>-841.69623437072971</v>
      </c>
      <c r="I170" s="248" cm="1">
        <f t="array" ref="I170:I205">BN83:BN118</f>
        <v>0</v>
      </c>
      <c r="K170" s="295">
        <f>C170+E170-G170-I170</f>
        <v>0</v>
      </c>
    </row>
    <row r="171" spans="2:40" x14ac:dyDescent="0.2">
      <c r="B171" s="201" t="s">
        <v>415</v>
      </c>
      <c r="C171" s="248">
        <v>-1202.01</v>
      </c>
      <c r="E171" s="248">
        <v>0</v>
      </c>
      <c r="G171" s="248">
        <f t="shared" si="16"/>
        <v>-1202.01</v>
      </c>
      <c r="I171" s="248">
        <v>0</v>
      </c>
      <c r="K171" s="295">
        <f t="shared" ref="K171:K205" si="17">C171+E171-G171-I171</f>
        <v>0</v>
      </c>
    </row>
    <row r="172" spans="2:40" x14ac:dyDescent="0.2">
      <c r="B172" s="201" t="s">
        <v>416</v>
      </c>
      <c r="C172" s="248">
        <v>23054812.906863328</v>
      </c>
      <c r="E172" s="248">
        <v>0</v>
      </c>
      <c r="G172" s="248">
        <f t="shared" si="16"/>
        <v>23054812.906863328</v>
      </c>
      <c r="I172" s="248">
        <v>0</v>
      </c>
      <c r="K172" s="295">
        <f t="shared" si="17"/>
        <v>0</v>
      </c>
    </row>
    <row r="173" spans="2:40" x14ac:dyDescent="0.2">
      <c r="B173" s="201" t="s">
        <v>436</v>
      </c>
      <c r="C173" s="248">
        <v>0</v>
      </c>
      <c r="E173" s="248">
        <v>0</v>
      </c>
      <c r="G173" s="248">
        <f t="shared" si="16"/>
        <v>0</v>
      </c>
      <c r="I173" s="248">
        <v>0</v>
      </c>
      <c r="K173" s="295">
        <f t="shared" si="17"/>
        <v>0</v>
      </c>
    </row>
    <row r="174" spans="2:40" x14ac:dyDescent="0.2">
      <c r="B174" s="201" t="s">
        <v>459</v>
      </c>
      <c r="C174" s="248">
        <v>-74.599999999999994</v>
      </c>
      <c r="E174" s="248">
        <v>0</v>
      </c>
      <c r="G174" s="248">
        <f t="shared" si="16"/>
        <v>-223.79999999999998</v>
      </c>
      <c r="I174" s="248">
        <v>0</v>
      </c>
      <c r="K174" s="295" t="s">
        <v>647</v>
      </c>
    </row>
    <row r="175" spans="2:40" x14ac:dyDescent="0.2">
      <c r="B175" s="201" t="s">
        <v>492</v>
      </c>
      <c r="C175" s="248">
        <v>7127.6028120000001</v>
      </c>
      <c r="E175" s="248">
        <v>0</v>
      </c>
      <c r="G175" s="248">
        <f t="shared" si="16"/>
        <v>21382.808435999999</v>
      </c>
      <c r="I175" s="248">
        <v>0</v>
      </c>
      <c r="K175" s="295" t="s">
        <v>647</v>
      </c>
    </row>
    <row r="176" spans="2:40" x14ac:dyDescent="0.2">
      <c r="B176" s="201" t="s">
        <v>493</v>
      </c>
      <c r="C176" s="248">
        <v>-250.1</v>
      </c>
      <c r="E176" s="248">
        <v>0</v>
      </c>
      <c r="G176" s="248">
        <f t="shared" si="16"/>
        <v>-250.1</v>
      </c>
      <c r="I176" s="248">
        <v>0</v>
      </c>
      <c r="K176" s="295">
        <f t="shared" si="17"/>
        <v>0</v>
      </c>
    </row>
    <row r="177" spans="2:18" x14ac:dyDescent="0.2">
      <c r="B177" s="201" t="s">
        <v>496</v>
      </c>
      <c r="C177" s="248">
        <v>5540.6175999999996</v>
      </c>
      <c r="E177" s="248">
        <v>0</v>
      </c>
      <c r="G177" s="248">
        <f t="shared" si="16"/>
        <v>5540.6175999999996</v>
      </c>
      <c r="I177" s="248">
        <v>0</v>
      </c>
      <c r="K177" s="295">
        <f t="shared" si="17"/>
        <v>0</v>
      </c>
    </row>
    <row r="178" spans="2:18" x14ac:dyDescent="0.2">
      <c r="B178" s="201" t="s">
        <v>545</v>
      </c>
      <c r="C178" s="248">
        <v>0</v>
      </c>
      <c r="E178" s="248">
        <v>0</v>
      </c>
      <c r="G178" s="248">
        <f t="shared" si="16"/>
        <v>0</v>
      </c>
      <c r="I178" s="248">
        <v>0</v>
      </c>
      <c r="K178" s="295">
        <f t="shared" si="17"/>
        <v>0</v>
      </c>
    </row>
    <row r="179" spans="2:18" ht="16" x14ac:dyDescent="0.2">
      <c r="B179" s="202" t="s">
        <v>527</v>
      </c>
      <c r="C179" s="248">
        <v>0</v>
      </c>
      <c r="E179" s="248">
        <v>-841.69623437072971</v>
      </c>
      <c r="G179" s="248">
        <f t="shared" si="16"/>
        <v>-841.69623437072971</v>
      </c>
      <c r="I179" s="248">
        <v>0</v>
      </c>
      <c r="K179" s="295">
        <f t="shared" si="17"/>
        <v>0</v>
      </c>
    </row>
    <row r="180" spans="2:18" x14ac:dyDescent="0.2">
      <c r="B180" s="201" t="s">
        <v>494</v>
      </c>
      <c r="C180" s="248">
        <v>0</v>
      </c>
      <c r="E180" s="248">
        <v>-99.008821849873215</v>
      </c>
      <c r="G180" s="248">
        <f t="shared" si="16"/>
        <v>0</v>
      </c>
      <c r="I180" s="248">
        <v>-99.008821849873215</v>
      </c>
      <c r="K180" s="295">
        <f t="shared" si="17"/>
        <v>0</v>
      </c>
    </row>
    <row r="181" spans="2:18" ht="16" x14ac:dyDescent="0.2">
      <c r="B181" s="202" t="s">
        <v>497</v>
      </c>
      <c r="C181" s="248">
        <v>0</v>
      </c>
      <c r="E181" s="248">
        <v>-1202.01</v>
      </c>
      <c r="G181" s="248">
        <f t="shared" si="16"/>
        <v>-1202.01</v>
      </c>
      <c r="I181" s="248">
        <v>0</v>
      </c>
      <c r="K181" s="295">
        <f t="shared" si="17"/>
        <v>0</v>
      </c>
    </row>
    <row r="182" spans="2:18" x14ac:dyDescent="0.2">
      <c r="B182" s="201" t="s">
        <v>522</v>
      </c>
      <c r="C182" s="248">
        <v>0</v>
      </c>
      <c r="E182" s="248">
        <v>-98.84370786785361</v>
      </c>
      <c r="G182" s="248">
        <f t="shared" si="16"/>
        <v>0</v>
      </c>
      <c r="I182" s="248">
        <v>-98.84370786785361</v>
      </c>
      <c r="K182" s="295">
        <f t="shared" si="17"/>
        <v>0</v>
      </c>
    </row>
    <row r="183" spans="2:18" x14ac:dyDescent="0.2">
      <c r="B183" s="203" t="s">
        <v>515</v>
      </c>
      <c r="C183" s="248">
        <v>0</v>
      </c>
      <c r="D183" s="255" t="s">
        <v>453</v>
      </c>
      <c r="E183" s="248">
        <v>-284.89999999999998</v>
      </c>
      <c r="F183" s="169" t="s">
        <v>455</v>
      </c>
      <c r="G183" s="248">
        <f t="shared" si="16"/>
        <v>-284.89999999999998</v>
      </c>
      <c r="H183" s="169" t="s">
        <v>455</v>
      </c>
      <c r="I183" s="248">
        <v>0</v>
      </c>
      <c r="J183" s="255" t="s">
        <v>456</v>
      </c>
      <c r="K183" s="295">
        <f t="shared" si="17"/>
        <v>0</v>
      </c>
      <c r="P183" s="204"/>
    </row>
    <row r="184" spans="2:18" x14ac:dyDescent="0.2">
      <c r="B184" s="201" t="s">
        <v>501</v>
      </c>
      <c r="C184" s="248">
        <v>0</v>
      </c>
      <c r="E184" s="248">
        <v>-99.008821849873215</v>
      </c>
      <c r="G184" s="248">
        <f t="shared" si="16"/>
        <v>0</v>
      </c>
      <c r="I184" s="248">
        <v>-99.008821849873215</v>
      </c>
      <c r="K184" s="295">
        <f t="shared" si="17"/>
        <v>0</v>
      </c>
    </row>
    <row r="185" spans="2:18" ht="16" x14ac:dyDescent="0.2">
      <c r="B185" s="202" t="s">
        <v>526</v>
      </c>
      <c r="C185" s="248">
        <v>0</v>
      </c>
      <c r="E185" s="248">
        <v>-841.69623437072971</v>
      </c>
      <c r="G185" s="248">
        <f t="shared" si="16"/>
        <v>-841.69623437072971</v>
      </c>
      <c r="I185" s="248">
        <v>0</v>
      </c>
      <c r="K185" s="295">
        <f t="shared" si="17"/>
        <v>0</v>
      </c>
    </row>
    <row r="186" spans="2:18" ht="16" x14ac:dyDescent="0.2">
      <c r="B186" s="202" t="s">
        <v>521</v>
      </c>
      <c r="C186" s="248">
        <v>0</v>
      </c>
      <c r="E186" s="248">
        <v>-1202.01</v>
      </c>
      <c r="G186" s="248">
        <f t="shared" si="16"/>
        <v>-1202.01</v>
      </c>
      <c r="I186" s="248">
        <v>0</v>
      </c>
      <c r="K186" s="295">
        <f t="shared" si="17"/>
        <v>0</v>
      </c>
    </row>
    <row r="187" spans="2:18" ht="16" x14ac:dyDescent="0.2">
      <c r="B187" s="202" t="s">
        <v>518</v>
      </c>
      <c r="C187" s="248">
        <v>0</v>
      </c>
      <c r="E187" s="248">
        <v>-284.89999999999998</v>
      </c>
      <c r="G187" s="248">
        <f t="shared" si="16"/>
        <v>-284.89999999999998</v>
      </c>
      <c r="I187" s="248">
        <v>0</v>
      </c>
      <c r="K187" s="295">
        <f t="shared" si="17"/>
        <v>0</v>
      </c>
    </row>
    <row r="188" spans="2:18" ht="16" x14ac:dyDescent="0.2">
      <c r="B188" s="202" t="s">
        <v>524</v>
      </c>
      <c r="C188" s="248">
        <v>0</v>
      </c>
      <c r="E188" s="248">
        <v>-834.48831000000007</v>
      </c>
      <c r="G188" s="248">
        <f t="shared" si="16"/>
        <v>-834.48831000000007</v>
      </c>
      <c r="I188" s="248">
        <v>0</v>
      </c>
      <c r="K188" s="295">
        <f t="shared" si="17"/>
        <v>0</v>
      </c>
    </row>
    <row r="189" spans="2:18" x14ac:dyDescent="0.2">
      <c r="B189" s="203" t="s">
        <v>523</v>
      </c>
      <c r="C189" s="248">
        <v>0</v>
      </c>
      <c r="E189" s="248">
        <v>-1454.2261001517452</v>
      </c>
      <c r="G189" s="248">
        <f t="shared" si="16"/>
        <v>0</v>
      </c>
      <c r="I189" s="248">
        <v>-1454.2261001517452</v>
      </c>
      <c r="K189" s="295">
        <f t="shared" si="17"/>
        <v>0</v>
      </c>
    </row>
    <row r="190" spans="2:18" x14ac:dyDescent="0.2">
      <c r="B190" s="203" t="s">
        <v>509</v>
      </c>
      <c r="C190" s="248">
        <v>0</v>
      </c>
      <c r="E190" s="248">
        <v>-1202.01</v>
      </c>
      <c r="G190" s="248">
        <f t="shared" si="16"/>
        <v>-1202.01</v>
      </c>
      <c r="I190" s="248">
        <v>0</v>
      </c>
      <c r="K190" s="295">
        <f t="shared" si="17"/>
        <v>0</v>
      </c>
      <c r="N190" s="25"/>
      <c r="P190" s="25"/>
      <c r="Q190" s="25"/>
      <c r="R190" s="25"/>
    </row>
    <row r="191" spans="2:18" x14ac:dyDescent="0.2">
      <c r="B191" s="203" t="s">
        <v>542</v>
      </c>
      <c r="C191" s="248">
        <v>0</v>
      </c>
      <c r="E191" s="248">
        <v>-284.89999999999998</v>
      </c>
      <c r="G191" s="248">
        <f t="shared" si="16"/>
        <v>-284.89999999999998</v>
      </c>
      <c r="I191" s="248">
        <v>0</v>
      </c>
      <c r="K191" s="295">
        <f t="shared" si="17"/>
        <v>0</v>
      </c>
      <c r="N191" s="25"/>
      <c r="P191" s="25"/>
      <c r="Q191" s="25"/>
      <c r="R191" s="25"/>
    </row>
    <row r="192" spans="2:18" x14ac:dyDescent="0.2">
      <c r="B192" s="203" t="s">
        <v>510</v>
      </c>
      <c r="C192" s="248">
        <v>0</v>
      </c>
      <c r="E192" s="248">
        <v>-634.9</v>
      </c>
      <c r="G192" s="248">
        <f t="shared" si="16"/>
        <v>-634.9</v>
      </c>
      <c r="I192" s="248">
        <v>0</v>
      </c>
      <c r="K192" s="295">
        <f t="shared" si="17"/>
        <v>0</v>
      </c>
      <c r="N192" s="25"/>
      <c r="P192" s="25"/>
      <c r="Q192" s="25"/>
      <c r="R192" s="25"/>
    </row>
    <row r="193" spans="2:19" x14ac:dyDescent="0.2">
      <c r="B193" s="203" t="s">
        <v>512</v>
      </c>
      <c r="C193" s="248">
        <v>0</v>
      </c>
      <c r="E193" s="248">
        <v>-601.6</v>
      </c>
      <c r="G193" s="248">
        <f t="shared" si="16"/>
        <v>0</v>
      </c>
      <c r="I193" s="248">
        <v>-601.6</v>
      </c>
      <c r="K193" s="295">
        <f t="shared" si="17"/>
        <v>0</v>
      </c>
      <c r="N193" s="25"/>
      <c r="P193" s="25"/>
      <c r="Q193" s="25"/>
      <c r="R193" s="25"/>
    </row>
    <row r="194" spans="2:19" x14ac:dyDescent="0.2">
      <c r="B194" s="203" t="s">
        <v>511</v>
      </c>
      <c r="C194" s="248">
        <v>0</v>
      </c>
      <c r="E194" s="248">
        <v>-89.61674376121961</v>
      </c>
      <c r="G194" s="248">
        <f t="shared" si="16"/>
        <v>0</v>
      </c>
      <c r="I194" s="248">
        <v>-89.61674376121961</v>
      </c>
      <c r="K194" s="295">
        <f t="shared" si="17"/>
        <v>0</v>
      </c>
      <c r="N194" s="25"/>
      <c r="P194" s="25"/>
      <c r="Q194" s="25"/>
      <c r="R194" s="25"/>
    </row>
    <row r="195" spans="2:19" x14ac:dyDescent="0.2">
      <c r="B195" s="203" t="s">
        <v>607</v>
      </c>
      <c r="C195" s="248">
        <v>0</v>
      </c>
      <c r="E195" s="248">
        <v>6546468.5968566798</v>
      </c>
      <c r="G195" s="248">
        <f t="shared" si="16"/>
        <v>6546468.5968566798</v>
      </c>
      <c r="I195" s="248">
        <v>0</v>
      </c>
      <c r="K195" s="295">
        <f t="shared" si="17"/>
        <v>0</v>
      </c>
    </row>
    <row r="196" spans="2:19" ht="16" x14ac:dyDescent="0.2">
      <c r="B196" s="249" t="s">
        <v>507</v>
      </c>
      <c r="C196" s="248">
        <v>0</v>
      </c>
      <c r="E196" s="248">
        <v>-37.006500000000003</v>
      </c>
      <c r="G196" s="248">
        <f t="shared" si="16"/>
        <v>-37.006500000000003</v>
      </c>
      <c r="I196" s="248">
        <v>0</v>
      </c>
      <c r="K196" s="295">
        <f t="shared" si="17"/>
        <v>0</v>
      </c>
    </row>
    <row r="197" spans="2:19" ht="16" x14ac:dyDescent="0.2">
      <c r="B197" s="249" t="s">
        <v>684</v>
      </c>
      <c r="C197" s="248">
        <v>0</v>
      </c>
      <c r="E197" s="248">
        <v>-221.69899000000004</v>
      </c>
      <c r="G197" s="248"/>
      <c r="I197" s="248">
        <v>-221.69899000000004</v>
      </c>
      <c r="K197" s="295">
        <f t="shared" si="17"/>
        <v>0</v>
      </c>
    </row>
    <row r="198" spans="2:19" x14ac:dyDescent="0.2">
      <c r="B198" s="203" t="s">
        <v>506</v>
      </c>
      <c r="C198" s="248">
        <v>0</v>
      </c>
      <c r="E198" s="248">
        <v>-284.89999999999998</v>
      </c>
      <c r="G198" s="248">
        <f t="shared" ref="G198:G205" si="18">BG111</f>
        <v>0</v>
      </c>
      <c r="I198" s="248">
        <v>-284.89999999999998</v>
      </c>
      <c r="K198" s="295">
        <f t="shared" si="17"/>
        <v>0</v>
      </c>
      <c r="L198" s="25"/>
    </row>
    <row r="199" spans="2:19" x14ac:dyDescent="0.2">
      <c r="B199" s="201" t="s">
        <v>508</v>
      </c>
      <c r="C199" s="248">
        <v>0</v>
      </c>
      <c r="E199" s="248">
        <v>0</v>
      </c>
      <c r="G199" s="248">
        <f t="shared" si="18"/>
        <v>0</v>
      </c>
      <c r="I199" s="248">
        <v>-89.542108138870873</v>
      </c>
      <c r="K199" s="295">
        <f t="shared" si="17"/>
        <v>89.542108138870873</v>
      </c>
    </row>
    <row r="200" spans="2:19" x14ac:dyDescent="0.2">
      <c r="B200" s="203" t="s">
        <v>643</v>
      </c>
      <c r="C200" s="248">
        <v>0</v>
      </c>
      <c r="E200" s="248">
        <v>0</v>
      </c>
      <c r="G200" s="248">
        <f t="shared" si="18"/>
        <v>-23.917987170512152</v>
      </c>
      <c r="I200" s="248">
        <v>0</v>
      </c>
      <c r="K200" s="295">
        <f t="shared" si="17"/>
        <v>23.917987170512152</v>
      </c>
    </row>
    <row r="201" spans="2:19" x14ac:dyDescent="0.2">
      <c r="B201" s="203" t="s">
        <v>646</v>
      </c>
      <c r="C201" s="248">
        <v>0</v>
      </c>
      <c r="E201" s="248">
        <v>0</v>
      </c>
      <c r="G201" s="248">
        <f t="shared" si="18"/>
        <v>-23.917987170512156</v>
      </c>
      <c r="I201" s="248">
        <v>-23.917987170512156</v>
      </c>
      <c r="K201" s="295" t="s">
        <v>647</v>
      </c>
    </row>
    <row r="202" spans="2:19" x14ac:dyDescent="0.2">
      <c r="B202" s="203" t="s">
        <v>530</v>
      </c>
      <c r="C202" s="248">
        <v>0</v>
      </c>
      <c r="E202" s="248">
        <v>0</v>
      </c>
      <c r="G202" s="248">
        <f t="shared" si="18"/>
        <v>3963.8871338071585</v>
      </c>
      <c r="I202" s="248">
        <v>0</v>
      </c>
      <c r="K202" s="295">
        <f t="shared" si="17"/>
        <v>-3963.8871338071585</v>
      </c>
      <c r="P202" s="241"/>
      <c r="Q202" s="241"/>
      <c r="R202" s="241"/>
      <c r="S202" s="241"/>
    </row>
    <row r="203" spans="2:19" x14ac:dyDescent="0.2">
      <c r="B203" s="203" t="s">
        <v>531</v>
      </c>
      <c r="C203" s="248">
        <v>0</v>
      </c>
      <c r="E203" s="248">
        <v>0</v>
      </c>
      <c r="G203" s="248">
        <f t="shared" si="18"/>
        <v>0</v>
      </c>
      <c r="I203" s="248">
        <v>0</v>
      </c>
      <c r="K203" s="295">
        <f t="shared" si="17"/>
        <v>0</v>
      </c>
    </row>
    <row r="204" spans="2:19" x14ac:dyDescent="0.2">
      <c r="B204" s="203" t="s">
        <v>532</v>
      </c>
      <c r="C204" s="248">
        <v>0</v>
      </c>
      <c r="E204" s="248">
        <v>0</v>
      </c>
      <c r="G204" s="248">
        <f t="shared" si="18"/>
        <v>0</v>
      </c>
      <c r="I204" s="248">
        <v>-126.30390709179704</v>
      </c>
      <c r="K204" s="295">
        <f t="shared" si="17"/>
        <v>126.30390709179704</v>
      </c>
    </row>
    <row r="205" spans="2:19" x14ac:dyDescent="0.2">
      <c r="B205" s="203" t="s">
        <v>543</v>
      </c>
      <c r="C205" s="248">
        <v>0</v>
      </c>
      <c r="E205" s="248">
        <v>0</v>
      </c>
      <c r="G205" s="248">
        <f t="shared" si="18"/>
        <v>0</v>
      </c>
      <c r="I205" s="248">
        <v>-89.61</v>
      </c>
      <c r="K205" s="295">
        <f t="shared" si="17"/>
        <v>89.61</v>
      </c>
    </row>
    <row r="206" spans="2:19" ht="17" x14ac:dyDescent="0.2">
      <c r="B206" s="203"/>
      <c r="C206" s="3" t="s">
        <v>452</v>
      </c>
      <c r="E206" s="3" t="s">
        <v>454</v>
      </c>
      <c r="G206" s="25" t="s">
        <v>451</v>
      </c>
      <c r="I206" s="25" t="s">
        <v>39</v>
      </c>
      <c r="K206" s="25">
        <f>SUM(K170:K205)</f>
        <v>-3634.5131314059781</v>
      </c>
    </row>
    <row r="207" spans="2:19" x14ac:dyDescent="0.2">
      <c r="B207" s="203"/>
      <c r="G207" s="25"/>
      <c r="I207" s="25"/>
    </row>
    <row r="208" spans="2:19" x14ac:dyDescent="0.2">
      <c r="B208" s="20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300" t="s">
        <v>405</v>
      </c>
      <c r="C213" s="301">
        <v>0</v>
      </c>
      <c r="N213" s="241"/>
      <c r="O213" s="241"/>
    </row>
    <row r="214" spans="2:15" x14ac:dyDescent="0.2">
      <c r="B214" s="300" t="s">
        <v>406</v>
      </c>
      <c r="C214" s="301">
        <v>0</v>
      </c>
    </row>
    <row r="215" spans="2:15" x14ac:dyDescent="0.2">
      <c r="B215" s="300" t="s">
        <v>407</v>
      </c>
      <c r="C215" s="301">
        <f>Ore_to_PI!AA195</f>
        <v>80616.370239891301</v>
      </c>
    </row>
    <row r="216" spans="2:15" x14ac:dyDescent="0.2">
      <c r="B216" s="300" t="s">
        <v>541</v>
      </c>
      <c r="C216" s="30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300" t="s">
        <v>520</v>
      </c>
      <c r="C217" s="301">
        <f>Ore_to_PI!AS113</f>
        <v>2824.8856477449194</v>
      </c>
    </row>
    <row r="218" spans="2:15" x14ac:dyDescent="0.2">
      <c r="B218" s="300" t="s">
        <v>519</v>
      </c>
      <c r="C218" s="301">
        <f>Ore_to_PI!AS190</f>
        <v>282.1287710315147</v>
      </c>
    </row>
    <row r="219" spans="2:15" x14ac:dyDescent="0.2">
      <c r="B219" s="300" t="s">
        <v>432</v>
      </c>
      <c r="C219" s="301">
        <f>Ore_to_PI!BL35</f>
        <v>12479.249680000003</v>
      </c>
    </row>
    <row r="220" spans="2:15" x14ac:dyDescent="0.2">
      <c r="B220" s="300" t="s">
        <v>429</v>
      </c>
      <c r="C220" s="301">
        <f>Ore_to_PI!BK116</f>
        <v>34.678095164114971</v>
      </c>
    </row>
    <row r="221" spans="2:15" x14ac:dyDescent="0.2">
      <c r="B221" s="300" t="s">
        <v>444</v>
      </c>
      <c r="C221" s="301">
        <f>Ore_to_PI!BK195</f>
        <v>50.358084153937838</v>
      </c>
    </row>
    <row r="222" spans="2:15" x14ac:dyDescent="0.2">
      <c r="B222" s="300" t="s">
        <v>430</v>
      </c>
      <c r="C222" s="301">
        <v>0</v>
      </c>
    </row>
    <row r="223" spans="2:15" x14ac:dyDescent="0.2">
      <c r="B223" s="300" t="s">
        <v>425</v>
      </c>
      <c r="C223" s="301">
        <v>0</v>
      </c>
    </row>
    <row r="224" spans="2:15" x14ac:dyDescent="0.2">
      <c r="B224" s="201" t="s">
        <v>642</v>
      </c>
      <c r="C224" s="301">
        <f>Ore_to_PI!DB229</f>
        <v>33191.859393697465</v>
      </c>
    </row>
    <row r="225" spans="2:11" x14ac:dyDescent="0.2">
      <c r="B225" s="201" t="s">
        <v>645</v>
      </c>
      <c r="C225" s="301">
        <v>0</v>
      </c>
    </row>
    <row r="226" spans="2:11" x14ac:dyDescent="0.2">
      <c r="B226" s="201" t="s">
        <v>81</v>
      </c>
      <c r="C226" s="301">
        <v>0</v>
      </c>
    </row>
    <row r="227" spans="2:11" x14ac:dyDescent="0.2">
      <c r="B227" s="201" t="s">
        <v>417</v>
      </c>
      <c r="C227" s="303">
        <f>Ore_to_PI!ES117</f>
        <v>318930.1042317453</v>
      </c>
    </row>
    <row r="228" spans="2:11" x14ac:dyDescent="0.2">
      <c r="B228" s="203"/>
      <c r="C228" s="302" t="s">
        <v>265</v>
      </c>
    </row>
    <row r="233" spans="2:11" x14ac:dyDescent="0.2">
      <c r="H233" s="169"/>
      <c r="I233" s="169"/>
      <c r="J233" s="169"/>
      <c r="K233" s="169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AC41" s="204"/>
      <c r="AD41" s="204"/>
      <c r="AE41" s="204"/>
    </row>
    <row r="42" spans="10:31" x14ac:dyDescent="0.2">
      <c r="J42" s="201"/>
      <c r="K42" s="220"/>
      <c r="L42" s="220"/>
      <c r="M42" s="220"/>
      <c r="N42" s="220"/>
      <c r="O42" s="220"/>
      <c r="P42" s="220"/>
      <c r="Q42" s="220"/>
      <c r="R42" s="220"/>
      <c r="S42" s="220"/>
      <c r="T42" s="220"/>
      <c r="U42" s="220"/>
      <c r="V42" s="227"/>
      <c r="W42" s="220"/>
      <c r="AB42" s="201"/>
      <c r="AC42" s="205"/>
      <c r="AD42" s="205"/>
      <c r="AE42" s="205"/>
    </row>
    <row r="43" spans="10:31" x14ac:dyDescent="0.2">
      <c r="J43" s="201"/>
      <c r="K43" s="220"/>
      <c r="L43" s="220"/>
      <c r="M43" s="220"/>
      <c r="N43" s="220"/>
      <c r="O43" s="220"/>
      <c r="P43" s="220"/>
      <c r="Q43" s="220"/>
      <c r="R43" s="220"/>
      <c r="S43" s="220"/>
      <c r="T43" s="220"/>
      <c r="U43" s="220"/>
      <c r="V43" s="227"/>
      <c r="W43" s="220"/>
      <c r="AB43" s="201"/>
      <c r="AC43" s="205"/>
      <c r="AD43" s="205"/>
      <c r="AE43" s="205"/>
    </row>
    <row r="44" spans="10:31" x14ac:dyDescent="0.2">
      <c r="J44" s="201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0"/>
      <c r="V44" s="227"/>
      <c r="W44" s="220"/>
      <c r="AB44" s="201"/>
      <c r="AC44" s="205"/>
      <c r="AD44" s="205"/>
      <c r="AE44" s="205"/>
    </row>
    <row r="45" spans="10:31" x14ac:dyDescent="0.2">
      <c r="J45" s="201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20"/>
      <c r="AB45" s="201"/>
      <c r="AC45" s="205"/>
      <c r="AD45" s="205"/>
      <c r="AE45" s="205"/>
    </row>
    <row r="46" spans="10:31" x14ac:dyDescent="0.2">
      <c r="J46" s="201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20"/>
      <c r="AB46" s="201"/>
      <c r="AC46" s="205"/>
      <c r="AD46" s="205"/>
      <c r="AE46" s="205"/>
    </row>
    <row r="47" spans="10:31" x14ac:dyDescent="0.2">
      <c r="J47" s="201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AB47" s="201"/>
      <c r="AC47" s="205"/>
      <c r="AD47" s="226"/>
      <c r="AE47" s="205"/>
    </row>
    <row r="48" spans="10:31" x14ac:dyDescent="0.2">
      <c r="J48" s="201"/>
      <c r="K48" s="220"/>
      <c r="L48" s="220"/>
      <c r="M48" s="220"/>
      <c r="N48" s="220"/>
      <c r="O48" s="220"/>
      <c r="P48" s="227"/>
      <c r="Q48" s="220"/>
      <c r="R48" s="220"/>
      <c r="S48" s="220"/>
      <c r="T48" s="220"/>
      <c r="U48" s="220"/>
      <c r="V48" s="228"/>
      <c r="W48" s="220"/>
      <c r="AB48" s="201"/>
      <c r="AC48" s="205"/>
      <c r="AD48" s="205"/>
      <c r="AE48" s="205"/>
    </row>
    <row r="49" spans="2:35" x14ac:dyDescent="0.2">
      <c r="J49" s="201"/>
      <c r="K49" s="220"/>
      <c r="L49" s="220"/>
      <c r="M49" s="220"/>
      <c r="N49" s="220"/>
      <c r="O49" s="220"/>
      <c r="P49" s="227"/>
      <c r="Q49" s="220"/>
      <c r="R49" s="220"/>
      <c r="S49" s="220"/>
      <c r="T49" s="220"/>
      <c r="U49" s="220"/>
      <c r="V49" s="220"/>
      <c r="W49" s="220"/>
      <c r="AB49" s="201"/>
      <c r="AC49" s="205"/>
      <c r="AD49" s="205"/>
      <c r="AE49" s="205"/>
    </row>
    <row r="50" spans="2:35" x14ac:dyDescent="0.2">
      <c r="J50" s="201"/>
      <c r="K50" s="220"/>
      <c r="L50" s="220"/>
      <c r="M50" s="220"/>
      <c r="N50" s="220"/>
      <c r="O50" s="220"/>
      <c r="P50" s="227"/>
      <c r="Q50" s="220"/>
      <c r="R50" s="220"/>
      <c r="S50" s="220"/>
      <c r="T50" s="220"/>
      <c r="U50" s="220"/>
      <c r="V50" s="220"/>
      <c r="W50" s="220"/>
      <c r="AC50" s="405" t="s">
        <v>410</v>
      </c>
      <c r="AD50" s="405"/>
      <c r="AE50" s="405"/>
    </row>
    <row r="51" spans="2:35" x14ac:dyDescent="0.2"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</row>
    <row r="52" spans="2:35" x14ac:dyDescent="0.2"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</row>
    <row r="53" spans="2:35" x14ac:dyDescent="0.2">
      <c r="K53" s="405" t="s">
        <v>408</v>
      </c>
      <c r="L53" s="405"/>
      <c r="M53" s="405"/>
      <c r="N53" s="405"/>
      <c r="O53" s="405"/>
      <c r="P53" s="405"/>
      <c r="Q53" s="405"/>
      <c r="R53" s="405"/>
      <c r="S53" s="405"/>
      <c r="T53" s="405"/>
      <c r="U53" s="405"/>
      <c r="V53" s="405"/>
      <c r="W53" s="405"/>
      <c r="AD53" s="25"/>
      <c r="AE53" s="25"/>
      <c r="AF53" s="25"/>
      <c r="AG53" s="25"/>
      <c r="AH53" s="25"/>
      <c r="AI53" s="25"/>
    </row>
    <row r="58" spans="2:35" x14ac:dyDescent="0.2">
      <c r="C58" s="406"/>
      <c r="D58" s="406"/>
      <c r="E58" s="231"/>
      <c r="F58" s="231"/>
      <c r="G58" s="231"/>
      <c r="H58" s="231"/>
    </row>
    <row r="59" spans="2:35" x14ac:dyDescent="0.2">
      <c r="C59" s="206"/>
      <c r="D59" s="206"/>
      <c r="E59" s="207"/>
      <c r="F59" s="207"/>
      <c r="G59" s="207"/>
      <c r="H59" s="207"/>
      <c r="I59" s="229"/>
      <c r="J59" s="229"/>
    </row>
    <row r="60" spans="2:35" x14ac:dyDescent="0.2">
      <c r="B60" s="3"/>
      <c r="C60" s="220"/>
      <c r="D60" s="220"/>
      <c r="E60" s="220"/>
      <c r="F60" s="220"/>
      <c r="G60" s="220"/>
      <c r="H60" s="220"/>
      <c r="I60" s="220"/>
      <c r="J60" s="220"/>
    </row>
    <row r="61" spans="2:35" x14ac:dyDescent="0.2">
      <c r="B61" s="3"/>
      <c r="C61" s="220"/>
      <c r="D61" s="220"/>
      <c r="E61" s="220"/>
      <c r="F61" s="220"/>
      <c r="G61" s="220"/>
      <c r="H61" s="220"/>
      <c r="I61" s="220"/>
      <c r="J61" s="220"/>
    </row>
    <row r="62" spans="2:35" x14ac:dyDescent="0.2">
      <c r="B62" s="3"/>
      <c r="C62" s="220"/>
      <c r="D62" s="220"/>
      <c r="E62" s="220"/>
      <c r="F62" s="220"/>
      <c r="G62" s="220"/>
      <c r="H62" s="220"/>
      <c r="I62" s="220"/>
      <c r="J62" s="220"/>
    </row>
    <row r="63" spans="2:35" x14ac:dyDescent="0.2">
      <c r="B63" s="3"/>
      <c r="C63" s="220"/>
      <c r="D63" s="220"/>
      <c r="E63" s="220"/>
      <c r="F63" s="220"/>
      <c r="G63" s="220"/>
      <c r="H63" s="220"/>
      <c r="I63" s="220"/>
      <c r="J63" s="220"/>
    </row>
    <row r="64" spans="2:35" x14ac:dyDescent="0.2">
      <c r="B64" s="3"/>
      <c r="C64" s="220"/>
      <c r="D64" s="220"/>
      <c r="E64" s="220"/>
      <c r="F64" s="220"/>
      <c r="G64" s="220"/>
      <c r="H64" s="220"/>
      <c r="I64" s="220"/>
      <c r="J64" s="220"/>
    </row>
    <row r="65" spans="2:10" x14ac:dyDescent="0.2">
      <c r="B65" s="3"/>
      <c r="C65" s="220"/>
      <c r="D65" s="220"/>
      <c r="E65" s="220"/>
      <c r="F65" s="220"/>
      <c r="G65" s="220"/>
      <c r="H65" s="220"/>
      <c r="I65" s="220"/>
      <c r="J65" s="220"/>
    </row>
    <row r="66" spans="2:10" x14ac:dyDescent="0.2">
      <c r="B66" s="3"/>
      <c r="C66" s="220"/>
      <c r="D66" s="220"/>
      <c r="E66" s="220"/>
      <c r="F66" s="220"/>
      <c r="G66" s="220"/>
      <c r="H66" s="220"/>
      <c r="I66" s="220"/>
      <c r="J66" s="220"/>
    </row>
    <row r="67" spans="2:10" x14ac:dyDescent="0.2">
      <c r="B67" s="3"/>
      <c r="C67" s="220"/>
      <c r="D67" s="220"/>
      <c r="E67" s="220"/>
      <c r="F67" s="220"/>
      <c r="G67" s="220"/>
      <c r="H67" s="228"/>
      <c r="I67" s="220"/>
      <c r="J67" s="220"/>
    </row>
    <row r="68" spans="2:10" x14ac:dyDescent="0.2">
      <c r="B68" s="3"/>
      <c r="C68" s="220"/>
      <c r="D68" s="220"/>
      <c r="E68" s="220"/>
      <c r="F68" s="220"/>
      <c r="G68" s="220"/>
      <c r="H68" s="220"/>
      <c r="I68" s="220"/>
      <c r="J68" s="220"/>
    </row>
    <row r="69" spans="2:10" x14ac:dyDescent="0.2">
      <c r="B69" s="3"/>
      <c r="C69" s="220"/>
      <c r="D69" s="220"/>
      <c r="E69" s="220"/>
      <c r="F69" s="220"/>
      <c r="G69" s="220"/>
      <c r="H69" s="220"/>
      <c r="I69" s="220"/>
      <c r="J69" s="220"/>
    </row>
    <row r="70" spans="2:10" x14ac:dyDescent="0.2">
      <c r="B70" s="3"/>
      <c r="C70" s="220"/>
      <c r="D70" s="220"/>
      <c r="E70" s="220"/>
      <c r="F70" s="220"/>
      <c r="G70" s="220"/>
      <c r="H70" s="220"/>
      <c r="I70" s="220"/>
      <c r="J70" s="220"/>
    </row>
    <row r="71" spans="2:10" x14ac:dyDescent="0.2">
      <c r="B71" s="3"/>
      <c r="C71" s="220"/>
      <c r="D71" s="220"/>
      <c r="E71" s="220"/>
      <c r="F71" s="220"/>
      <c r="G71" s="220"/>
      <c r="H71" s="228"/>
      <c r="I71" s="220"/>
      <c r="J71" s="220"/>
    </row>
    <row r="72" spans="2:10" x14ac:dyDescent="0.2">
      <c r="B72" s="3"/>
      <c r="C72" s="220"/>
      <c r="D72" s="220"/>
      <c r="E72" s="220"/>
      <c r="F72" s="220"/>
      <c r="G72" s="220"/>
      <c r="H72" s="220"/>
      <c r="I72" s="220"/>
      <c r="J72" s="220"/>
    </row>
    <row r="73" spans="2:10" x14ac:dyDescent="0.2">
      <c r="C73" s="405" t="s">
        <v>409</v>
      </c>
      <c r="D73" s="405"/>
      <c r="E73" s="405"/>
      <c r="F73" s="405"/>
      <c r="G73" s="405"/>
      <c r="H73" s="405"/>
      <c r="I73" s="405"/>
      <c r="J73" s="405"/>
    </row>
    <row r="86" spans="2:7" x14ac:dyDescent="0.2">
      <c r="C86" s="204"/>
      <c r="D86" s="204"/>
      <c r="E86" s="204"/>
      <c r="F86" s="204"/>
      <c r="G86" s="204"/>
    </row>
    <row r="87" spans="2:7" x14ac:dyDescent="0.2">
      <c r="B87" s="201" t="s">
        <v>278</v>
      </c>
      <c r="C87" s="205"/>
      <c r="D87" s="205"/>
      <c r="E87" s="205"/>
      <c r="F87" s="205"/>
      <c r="G87" s="205"/>
    </row>
    <row r="88" spans="2:7" x14ac:dyDescent="0.2">
      <c r="B88" s="201" t="s">
        <v>423</v>
      </c>
      <c r="C88" s="205"/>
      <c r="D88" s="205"/>
      <c r="E88" s="205"/>
      <c r="F88" s="205"/>
      <c r="G88" s="205"/>
    </row>
    <row r="89" spans="2:7" x14ac:dyDescent="0.2">
      <c r="B89" s="201" t="s">
        <v>424</v>
      </c>
      <c r="C89" s="205"/>
      <c r="D89" s="205"/>
      <c r="E89" s="205"/>
      <c r="F89" s="205"/>
      <c r="G89" s="205"/>
    </row>
    <row r="90" spans="2:7" x14ac:dyDescent="0.2">
      <c r="C90" s="205"/>
      <c r="D90" s="205"/>
      <c r="E90" s="205"/>
      <c r="F90" s="226"/>
      <c r="G90" s="205"/>
    </row>
    <row r="91" spans="2:7" x14ac:dyDescent="0.2">
      <c r="C91" s="205"/>
      <c r="D91" s="205"/>
      <c r="E91" s="205"/>
      <c r="F91" s="205"/>
      <c r="G91" s="205"/>
    </row>
    <row r="92" spans="2:7" x14ac:dyDescent="0.2">
      <c r="C92" s="405" t="s">
        <v>57</v>
      </c>
      <c r="D92" s="405"/>
      <c r="E92" s="405"/>
      <c r="F92" s="405"/>
      <c r="G92" s="405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25" t="s">
        <v>314</v>
      </c>
      <c r="E2" s="325"/>
      <c r="F2" s="325"/>
      <c r="G2" s="325"/>
      <c r="V2" s="164"/>
    </row>
    <row r="3" spans="2:22" x14ac:dyDescent="0.2">
      <c r="B3" s="3"/>
      <c r="C3" s="3"/>
      <c r="D3" s="408" t="s">
        <v>82</v>
      </c>
      <c r="E3" s="408"/>
      <c r="F3" s="408"/>
      <c r="G3" s="408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413" t="s">
        <v>4</v>
      </c>
      <c r="C4" s="3"/>
      <c r="D4" s="193" t="s">
        <v>361</v>
      </c>
      <c r="E4" s="193" t="s">
        <v>189</v>
      </c>
      <c r="F4" s="193" t="s">
        <v>176</v>
      </c>
      <c r="G4" s="193" t="s">
        <v>347</v>
      </c>
      <c r="I4" s="3"/>
      <c r="K4" s="3"/>
      <c r="L4" s="3"/>
      <c r="O4" s="164"/>
      <c r="P4" s="164"/>
      <c r="Q4" s="164"/>
      <c r="R4" s="410" t="s">
        <v>352</v>
      </c>
      <c r="S4" s="410"/>
      <c r="T4" s="410"/>
      <c r="U4" s="410"/>
      <c r="V4" s="164"/>
    </row>
    <row r="5" spans="2:22" ht="14.5" customHeight="1" x14ac:dyDescent="0.2">
      <c r="B5" s="413"/>
      <c r="C5" s="145" t="s">
        <v>338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4"/>
      <c r="P5" s="164"/>
      <c r="Q5" s="164"/>
      <c r="R5" s="410"/>
      <c r="S5" s="410"/>
      <c r="T5" s="410"/>
      <c r="U5" s="410"/>
      <c r="V5" s="164"/>
    </row>
    <row r="6" spans="2:22" x14ac:dyDescent="0.2">
      <c r="B6" s="413"/>
      <c r="C6" s="147" t="s">
        <v>612</v>
      </c>
      <c r="D6" s="3">
        <f>Rational_MEROI_Iron</f>
        <v>1.1602561161065021</v>
      </c>
      <c r="E6" s="3">
        <f>Rational_IronExtraction</f>
        <v>0.54834789034775577</v>
      </c>
      <c r="F6" s="3">
        <f>Rational_IronHauling</f>
        <v>0.15191900995389168</v>
      </c>
      <c r="G6" s="3">
        <f>Rational_IronBeneficiation</f>
        <v>0.9084965360427989</v>
      </c>
      <c r="I6" s="3"/>
      <c r="K6" s="3"/>
      <c r="L6" s="3"/>
      <c r="O6" s="164"/>
      <c r="P6" s="164"/>
      <c r="Q6" s="164"/>
      <c r="R6" s="410"/>
      <c r="S6" s="410"/>
      <c r="T6" s="410"/>
      <c r="U6" s="410"/>
      <c r="V6" s="164"/>
    </row>
    <row r="7" spans="2:22" ht="16" thickBot="1" x14ac:dyDescent="0.25">
      <c r="B7" s="413"/>
      <c r="C7" s="146" t="s">
        <v>397</v>
      </c>
      <c r="D7" s="163">
        <f>Resource_MEROI_Iron</f>
        <v>0.97422228752096129</v>
      </c>
      <c r="E7" s="3">
        <f>Resource_IronExtraction</f>
        <v>0.4504526211892465</v>
      </c>
      <c r="F7" s="3">
        <f>Resource_IronHauling</f>
        <v>0.12756053024900801</v>
      </c>
      <c r="G7" s="3">
        <f>Resource_IronBeneficiation</f>
        <v>0.75440225157720575</v>
      </c>
      <c r="I7" s="3"/>
      <c r="K7" s="3"/>
      <c r="L7" s="3"/>
      <c r="O7" s="164"/>
      <c r="P7" s="164"/>
      <c r="Q7" s="164"/>
      <c r="R7" s="411"/>
      <c r="S7" s="411"/>
      <c r="T7" s="411"/>
      <c r="U7" s="411"/>
      <c r="V7" s="164"/>
    </row>
    <row r="8" spans="2:22" x14ac:dyDescent="0.2">
      <c r="C8" s="132" t="s">
        <v>334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410" t="s">
        <v>351</v>
      </c>
      <c r="Q8" s="426"/>
      <c r="R8" s="428" t="s">
        <v>338</v>
      </c>
      <c r="S8" s="429"/>
      <c r="T8" s="414" t="s">
        <v>397</v>
      </c>
      <c r="U8" s="415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410"/>
      <c r="Q9" s="426"/>
      <c r="R9" s="430"/>
      <c r="S9" s="431"/>
      <c r="T9" s="416"/>
      <c r="U9" s="417"/>
      <c r="V9" s="164"/>
    </row>
    <row r="10" spans="2:22" x14ac:dyDescent="0.2">
      <c r="L10" s="3"/>
      <c r="M10" s="3"/>
      <c r="O10" s="164"/>
      <c r="P10" s="410"/>
      <c r="Q10" s="426"/>
      <c r="R10" s="430"/>
      <c r="S10" s="431"/>
      <c r="T10" s="416"/>
      <c r="U10" s="417"/>
      <c r="V10" s="164"/>
    </row>
    <row r="11" spans="2:22" x14ac:dyDescent="0.2">
      <c r="B11" s="3"/>
      <c r="C11" s="3"/>
      <c r="D11" s="325" t="s">
        <v>314</v>
      </c>
      <c r="E11" s="325"/>
      <c r="F11" s="325"/>
      <c r="G11" s="325"/>
      <c r="H11" s="325"/>
      <c r="L11" s="3"/>
      <c r="M11" s="3"/>
      <c r="O11" s="164"/>
      <c r="P11" s="410"/>
      <c r="Q11" s="426"/>
      <c r="R11" s="430"/>
      <c r="S11" s="431"/>
      <c r="T11" s="416"/>
      <c r="U11" s="417"/>
      <c r="V11" s="164"/>
    </row>
    <row r="12" spans="2:22" x14ac:dyDescent="0.2">
      <c r="B12" s="3"/>
      <c r="C12" s="3"/>
      <c r="D12" s="408" t="s">
        <v>82</v>
      </c>
      <c r="E12" s="408"/>
      <c r="F12" s="408"/>
      <c r="G12" s="408"/>
      <c r="H12" s="408"/>
      <c r="L12" s="3"/>
      <c r="M12" s="3"/>
      <c r="O12" s="164"/>
      <c r="P12" s="427" t="s">
        <v>396</v>
      </c>
      <c r="Q12" s="426"/>
      <c r="R12" s="422" t="s">
        <v>313</v>
      </c>
      <c r="S12" s="423"/>
      <c r="T12" s="418" t="s">
        <v>612</v>
      </c>
      <c r="U12" s="419"/>
      <c r="V12" s="164"/>
    </row>
    <row r="13" spans="2:22" ht="14.5" customHeight="1" x14ac:dyDescent="0.2">
      <c r="B13" s="412" t="s">
        <v>20</v>
      </c>
      <c r="C13" s="3"/>
      <c r="D13" s="194" t="s">
        <v>361</v>
      </c>
      <c r="E13" s="194" t="s">
        <v>189</v>
      </c>
      <c r="F13" s="194" t="s">
        <v>176</v>
      </c>
      <c r="G13" s="194" t="s">
        <v>347</v>
      </c>
      <c r="H13" s="194" t="s">
        <v>348</v>
      </c>
      <c r="J13" s="3"/>
      <c r="L13" s="3"/>
      <c r="M13" s="3"/>
      <c r="O13" s="164"/>
      <c r="P13" s="410"/>
      <c r="Q13" s="426"/>
      <c r="R13" s="422"/>
      <c r="S13" s="423"/>
      <c r="T13" s="418"/>
      <c r="U13" s="419"/>
      <c r="V13" s="164"/>
    </row>
    <row r="14" spans="2:22" x14ac:dyDescent="0.2">
      <c r="B14" s="412"/>
      <c r="C14" s="145" t="s">
        <v>338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410"/>
      <c r="Q14" s="426"/>
      <c r="R14" s="422"/>
      <c r="S14" s="423"/>
      <c r="T14" s="418"/>
      <c r="U14" s="419"/>
      <c r="V14" s="164"/>
    </row>
    <row r="15" spans="2:22" ht="16" thickBot="1" x14ac:dyDescent="0.25">
      <c r="B15" s="412"/>
      <c r="C15" s="147" t="s">
        <v>612</v>
      </c>
      <c r="D15" s="3">
        <f>Rational_MEROI_Limestone</f>
        <v>25394.240916408646</v>
      </c>
      <c r="E15" s="3">
        <f>Rational_LimeExtraction</f>
        <v>0.98926908455007689</v>
      </c>
      <c r="F15" s="3">
        <f>Rational_LimeHauling</f>
        <v>0.89989464623142024</v>
      </c>
      <c r="G15" s="3">
        <f>Rational_LimeBeneficiation</f>
        <v>0.99885105550639652</v>
      </c>
      <c r="H15" s="3">
        <f>Rational_Kiln</f>
        <v>3.091879127893386E-2</v>
      </c>
      <c r="J15" s="3"/>
      <c r="L15" s="3"/>
      <c r="M15" s="3"/>
      <c r="O15" s="164"/>
      <c r="P15" s="410"/>
      <c r="Q15" s="426"/>
      <c r="R15" s="424"/>
      <c r="S15" s="425"/>
      <c r="T15" s="420"/>
      <c r="U15" s="421"/>
      <c r="V15" s="164"/>
    </row>
    <row r="16" spans="2:22" x14ac:dyDescent="0.2">
      <c r="B16" s="412"/>
      <c r="C16" s="146" t="s">
        <v>397</v>
      </c>
      <c r="D16" s="163">
        <f>Resource_MEROI_Limestone</f>
        <v>22010.978428607345</v>
      </c>
      <c r="E16" s="3">
        <f>Resource_LimeExtraction</f>
        <v>0.85722484529662279</v>
      </c>
      <c r="F16" s="3">
        <f>Resource_LimeHauling</f>
        <v>0.78000211588999502</v>
      </c>
      <c r="G16" s="3">
        <f>Resource_LimeBeneficiation</f>
        <v>0.86577461041321313</v>
      </c>
      <c r="H16" s="3">
        <f>Resource_Kiln</f>
        <v>2.2384370405662918E-4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334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25" t="s">
        <v>314</v>
      </c>
      <c r="E19" s="325"/>
      <c r="F19" s="325"/>
      <c r="G19" s="325"/>
      <c r="L19" s="3"/>
      <c r="M19" s="3"/>
    </row>
    <row r="20" spans="2:13" x14ac:dyDescent="0.2">
      <c r="B20" s="3"/>
      <c r="C20" s="3"/>
      <c r="D20" s="408" t="s">
        <v>82</v>
      </c>
      <c r="E20" s="408"/>
      <c r="F20" s="408"/>
      <c r="G20" s="408"/>
      <c r="K20" s="3"/>
      <c r="L20" s="3"/>
    </row>
    <row r="21" spans="2:13" x14ac:dyDescent="0.2">
      <c r="B21" s="409" t="s">
        <v>350</v>
      </c>
      <c r="C21" s="3"/>
      <c r="D21" s="154" t="s">
        <v>361</v>
      </c>
      <c r="E21" s="154" t="s">
        <v>189</v>
      </c>
      <c r="F21" s="154" t="s">
        <v>176</v>
      </c>
      <c r="G21" s="154" t="s">
        <v>372</v>
      </c>
      <c r="I21" s="3"/>
      <c r="K21" s="3"/>
      <c r="L21" s="3"/>
    </row>
    <row r="22" spans="2:13" x14ac:dyDescent="0.2">
      <c r="B22" s="409"/>
      <c r="C22" s="145" t="s">
        <v>338</v>
      </c>
      <c r="D22" s="3">
        <f>Bejan_MEROI_Coal</f>
        <v>109.11285414380214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09"/>
      <c r="C23" s="147" t="s">
        <v>612</v>
      </c>
      <c r="D23" s="3">
        <f>Rational_MEROI_Coal</f>
        <v>109.79233724881615</v>
      </c>
      <c r="E23" s="3">
        <f>Rational_CoalExtraction</f>
        <v>0.98904119275539903</v>
      </c>
      <c r="F23" s="3">
        <f>Rational_CoalHauling</f>
        <v>0.99996814476425233</v>
      </c>
      <c r="G23" s="3">
        <f>Rational_Cokeoven</f>
        <v>0.60230735828677828</v>
      </c>
      <c r="I23" s="3"/>
      <c r="K23" s="3"/>
      <c r="L23" s="3"/>
    </row>
    <row r="24" spans="2:13" x14ac:dyDescent="0.2">
      <c r="B24" s="409"/>
      <c r="C24" s="146" t="s">
        <v>397</v>
      </c>
      <c r="D24" s="163">
        <f>Resource_MEROI_Coal</f>
        <v>109.79233073405253</v>
      </c>
      <c r="E24" s="3">
        <f>Resource_CoalExtraction</f>
        <v>0.98838817763635167</v>
      </c>
      <c r="F24" s="3">
        <f>Resource_CoalHauling</f>
        <v>0.99937548336990578</v>
      </c>
      <c r="G24" s="3">
        <f>Resource_CokeBeneficiation</f>
        <v>0.32917976309123737</v>
      </c>
      <c r="I24" s="3"/>
    </row>
    <row r="25" spans="2:13" x14ac:dyDescent="0.2">
      <c r="C25" s="132" t="s">
        <v>334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07" t="s">
        <v>393</v>
      </c>
      <c r="D30" s="192" t="s">
        <v>81</v>
      </c>
      <c r="E30" s="192" t="s">
        <v>349</v>
      </c>
    </row>
    <row r="31" spans="2:13" x14ac:dyDescent="0.2">
      <c r="B31" s="407"/>
      <c r="C31" s="145" t="s">
        <v>338</v>
      </c>
      <c r="D31" s="3" t="s">
        <v>98</v>
      </c>
      <c r="E31" s="3" t="str">
        <f>Bejan_BF</f>
        <v>[-]</v>
      </c>
    </row>
    <row r="32" spans="2:13" x14ac:dyDescent="0.2">
      <c r="B32" s="407"/>
      <c r="C32" s="147" t="s">
        <v>612</v>
      </c>
      <c r="D32" s="3">
        <f>Rational_mixer</f>
        <v>0.99243862980242414</v>
      </c>
      <c r="E32" s="3">
        <f>Rational_BF</f>
        <v>0.3806036077801323</v>
      </c>
    </row>
    <row r="33" spans="2:5" x14ac:dyDescent="0.2">
      <c r="B33" s="407"/>
      <c r="C33" s="146" t="s">
        <v>397</v>
      </c>
      <c r="D33" s="3">
        <f>Resource_Mixer</f>
        <v>1.1245286096249765E-2</v>
      </c>
      <c r="E33" s="3">
        <f>Resource_BF</f>
        <v>0.34027890919062509</v>
      </c>
    </row>
    <row r="34" spans="2:5" x14ac:dyDescent="0.2">
      <c r="C34" s="132" t="s">
        <v>334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611</v>
      </c>
    </row>
    <row r="38" spans="2:5" ht="18" x14ac:dyDescent="0.25">
      <c r="B38" s="294" t="s">
        <v>610</v>
      </c>
      <c r="C38" s="3">
        <f>E_tot/(Ore_to_PI!FL126/1000)</f>
        <v>1709947857.6107066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2" t="s">
        <v>353</v>
      </c>
      <c r="F3" s="432"/>
      <c r="G3" s="432"/>
      <c r="H3"/>
      <c r="I3"/>
      <c r="L3" s="405" t="s">
        <v>435</v>
      </c>
      <c r="M3" s="405"/>
      <c r="N3" s="405"/>
      <c r="P3"/>
      <c r="T3" s="169" t="s">
        <v>434</v>
      </c>
    </row>
    <row r="4" spans="3:20" ht="16" thickBot="1" x14ac:dyDescent="0.25">
      <c r="E4" s="408" t="s">
        <v>11</v>
      </c>
      <c r="F4" s="408"/>
      <c r="G4" s="408"/>
      <c r="H4"/>
      <c r="I4"/>
      <c r="L4" s="408" t="s">
        <v>48</v>
      </c>
      <c r="M4" s="408"/>
      <c r="N4" s="408"/>
      <c r="P4"/>
      <c r="T4" s="3" t="s">
        <v>48</v>
      </c>
    </row>
    <row r="5" spans="3:20" ht="14.5" customHeight="1" thickBot="1" x14ac:dyDescent="0.25">
      <c r="C5" s="413" t="s">
        <v>4</v>
      </c>
      <c r="E5" s="150" t="s">
        <v>347</v>
      </c>
      <c r="F5" s="151" t="s">
        <v>81</v>
      </c>
      <c r="G5" s="152" t="s">
        <v>349</v>
      </c>
      <c r="L5" s="193" t="s">
        <v>189</v>
      </c>
      <c r="M5" s="193" t="s">
        <v>176</v>
      </c>
      <c r="N5" s="193" t="s">
        <v>347</v>
      </c>
      <c r="T5" s="225">
        <f>Ore_to_PI!EP131+Ore_to_PI!DU131+Ore_to_PI!CD130+Ore_to_PI!BK130+Ore_to_PI!AR130+Ore_to_PI!X130+Ore_to_PI!X46+Ore_to_PI!AQ46+Ore_to_PI!BJ46+Ore_to_PI!CE210+Ore_to_PI!AR210+Ore_to_PI!Y210+Ore_to_PI!CZ237+Ore_to_PI!CE210</f>
        <v>1073280789.1622852</v>
      </c>
    </row>
    <row r="6" spans="3:20" x14ac:dyDescent="0.2">
      <c r="C6" s="413"/>
      <c r="D6" s="153" t="s">
        <v>354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2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413"/>
      <c r="D7" s="153" t="s">
        <v>23</v>
      </c>
      <c r="E7" s="3">
        <f>0</f>
        <v>0</v>
      </c>
      <c r="F7" s="3" t="s">
        <v>98</v>
      </c>
      <c r="G7" s="3">
        <f>BF_CO2Waste</f>
        <v>894.77425815618358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05" t="s">
        <v>435</v>
      </c>
      <c r="M9" s="405"/>
      <c r="N9" s="405"/>
      <c r="O9" s="405"/>
    </row>
    <row r="10" spans="3:20" x14ac:dyDescent="0.2">
      <c r="E10" s="432" t="s">
        <v>353</v>
      </c>
      <c r="F10" s="432"/>
      <c r="L10" s="408" t="s">
        <v>48</v>
      </c>
      <c r="M10" s="408"/>
      <c r="N10" s="408"/>
      <c r="O10" s="408"/>
    </row>
    <row r="11" spans="3:20" x14ac:dyDescent="0.2">
      <c r="E11" s="408" t="s">
        <v>11</v>
      </c>
      <c r="F11" s="408"/>
      <c r="L11" s="194" t="s">
        <v>189</v>
      </c>
      <c r="M11" s="194" t="s">
        <v>176</v>
      </c>
      <c r="N11" s="194" t="s">
        <v>347</v>
      </c>
      <c r="O11" s="194" t="s">
        <v>348</v>
      </c>
      <c r="P11"/>
    </row>
    <row r="12" spans="3:20" x14ac:dyDescent="0.2">
      <c r="C12" s="412" t="s">
        <v>20</v>
      </c>
      <c r="E12" s="148" t="s">
        <v>347</v>
      </c>
      <c r="F12" s="149" t="s">
        <v>348</v>
      </c>
      <c r="K12" s="223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33186864.910289507</v>
      </c>
      <c r="P12"/>
    </row>
    <row r="13" spans="3:20" ht="14.5" customHeight="1" x14ac:dyDescent="0.2">
      <c r="C13" s="412"/>
      <c r="D13" s="153" t="s">
        <v>354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412"/>
      <c r="D14" s="153" t="s">
        <v>23</v>
      </c>
      <c r="E14" s="3" t="s">
        <v>98</v>
      </c>
      <c r="F14" s="3">
        <f>Kiln_H2OWaste</f>
        <v>46711.101435505501</v>
      </c>
      <c r="L14" s="405" t="s">
        <v>435</v>
      </c>
      <c r="M14" s="405"/>
      <c r="N14" s="405"/>
    </row>
    <row r="15" spans="3:20" x14ac:dyDescent="0.2">
      <c r="C15" s="412"/>
      <c r="D15" s="3" t="s">
        <v>19</v>
      </c>
      <c r="E15" s="17">
        <f>SUM(E13:E14)</f>
        <v>0</v>
      </c>
      <c r="F15" s="17">
        <f>SUM(F13:F14)</f>
        <v>46716.086188050598</v>
      </c>
      <c r="L15" s="408" t="s">
        <v>48</v>
      </c>
      <c r="M15" s="408"/>
      <c r="N15" s="408"/>
    </row>
    <row r="16" spans="3:20" x14ac:dyDescent="0.2">
      <c r="L16" s="154" t="s">
        <v>189</v>
      </c>
      <c r="M16" s="154" t="s">
        <v>176</v>
      </c>
      <c r="N16" s="154" t="s">
        <v>372</v>
      </c>
    </row>
    <row r="17" spans="3:16" x14ac:dyDescent="0.2">
      <c r="K17" s="224" t="s">
        <v>350</v>
      </c>
      <c r="L17" s="3">
        <f>B_lost_coal_ext</f>
        <v>598.81969608995871</v>
      </c>
      <c r="M17" s="3">
        <f>B_lost_coal_haul</f>
        <v>282.12877103127539</v>
      </c>
      <c r="N17" s="3">
        <f>B_lost_coke_oven</f>
        <v>8697712.4326661415</v>
      </c>
    </row>
    <row r="18" spans="3:16" x14ac:dyDescent="0.2">
      <c r="E18" s="169" t="s">
        <v>353</v>
      </c>
    </row>
    <row r="19" spans="3:16" ht="17" x14ac:dyDescent="0.25">
      <c r="E19" s="28" t="s">
        <v>11</v>
      </c>
      <c r="L19" s="405" t="s">
        <v>435</v>
      </c>
      <c r="M19" s="405"/>
    </row>
    <row r="20" spans="3:16" x14ac:dyDescent="0.2">
      <c r="C20" s="409" t="s">
        <v>350</v>
      </c>
      <c r="E20" s="154" t="s">
        <v>347</v>
      </c>
      <c r="L20" s="408" t="s">
        <v>48</v>
      </c>
      <c r="M20" s="408"/>
    </row>
    <row r="21" spans="3:16" ht="14.5" customHeight="1" x14ac:dyDescent="0.2">
      <c r="C21" s="409"/>
      <c r="D21" s="153" t="s">
        <v>354</v>
      </c>
      <c r="E21" s="3">
        <f>Beneficiation_CoalWaste</f>
        <v>25.253201846716312</v>
      </c>
      <c r="L21" s="192" t="s">
        <v>81</v>
      </c>
      <c r="M21" s="192" t="s">
        <v>349</v>
      </c>
      <c r="P21"/>
    </row>
    <row r="22" spans="3:16" ht="17" customHeight="1" x14ac:dyDescent="0.25">
      <c r="C22" s="409"/>
      <c r="D22" s="153" t="s">
        <v>23</v>
      </c>
      <c r="E22" s="3" t="s">
        <v>98</v>
      </c>
      <c r="K22" s="221" t="s">
        <v>393</v>
      </c>
      <c r="L22" s="3">
        <f>B_lost_mixer</f>
        <v>0</v>
      </c>
      <c r="M22" s="3">
        <f>B_lost_blast_furnace</f>
        <v>492730.72808434837</v>
      </c>
    </row>
    <row r="23" spans="3:16" x14ac:dyDescent="0.2">
      <c r="C23" s="409"/>
      <c r="D23" s="3" t="s">
        <v>19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24" t="s">
        <v>70</v>
      </c>
      <c r="I2" s="324"/>
      <c r="J2" s="324"/>
      <c r="K2" s="324"/>
      <c r="L2" s="324"/>
      <c r="M2" s="324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24" t="s">
        <v>74</v>
      </c>
      <c r="I3" s="324"/>
      <c r="J3" s="324"/>
      <c r="K3" s="13"/>
      <c r="L3" s="343" t="s">
        <v>75</v>
      </c>
      <c r="M3" s="343"/>
      <c r="N3" s="7"/>
      <c r="AN3" s="434" t="s">
        <v>78</v>
      </c>
      <c r="AO3" s="434"/>
      <c r="AP3" s="434"/>
      <c r="AQ3" s="434"/>
      <c r="AR3" s="434"/>
      <c r="AS3" s="434"/>
      <c r="AT3" s="434"/>
      <c r="AU3" s="434"/>
      <c r="AV3" s="434"/>
      <c r="AW3" s="434"/>
      <c r="AX3" s="434"/>
      <c r="AY3" s="434"/>
      <c r="AZ3" s="434"/>
      <c r="BA3" s="434"/>
      <c r="BB3" s="434"/>
      <c r="BC3" s="434"/>
      <c r="BD3" s="434"/>
      <c r="BE3" s="434"/>
      <c r="BF3" s="434"/>
      <c r="BG3" s="434"/>
      <c r="BH3" s="434"/>
      <c r="BI3" s="434"/>
      <c r="BJ3" s="434"/>
      <c r="BK3" s="434"/>
    </row>
    <row r="4" spans="3:69" ht="17" x14ac:dyDescent="0.25">
      <c r="C4" s="13" t="s">
        <v>11</v>
      </c>
      <c r="D4" s="13" t="s">
        <v>76</v>
      </c>
      <c r="E4" s="13"/>
      <c r="F4" s="13"/>
      <c r="AN4" s="434"/>
      <c r="AO4" s="434"/>
      <c r="AP4" s="434"/>
      <c r="AQ4" s="434"/>
      <c r="AR4" s="434"/>
      <c r="AS4" s="434"/>
      <c r="AT4" s="434"/>
      <c r="AU4" s="434"/>
      <c r="AV4" s="434"/>
      <c r="AW4" s="434"/>
      <c r="AX4" s="434"/>
      <c r="AY4" s="434"/>
      <c r="AZ4" s="434"/>
      <c r="BA4" s="434"/>
      <c r="BB4" s="434"/>
      <c r="BC4" s="434"/>
      <c r="BD4" s="434"/>
      <c r="BE4" s="434"/>
      <c r="BF4" s="434"/>
      <c r="BG4" s="434"/>
      <c r="BH4" s="434"/>
      <c r="BI4" s="434"/>
      <c r="BJ4" s="434"/>
      <c r="BK4" s="434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24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24"/>
      <c r="J5" s="324"/>
      <c r="K5" s="324"/>
      <c r="L5" s="324"/>
      <c r="M5" s="324"/>
      <c r="AN5" s="434"/>
      <c r="AO5" s="434"/>
      <c r="AP5" s="434"/>
      <c r="AQ5" s="434"/>
      <c r="AR5" s="434"/>
      <c r="AS5" s="434"/>
      <c r="AT5" s="434"/>
      <c r="AU5" s="434"/>
      <c r="AV5" s="434"/>
      <c r="AW5" s="434"/>
      <c r="AX5" s="434"/>
      <c r="AY5" s="434"/>
      <c r="AZ5" s="434"/>
      <c r="BA5" s="434"/>
      <c r="BB5" s="434"/>
      <c r="BC5" s="434"/>
      <c r="BD5" s="434"/>
      <c r="BE5" s="434"/>
      <c r="BF5" s="434"/>
      <c r="BG5" s="434"/>
      <c r="BH5" s="434"/>
      <c r="BI5" s="434"/>
      <c r="BJ5" s="434"/>
      <c r="BK5" s="434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33">
        <v>6</v>
      </c>
      <c r="BJ10" s="433"/>
      <c r="BK10" s="433"/>
      <c r="BL10" s="433"/>
      <c r="BM10" s="433"/>
      <c r="BN10" s="433"/>
      <c r="BO10" s="433"/>
      <c r="BP10" s="433"/>
      <c r="BQ10" s="433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33"/>
      <c r="BJ11" s="433"/>
      <c r="BK11" s="433"/>
      <c r="BL11" s="433"/>
      <c r="BM11" s="433"/>
      <c r="BN11" s="433"/>
      <c r="BO11" s="433"/>
      <c r="BP11" s="433"/>
      <c r="BQ11" s="433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35" t="s">
        <v>112</v>
      </c>
    </row>
    <row r="18" spans="3:87" ht="18.5" customHeight="1" x14ac:dyDescent="0.25">
      <c r="BI18" s="435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35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35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35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35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39">
        <v>1</v>
      </c>
      <c r="D28" s="439"/>
      <c r="E28" s="439"/>
      <c r="F28" s="439"/>
      <c r="G28" s="439"/>
      <c r="H28" s="439"/>
      <c r="I28" s="439"/>
      <c r="J28" s="439"/>
      <c r="K28" s="439"/>
      <c r="L28" s="439"/>
      <c r="M28" s="439"/>
      <c r="N28" s="439"/>
      <c r="O28" s="439"/>
      <c r="P28" s="1"/>
      <c r="Q28" s="1"/>
      <c r="R28" s="1"/>
      <c r="S28" s="1"/>
      <c r="T28" s="1"/>
      <c r="U28" s="1"/>
      <c r="V28" s="1"/>
      <c r="W28" s="438">
        <v>3</v>
      </c>
      <c r="X28" s="438"/>
      <c r="Y28" s="438"/>
      <c r="Z28" s="438"/>
      <c r="AA28" s="438"/>
      <c r="AB28" s="438"/>
      <c r="AC28" s="438"/>
      <c r="AD28" s="438"/>
      <c r="AE28" s="438"/>
      <c r="AF28" s="438"/>
      <c r="AG28" s="43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39">
        <v>4</v>
      </c>
      <c r="AU28" s="439"/>
      <c r="AV28" s="439"/>
      <c r="AW28" s="439"/>
      <c r="AX28" s="439"/>
      <c r="AY28" s="439"/>
      <c r="AZ28" s="439"/>
      <c r="BA28" s="439"/>
      <c r="BB28" s="439"/>
      <c r="BC28" s="439"/>
      <c r="BD28" s="439"/>
      <c r="BE28" s="439"/>
      <c r="BF28" s="439"/>
      <c r="BG28" s="439"/>
      <c r="BH28" s="439"/>
      <c r="BI28" s="439"/>
      <c r="BT28" s="439">
        <v>5</v>
      </c>
      <c r="BU28" s="439"/>
      <c r="BV28" s="439"/>
      <c r="BW28" s="439"/>
      <c r="BX28" s="439"/>
      <c r="BY28" s="439"/>
      <c r="BZ28" s="439"/>
      <c r="CA28" s="439"/>
      <c r="CB28" s="439"/>
      <c r="CC28" s="439"/>
      <c r="CD28" s="439"/>
      <c r="CE28" s="439"/>
      <c r="CF28" s="439"/>
      <c r="CG28" s="439"/>
      <c r="CH28" s="439"/>
      <c r="CI28" s="439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342</v>
      </c>
      <c r="P31" s="161" t="s">
        <v>319</v>
      </c>
      <c r="Q31" s="161" t="s">
        <v>313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343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37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37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37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37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36" t="s">
        <v>80</v>
      </c>
      <c r="AK37" s="436"/>
      <c r="AL37" s="436"/>
      <c r="AM37" s="436"/>
      <c r="AN37" s="436"/>
      <c r="AO37" s="436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36" t="s">
        <v>81</v>
      </c>
      <c r="S38" s="436"/>
      <c r="T38" s="436"/>
      <c r="U38" s="436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36"/>
      <c r="AK38" s="436"/>
      <c r="AL38" s="436"/>
      <c r="AM38" s="436"/>
      <c r="AN38" s="436"/>
      <c r="AO38" s="436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3437.8613375431123</v>
      </c>
      <c r="BL38" s="436" t="s">
        <v>97</v>
      </c>
      <c r="BM38" s="436"/>
      <c r="BN38" s="436"/>
      <c r="BO38" s="436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36"/>
      <c r="S39" s="436"/>
      <c r="T39" s="436"/>
      <c r="U39" s="436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36"/>
      <c r="AK39" s="436"/>
      <c r="AL39" s="436"/>
      <c r="AM39" s="436"/>
      <c r="AN39" s="436"/>
      <c r="AO39" s="436"/>
      <c r="AP39" s="51"/>
      <c r="AQ39" s="51"/>
      <c r="AR39" s="1"/>
      <c r="AS39" s="1"/>
      <c r="AT39" s="1"/>
      <c r="AU39" s="1"/>
      <c r="AV39" s="1"/>
      <c r="AW39" s="1"/>
      <c r="AX39" s="1"/>
      <c r="BL39" s="436"/>
      <c r="BM39" s="436"/>
      <c r="BN39" s="436"/>
      <c r="BO39" s="436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36"/>
      <c r="S40" s="436"/>
      <c r="T40" s="436"/>
      <c r="U40" s="436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36"/>
      <c r="AK40" s="436"/>
      <c r="AL40" s="436"/>
      <c r="AM40" s="436"/>
      <c r="AN40" s="436"/>
      <c r="AO40" s="436"/>
      <c r="AP40" s="51"/>
      <c r="AQ40" s="51"/>
      <c r="AR40" s="1"/>
      <c r="AS40" s="56"/>
      <c r="AT40" s="1"/>
      <c r="AU40" s="1"/>
      <c r="AV40" s="1"/>
      <c r="AW40" s="1"/>
      <c r="AX40" s="1"/>
      <c r="BL40" s="436"/>
      <c r="BM40" s="436"/>
      <c r="BN40" s="436"/>
      <c r="BO40" s="436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36"/>
      <c r="AK41" s="436"/>
      <c r="AL41" s="436"/>
      <c r="AM41" s="436"/>
      <c r="AN41" s="436"/>
      <c r="AO41" s="436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323</v>
      </c>
      <c r="S42" s="135" t="s">
        <v>345</v>
      </c>
      <c r="T42" s="361" t="s">
        <v>341</v>
      </c>
      <c r="U42" s="102" t="s">
        <v>314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36"/>
      <c r="AK42" s="436"/>
      <c r="AL42" s="436"/>
      <c r="AM42" s="436"/>
      <c r="AN42" s="436"/>
      <c r="AO42" s="436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323</v>
      </c>
      <c r="BM42" s="135" t="s">
        <v>345</v>
      </c>
      <c r="BN42" s="367" t="s">
        <v>341</v>
      </c>
      <c r="BO42" s="102" t="s">
        <v>314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321</v>
      </c>
      <c r="T43" s="362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-39.810313197956589</v>
      </c>
      <c r="BI43" s="62">
        <f>BH43*$AW$46</f>
        <v>-26105.513941647405</v>
      </c>
      <c r="BJ43" s="1"/>
      <c r="BL43" s="111" t="s">
        <v>48</v>
      </c>
      <c r="BM43" s="6" t="s">
        <v>321</v>
      </c>
      <c r="BN43" s="368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338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323</v>
      </c>
      <c r="AL44" s="135" t="s">
        <v>345</v>
      </c>
      <c r="AM44" s="367" t="s">
        <v>341</v>
      </c>
      <c r="AN44" s="102" t="s">
        <v>314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1844.0540671306017</v>
      </c>
      <c r="BM44" s="13">
        <f>BH38-CH38</f>
        <v>0</v>
      </c>
      <c r="BN44" s="139" t="s">
        <v>338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339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321</v>
      </c>
      <c r="AM45" s="368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339</v>
      </c>
      <c r="BO45" s="103">
        <f>CI38/BI38</f>
        <v>0.46360429171687717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340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48181.61018752167</v>
      </c>
      <c r="AL46" s="13">
        <f>BH38-AF38</f>
        <v>0</v>
      </c>
      <c r="AM46" s="139" t="s">
        <v>338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5.2426601094565655</v>
      </c>
      <c r="BI46" s="17">
        <f>SUM(BI43:BI45)</f>
        <v>3437.8613375431123</v>
      </c>
      <c r="BL46" s="6"/>
      <c r="BM46" s="4"/>
      <c r="BN46" s="140" t="s">
        <v>340</v>
      </c>
      <c r="BO46" s="99">
        <f>CI42/BI43</f>
        <v>-3.475554366476058E-2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40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339</v>
      </c>
      <c r="AN47" s="103">
        <f>BI38/AG38</f>
        <v>6.6600087834564434E-2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40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340</v>
      </c>
      <c r="AN48" s="99">
        <f>BI43/AG38</f>
        <v>-0.50572997301941369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40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319</v>
      </c>
      <c r="AA49" s="1" t="s">
        <v>313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40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40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358</v>
      </c>
      <c r="Z56" s="1"/>
      <c r="AA56" s="1" t="s">
        <v>357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38">
        <v>2</v>
      </c>
      <c r="D57" s="438"/>
      <c r="E57" s="438"/>
      <c r="F57" s="438"/>
      <c r="G57" s="438"/>
      <c r="H57" s="438"/>
      <c r="I57" s="438"/>
      <c r="J57" s="438"/>
      <c r="K57" s="438"/>
      <c r="L57" s="438"/>
      <c r="M57" s="438"/>
      <c r="N57" s="438"/>
      <c r="O57" s="43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zoomScale="108" workbookViewId="0">
      <selection activeCell="I51" sqref="I51"/>
    </sheetView>
  </sheetViews>
  <sheetFormatPr baseColWidth="10" defaultColWidth="11.5" defaultRowHeight="15" x14ac:dyDescent="0.2"/>
  <sheetData>
    <row r="2" spans="1:23" x14ac:dyDescent="0.2">
      <c r="B2" s="164"/>
      <c r="C2" s="164"/>
      <c r="D2" s="164"/>
      <c r="E2" s="164"/>
      <c r="F2" s="164"/>
      <c r="G2" s="164"/>
      <c r="H2" s="164"/>
      <c r="I2" s="164"/>
    </row>
    <row r="3" spans="1:23" x14ac:dyDescent="0.2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 x14ac:dyDescent="0.2">
      <c r="A4" s="164"/>
      <c r="B4" s="166"/>
      <c r="C4" s="166"/>
      <c r="D4" s="325" t="s">
        <v>314</v>
      </c>
      <c r="E4" s="325"/>
      <c r="F4" s="325"/>
      <c r="G4" s="325"/>
      <c r="H4" s="164"/>
      <c r="I4" s="164"/>
      <c r="P4" s="164"/>
      <c r="Q4" s="164"/>
      <c r="R4" s="164"/>
      <c r="S4" s="410" t="s">
        <v>352</v>
      </c>
      <c r="T4" s="410"/>
      <c r="U4" s="410"/>
      <c r="V4" s="410"/>
      <c r="W4" s="164"/>
    </row>
    <row r="5" spans="1:23" x14ac:dyDescent="0.2">
      <c r="A5" s="164"/>
      <c r="B5" s="166"/>
      <c r="C5" s="166"/>
      <c r="D5" s="408" t="s">
        <v>82</v>
      </c>
      <c r="E5" s="408"/>
      <c r="F5" s="408"/>
      <c r="G5" s="408"/>
      <c r="H5" s="164"/>
      <c r="I5" s="164"/>
      <c r="P5" s="164"/>
      <c r="Q5" s="164"/>
      <c r="R5" s="164"/>
      <c r="S5" s="410"/>
      <c r="T5" s="410"/>
      <c r="U5" s="410"/>
      <c r="V5" s="410"/>
      <c r="W5" s="164"/>
    </row>
    <row r="6" spans="1:23" ht="15" customHeight="1" x14ac:dyDescent="0.2">
      <c r="A6" s="164"/>
      <c r="B6" s="413" t="s">
        <v>4</v>
      </c>
      <c r="C6" s="3"/>
      <c r="D6" s="193" t="s">
        <v>361</v>
      </c>
      <c r="E6" s="193" t="s">
        <v>189</v>
      </c>
      <c r="F6" s="193" t="s">
        <v>176</v>
      </c>
      <c r="G6" s="193" t="s">
        <v>347</v>
      </c>
      <c r="H6" s="164"/>
      <c r="I6" s="164"/>
      <c r="P6" s="164"/>
      <c r="Q6" s="164"/>
      <c r="R6" s="164"/>
      <c r="S6" s="410"/>
      <c r="T6" s="410"/>
      <c r="U6" s="410"/>
      <c r="V6" s="410"/>
      <c r="W6" s="164"/>
    </row>
    <row r="7" spans="1:23" ht="16" thickBot="1" x14ac:dyDescent="0.25">
      <c r="A7" s="164"/>
      <c r="B7" s="413"/>
      <c r="C7" s="145" t="s">
        <v>338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4"/>
      <c r="I7" s="164"/>
      <c r="P7" s="164"/>
      <c r="Q7" s="164"/>
      <c r="R7" s="164"/>
      <c r="S7" s="411"/>
      <c r="T7" s="411"/>
      <c r="U7" s="411"/>
      <c r="V7" s="411"/>
      <c r="W7" s="164"/>
    </row>
    <row r="8" spans="1:23" x14ac:dyDescent="0.2">
      <c r="A8" s="164"/>
      <c r="B8" s="413"/>
      <c r="C8" s="147" t="s">
        <v>339</v>
      </c>
      <c r="D8" s="3">
        <f>Rational_MEROI_Iron</f>
        <v>1.1602561161065021</v>
      </c>
      <c r="E8" s="3">
        <f>Rational_IronExtraction</f>
        <v>0.54834789034775577</v>
      </c>
      <c r="F8" s="3">
        <f>Rational_IronHauling</f>
        <v>0.15191900995389168</v>
      </c>
      <c r="G8" s="3">
        <f>Rational_IronBeneficiation</f>
        <v>0.9084965360427989</v>
      </c>
      <c r="H8" s="164"/>
      <c r="I8" s="164"/>
      <c r="P8" s="164"/>
      <c r="Q8" s="410" t="s">
        <v>351</v>
      </c>
      <c r="R8" s="426"/>
      <c r="S8" s="428" t="s">
        <v>338</v>
      </c>
      <c r="T8" s="429"/>
      <c r="U8" s="414" t="s">
        <v>397</v>
      </c>
      <c r="V8" s="415"/>
      <c r="W8" s="164"/>
    </row>
    <row r="9" spans="1:23" x14ac:dyDescent="0.2">
      <c r="A9" s="164"/>
      <c r="B9" s="413"/>
      <c r="C9" s="146" t="s">
        <v>397</v>
      </c>
      <c r="D9" s="163">
        <f>Resource_MEROI_Iron</f>
        <v>0.97422228752096129</v>
      </c>
      <c r="E9" s="3">
        <f>Resource_IronExtraction</f>
        <v>0.4504526211892465</v>
      </c>
      <c r="F9" s="3">
        <f>Resource_IronHauling</f>
        <v>0.12756053024900801</v>
      </c>
      <c r="G9" s="3">
        <f>Resource_IronBeneficiation</f>
        <v>0.75440225157720575</v>
      </c>
      <c r="H9" s="164"/>
      <c r="I9" s="164"/>
      <c r="P9" s="164"/>
      <c r="Q9" s="410"/>
      <c r="R9" s="426"/>
      <c r="S9" s="430"/>
      <c r="T9" s="431"/>
      <c r="U9" s="416"/>
      <c r="V9" s="417"/>
      <c r="W9" s="164"/>
    </row>
    <row r="10" spans="1:23" x14ac:dyDescent="0.2">
      <c r="A10" s="164"/>
      <c r="C10" s="132"/>
      <c r="D10" s="164"/>
      <c r="E10" s="199"/>
      <c r="F10" s="199"/>
      <c r="G10" s="199"/>
      <c r="H10" s="166"/>
      <c r="I10" s="164"/>
      <c r="P10" s="164"/>
      <c r="Q10" s="410"/>
      <c r="R10" s="426"/>
      <c r="S10" s="430"/>
      <c r="T10" s="431"/>
      <c r="U10" s="416"/>
      <c r="V10" s="417"/>
      <c r="W10" s="164"/>
    </row>
    <row r="11" spans="1:23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410"/>
      <c r="R11" s="426"/>
      <c r="S11" s="430"/>
      <c r="T11" s="431"/>
      <c r="U11" s="416"/>
      <c r="V11" s="417"/>
      <c r="W11" s="164"/>
    </row>
    <row r="12" spans="1:23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41" t="s">
        <v>396</v>
      </c>
      <c r="R12" s="426"/>
      <c r="S12" s="422" t="s">
        <v>313</v>
      </c>
      <c r="T12" s="423"/>
      <c r="U12" s="418" t="s">
        <v>339</v>
      </c>
      <c r="V12" s="419"/>
      <c r="W12" s="164"/>
    </row>
    <row r="13" spans="1:23" x14ac:dyDescent="0.2">
      <c r="A13" s="164"/>
      <c r="B13" s="166"/>
      <c r="C13" s="166"/>
      <c r="D13" s="325" t="s">
        <v>314</v>
      </c>
      <c r="E13" s="325"/>
      <c r="F13" s="325"/>
      <c r="G13" s="325"/>
      <c r="H13" s="325"/>
      <c r="I13" s="164"/>
      <c r="P13" s="164"/>
      <c r="Q13" s="410"/>
      <c r="R13" s="426"/>
      <c r="S13" s="422"/>
      <c r="T13" s="423"/>
      <c r="U13" s="418"/>
      <c r="V13" s="419"/>
      <c r="W13" s="164"/>
    </row>
    <row r="14" spans="1:23" ht="15" customHeight="1" x14ac:dyDescent="0.2">
      <c r="A14" s="164"/>
      <c r="B14" s="166"/>
      <c r="C14" s="166"/>
      <c r="D14" s="408" t="s">
        <v>82</v>
      </c>
      <c r="E14" s="408"/>
      <c r="F14" s="408"/>
      <c r="G14" s="408"/>
      <c r="H14" s="408"/>
      <c r="I14" s="164"/>
      <c r="P14" s="164"/>
      <c r="Q14" s="410"/>
      <c r="R14" s="426"/>
      <c r="S14" s="422"/>
      <c r="T14" s="423"/>
      <c r="U14" s="418"/>
      <c r="V14" s="419"/>
      <c r="W14" s="164"/>
    </row>
    <row r="15" spans="1:23" ht="16" thickBot="1" x14ac:dyDescent="0.25">
      <c r="A15" s="164"/>
      <c r="B15" s="412" t="s">
        <v>20</v>
      </c>
      <c r="C15" s="3"/>
      <c r="D15" s="194" t="s">
        <v>361</v>
      </c>
      <c r="E15" s="194" t="s">
        <v>189</v>
      </c>
      <c r="F15" s="194" t="s">
        <v>176</v>
      </c>
      <c r="G15" s="194" t="s">
        <v>347</v>
      </c>
      <c r="H15" s="194" t="s">
        <v>348</v>
      </c>
      <c r="I15" s="164"/>
      <c r="P15" s="164"/>
      <c r="Q15" s="410"/>
      <c r="R15" s="426"/>
      <c r="S15" s="424"/>
      <c r="T15" s="425"/>
      <c r="U15" s="420"/>
      <c r="V15" s="421"/>
      <c r="W15" s="164"/>
    </row>
    <row r="16" spans="1:23" x14ac:dyDescent="0.2">
      <c r="A16" s="164"/>
      <c r="B16" s="412"/>
      <c r="C16" s="145" t="s">
        <v>338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 x14ac:dyDescent="0.2">
      <c r="A17" s="164"/>
      <c r="B17" s="412"/>
      <c r="C17" s="147" t="s">
        <v>339</v>
      </c>
      <c r="D17" s="3">
        <f>Rational_MEROI_Limestone</f>
        <v>25394.240916408646</v>
      </c>
      <c r="E17" s="3">
        <f>Rational_LimeExtraction</f>
        <v>0.98926908455007689</v>
      </c>
      <c r="F17" s="3">
        <f>Rational_LimeHauling</f>
        <v>0.89989464623142024</v>
      </c>
      <c r="G17" s="3">
        <f>Rational_LimeBeneficiation</f>
        <v>0.99885105550639652</v>
      </c>
      <c r="H17" s="3">
        <f>Rational_Kiln</f>
        <v>3.091879127893386E-2</v>
      </c>
      <c r="I17" s="164"/>
    </row>
    <row r="18" spans="1:12" x14ac:dyDescent="0.2">
      <c r="A18" s="164"/>
      <c r="B18" s="412"/>
      <c r="C18" s="146" t="s">
        <v>397</v>
      </c>
      <c r="D18" s="163">
        <f>Resource_MEROI_Limestone</f>
        <v>22010.978428607345</v>
      </c>
      <c r="E18" s="3">
        <f>Resource_LimeExtraction</f>
        <v>0.85722484529662279</v>
      </c>
      <c r="F18" s="3">
        <f>Resource_LimeHauling</f>
        <v>0.78000211588999502</v>
      </c>
      <c r="G18" s="3">
        <f>Resource_LimeBeneficiation</f>
        <v>0.86577461041321313</v>
      </c>
      <c r="H18" s="3">
        <f>Resource_Kiln</f>
        <v>2.2384370405662918E-4</v>
      </c>
      <c r="I18" s="164"/>
    </row>
    <row r="19" spans="1:12" x14ac:dyDescent="0.2">
      <c r="A19" s="164"/>
      <c r="C19" s="132"/>
      <c r="D19" s="164"/>
      <c r="E19" s="199"/>
      <c r="F19" s="199"/>
      <c r="G19" s="199"/>
      <c r="H19" s="199"/>
      <c r="I19" s="164"/>
      <c r="L19" t="s">
        <v>438</v>
      </c>
    </row>
    <row r="20" spans="1:12" x14ac:dyDescent="0.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 x14ac:dyDescent="0.2">
      <c r="A21" s="164"/>
      <c r="B21" s="166"/>
      <c r="C21" s="166"/>
      <c r="D21" s="325" t="s">
        <v>314</v>
      </c>
      <c r="E21" s="325"/>
      <c r="F21" s="325"/>
      <c r="G21" s="325"/>
      <c r="H21" s="164"/>
      <c r="I21" s="164"/>
    </row>
    <row r="22" spans="1:12" ht="15" customHeight="1" x14ac:dyDescent="0.2">
      <c r="A22" s="164"/>
      <c r="B22" s="166"/>
      <c r="C22" s="166"/>
      <c r="D22" s="408" t="s">
        <v>82</v>
      </c>
      <c r="E22" s="408"/>
      <c r="F22" s="408"/>
      <c r="G22" s="408"/>
      <c r="H22" s="164"/>
      <c r="I22" s="164"/>
    </row>
    <row r="23" spans="1:12" x14ac:dyDescent="0.2">
      <c r="A23" s="164"/>
      <c r="B23" s="409" t="s">
        <v>350</v>
      </c>
      <c r="C23" s="3"/>
      <c r="D23" s="154" t="s">
        <v>361</v>
      </c>
      <c r="E23" s="154" t="s">
        <v>189</v>
      </c>
      <c r="F23" s="154" t="s">
        <v>176</v>
      </c>
      <c r="G23" s="154" t="s">
        <v>372</v>
      </c>
      <c r="H23" s="164"/>
      <c r="I23" s="164"/>
    </row>
    <row r="24" spans="1:12" x14ac:dyDescent="0.2">
      <c r="A24" s="164"/>
      <c r="B24" s="409"/>
      <c r="C24" s="145" t="s">
        <v>338</v>
      </c>
      <c r="D24" s="3">
        <f>Bejan_MEROI_Coal</f>
        <v>109.11285414380214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4"/>
      <c r="I24" s="164"/>
    </row>
    <row r="25" spans="1:12" x14ac:dyDescent="0.2">
      <c r="A25" s="164"/>
      <c r="B25" s="409"/>
      <c r="C25" s="147" t="s">
        <v>339</v>
      </c>
      <c r="D25" s="3">
        <f>Rational_MEROI_Coal</f>
        <v>109.79233724881615</v>
      </c>
      <c r="E25" s="3">
        <f>Rational_CoalExtraction</f>
        <v>0.98904119275539903</v>
      </c>
      <c r="F25" s="3">
        <f>Rational_CoalHauling</f>
        <v>0.99996814476425233</v>
      </c>
      <c r="G25" s="3">
        <f>Rational_Cokeoven</f>
        <v>0.60230735828677828</v>
      </c>
      <c r="H25" s="164"/>
      <c r="I25" s="164"/>
    </row>
    <row r="26" spans="1:12" x14ac:dyDescent="0.2">
      <c r="A26" s="164"/>
      <c r="B26" s="409"/>
      <c r="C26" s="146" t="s">
        <v>397</v>
      </c>
      <c r="D26" s="163">
        <f>Resource_MEROI_Coal</f>
        <v>109.79233073405253</v>
      </c>
      <c r="E26" s="3">
        <f>Resource_CoalExtraction</f>
        <v>0.98838817763635167</v>
      </c>
      <c r="F26" s="3">
        <f>Resource_CoalHauling</f>
        <v>0.99937548336990578</v>
      </c>
      <c r="G26" s="3">
        <f>Resource_CokeBeneficiation</f>
        <v>0.32917976309123737</v>
      </c>
      <c r="I26" s="164"/>
    </row>
    <row r="27" spans="1:12" x14ac:dyDescent="0.2">
      <c r="A27" s="164"/>
      <c r="B27" s="164"/>
      <c r="C27" s="200"/>
      <c r="D27" s="164"/>
      <c r="E27" s="199"/>
      <c r="F27" s="199"/>
      <c r="G27" s="199"/>
      <c r="H27" s="166"/>
      <c r="I27" s="164"/>
    </row>
    <row r="28" spans="1:12" x14ac:dyDescent="0.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 x14ac:dyDescent="0.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 x14ac:dyDescent="0.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 x14ac:dyDescent="0.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 x14ac:dyDescent="0.2">
      <c r="A32" s="164"/>
      <c r="B32" s="407" t="s">
        <v>393</v>
      </c>
      <c r="D32" s="192" t="s">
        <v>81</v>
      </c>
      <c r="E32" s="192" t="s">
        <v>349</v>
      </c>
      <c r="F32" s="164"/>
      <c r="G32" s="164"/>
      <c r="H32" s="164"/>
      <c r="I32" s="164"/>
    </row>
    <row r="33" spans="1:9" x14ac:dyDescent="0.2">
      <c r="A33" s="164"/>
      <c r="B33" s="407"/>
      <c r="C33" s="145" t="s">
        <v>338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 x14ac:dyDescent="0.2">
      <c r="A34" s="164"/>
      <c r="B34" s="407"/>
      <c r="C34" s="147" t="s">
        <v>339</v>
      </c>
      <c r="D34" s="3">
        <f>Rational_mixer</f>
        <v>0.99243862980242414</v>
      </c>
      <c r="E34" s="3">
        <f>Rational_BF</f>
        <v>0.3806036077801323</v>
      </c>
      <c r="F34" s="164"/>
      <c r="G34" s="164"/>
      <c r="H34" s="164"/>
      <c r="I34" s="164"/>
    </row>
    <row r="35" spans="1:9" x14ac:dyDescent="0.2">
      <c r="A35" s="164"/>
      <c r="B35" s="407"/>
      <c r="C35" s="146" t="s">
        <v>397</v>
      </c>
      <c r="D35" s="3">
        <f>Resource_Mixer</f>
        <v>1.1245286096249765E-2</v>
      </c>
      <c r="E35" s="3">
        <f>Resource_BF</f>
        <v>0.34027890919062509</v>
      </c>
      <c r="F35" s="164"/>
      <c r="G35" s="164"/>
      <c r="H35" s="164"/>
      <c r="I35" s="164"/>
    </row>
    <row r="36" spans="1:9" x14ac:dyDescent="0.2">
      <c r="A36" s="164"/>
      <c r="B36" s="164"/>
      <c r="C36" s="200"/>
      <c r="D36" s="166"/>
      <c r="E36" s="166"/>
      <c r="F36" s="164"/>
      <c r="G36" s="164"/>
      <c r="H36" s="164"/>
      <c r="I36" s="164"/>
    </row>
    <row r="37" spans="1:9" x14ac:dyDescent="0.2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 x14ac:dyDescent="0.2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 x14ac:dyDescent="0.2">
      <c r="D49" s="294"/>
      <c r="E49" s="294"/>
    </row>
    <row r="50" spans="2:5" x14ac:dyDescent="0.2">
      <c r="C50" s="201" t="s">
        <v>660</v>
      </c>
      <c r="D50" s="201" t="s">
        <v>661</v>
      </c>
      <c r="E50" s="201" t="s">
        <v>662</v>
      </c>
    </row>
    <row r="51" spans="2:5" x14ac:dyDescent="0.2">
      <c r="B51" s="201" t="s">
        <v>405</v>
      </c>
      <c r="C51" s="3">
        <f>Bejan_IronExtraction</f>
        <v>0</v>
      </c>
      <c r="D51" s="3">
        <f>Rational_IronExtraction</f>
        <v>0.54834789034775577</v>
      </c>
      <c r="E51" s="3">
        <f>Resource_IronExtraction</f>
        <v>0.4504526211892465</v>
      </c>
    </row>
    <row r="52" spans="2:5" x14ac:dyDescent="0.2">
      <c r="B52" s="201" t="s">
        <v>406</v>
      </c>
      <c r="C52" s="3">
        <f>Bejan_LimeExtraction</f>
        <v>0</v>
      </c>
      <c r="D52" s="3">
        <f>Rational_LimeExtraction</f>
        <v>0.98926908455007689</v>
      </c>
      <c r="E52" s="3">
        <f>Resource_LimeExtraction</f>
        <v>0.85722484529662279</v>
      </c>
    </row>
    <row r="53" spans="2:5" x14ac:dyDescent="0.2">
      <c r="B53" s="201" t="s">
        <v>407</v>
      </c>
      <c r="C53" s="3">
        <f>Bejan_CoalExtraction</f>
        <v>0</v>
      </c>
      <c r="D53" s="3">
        <f>Rational_CoalExtraction</f>
        <v>0.98904119275539903</v>
      </c>
      <c r="E53" s="3">
        <f>Resource_CoalExtraction</f>
        <v>0.98838817763635167</v>
      </c>
    </row>
    <row r="54" spans="2:5" x14ac:dyDescent="0.2">
      <c r="B54" s="201" t="s">
        <v>541</v>
      </c>
      <c r="C54" s="3">
        <f>Bejan_IronHauling</f>
        <v>0</v>
      </c>
      <c r="D54" s="3">
        <f>Rational_IronHauling</f>
        <v>0.15191900995389168</v>
      </c>
      <c r="E54" s="3">
        <f>Resource_IronHauling</f>
        <v>0.12756053024900801</v>
      </c>
    </row>
    <row r="55" spans="2:5" x14ac:dyDescent="0.2">
      <c r="B55" s="201" t="s">
        <v>520</v>
      </c>
      <c r="C55" s="3">
        <f>Bejan_LimeHauling</f>
        <v>0</v>
      </c>
      <c r="D55" s="3">
        <f>Rational_LimeHauling</f>
        <v>0.89989464623142024</v>
      </c>
      <c r="E55" s="3">
        <f>Resource_LimeHauling</f>
        <v>0.78000211588999502</v>
      </c>
    </row>
    <row r="56" spans="2:5" x14ac:dyDescent="0.2">
      <c r="B56" s="201" t="s">
        <v>519</v>
      </c>
      <c r="C56" s="3">
        <f>Bejan_CoalHauling</f>
        <v>0</v>
      </c>
      <c r="D56" s="3">
        <f>Rational_CoalHauling</f>
        <v>0.99996814476425233</v>
      </c>
      <c r="E56" s="3">
        <f>Resource_CoalHauling</f>
        <v>0.99937548336990578</v>
      </c>
    </row>
    <row r="57" spans="2:5" x14ac:dyDescent="0.2">
      <c r="B57" s="201" t="s">
        <v>432</v>
      </c>
      <c r="C57" s="3">
        <f>Bejan_IronBeneficiation</f>
        <v>0.10204303400670409</v>
      </c>
      <c r="D57" s="3">
        <f>Rational_IronBeneficiation</f>
        <v>0.9084965360427989</v>
      </c>
      <c r="E57" s="3">
        <f>Resource_IronBeneficiation</f>
        <v>0.75440225157720575</v>
      </c>
    </row>
    <row r="58" spans="2:5" x14ac:dyDescent="0.2">
      <c r="B58" s="201" t="s">
        <v>429</v>
      </c>
      <c r="C58" s="3">
        <f>Bejan_LimeBeneficiation</f>
        <v>0</v>
      </c>
      <c r="D58" s="3">
        <f>Rational_LimeBeneficiation</f>
        <v>0.99885105550639652</v>
      </c>
      <c r="E58" s="3">
        <f>Resource_LimeBeneficiation</f>
        <v>0.86577461041321313</v>
      </c>
    </row>
    <row r="59" spans="2:5" x14ac:dyDescent="0.2">
      <c r="B59" s="201" t="s">
        <v>444</v>
      </c>
      <c r="C59" s="3">
        <f>Bejan_CoalBeneficiation</f>
        <v>0</v>
      </c>
      <c r="D59" s="3">
        <f>Rational_Coalbeneficiation</f>
        <v>0.9999943139063141</v>
      </c>
      <c r="E59" s="3">
        <f>Resource_Coalbeneficiation</f>
        <v>0.99940163700203333</v>
      </c>
    </row>
    <row r="60" spans="2:5" x14ac:dyDescent="0.2">
      <c r="B60" s="201" t="s">
        <v>430</v>
      </c>
      <c r="C60" s="3" t="s">
        <v>379</v>
      </c>
      <c r="D60" s="3">
        <f>Rational_Kiln</f>
        <v>3.091879127893386E-2</v>
      </c>
      <c r="E60" s="3">
        <f>Resource_Kiln</f>
        <v>2.2384370405662918E-4</v>
      </c>
    </row>
    <row r="61" spans="2:5" x14ac:dyDescent="0.2">
      <c r="B61" s="201" t="s">
        <v>425</v>
      </c>
      <c r="C61" s="3" t="s">
        <v>379</v>
      </c>
      <c r="D61" s="3">
        <f>Rational_Cokeoven</f>
        <v>0.60230735828677828</v>
      </c>
      <c r="E61" s="3">
        <f>Resource_Cokeoven</f>
        <v>0.32917976309123737</v>
      </c>
    </row>
    <row r="62" spans="2:5" x14ac:dyDescent="0.2">
      <c r="B62" s="201" t="s">
        <v>642</v>
      </c>
      <c r="C62" s="3">
        <f>Bejan_COGtreatment</f>
        <v>0.19607706784943255</v>
      </c>
      <c r="D62" s="3">
        <f>Rational_COGtreatment</f>
        <v>0.99606022128883631</v>
      </c>
      <c r="E62" s="3">
        <f>Resource_COGtreatment</f>
        <v>0.18245854571809561</v>
      </c>
    </row>
    <row r="63" spans="2:5" x14ac:dyDescent="0.2">
      <c r="B63" s="201" t="s">
        <v>645</v>
      </c>
      <c r="C63" s="3" t="s">
        <v>379</v>
      </c>
      <c r="D63" s="3">
        <f>Rational_COGdistribution</f>
        <v>1</v>
      </c>
      <c r="E63" s="3">
        <f>Resource_COGdistribution</f>
        <v>1</v>
      </c>
    </row>
    <row r="64" spans="2:5" x14ac:dyDescent="0.2">
      <c r="B64" s="201" t="s">
        <v>81</v>
      </c>
      <c r="C64" s="3" t="s">
        <v>379</v>
      </c>
      <c r="D64" s="3">
        <f>Rational_mixer</f>
        <v>0.99243862980242414</v>
      </c>
      <c r="E64" s="3">
        <f>Resource_Mixer</f>
        <v>1.1245286096249765E-2</v>
      </c>
    </row>
    <row r="65" spans="2:5" x14ac:dyDescent="0.2">
      <c r="B65" s="201" t="s">
        <v>417</v>
      </c>
      <c r="C65" s="3" t="s">
        <v>379</v>
      </c>
      <c r="D65" s="3">
        <f>Rational_BF</f>
        <v>0.3806036077801323</v>
      </c>
      <c r="E65" s="3">
        <f>Resource_BF</f>
        <v>0.34027890919062509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367</vt:i4>
      </vt:variant>
    </vt:vector>
  </HeadingPairs>
  <TitlesOfParts>
    <vt:vector size="380" baseType="lpstr">
      <vt:lpstr>Constants</vt:lpstr>
      <vt:lpstr>Fuel Exergy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Diesel_N2_molcoeff</vt:lpstr>
      <vt:lpstr>E_tot</vt:lpstr>
      <vt:lpstr>Efficiencies__Tables_for_Paper</vt:lpstr>
      <vt:lpstr>Fe_BF_out</vt:lpstr>
      <vt:lpstr>Fe2O3_BF_in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mol_C_coke</vt:lpstr>
      <vt:lpstr>mol_C_to_BF</vt:lpstr>
      <vt:lpstr>mol_Coal</vt:lpstr>
      <vt:lpstr>mol_Coke</vt:lpstr>
      <vt:lpstr>mol_H_Coal</vt:lpstr>
      <vt:lpstr>mol_H_coke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2025-07-22T21:30:50Z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