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C435E965-C927-D449-9E19-0E0FE92AAF59}" xr6:coauthVersionLast="47" xr6:coauthVersionMax="47" xr10:uidLastSave="{00000000-0000-0000-0000-000000000000}"/>
  <bookViews>
    <workbookView xWindow="3300" yWindow="1700" windowWidth="46640" windowHeight="2612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Beneficiation">'Ore-&gt;PI'!$BN$210</definedName>
    <definedName name="Bejan_CoalExtraction">'Ore-&gt;PI'!$AB$210</definedName>
    <definedName name="Bejan_CoalHauling">'Ore-&gt;PI'!$AU$210</definedName>
    <definedName name="Bejan_COGtreatment">'Ore-&gt;PI'!$DC$237</definedName>
    <definedName name="Bejan_Cokeove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Kiln_out_from_methane">Calculators!$L$59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'Ore-&gt;PI'!$CL$143</definedName>
    <definedName name="Kiln_H2O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'Ore-&gt;PI'!$ES$132</definedName>
    <definedName name="Rational_Coalbeneficiation">'Ore-&gt;PI'!$BN$211</definedName>
    <definedName name="Rational_CoalExtraction">'Ore-&gt;PI'!$AB$211</definedName>
    <definedName name="Rational_CoalHauling">'Ore-&gt;PI'!$AU$211</definedName>
    <definedName name="Rational_COGdistribution">'Ore-&gt;PI'!$DW$238</definedName>
    <definedName name="Rational_COGtreatment">'Ore-&gt;PI'!$DC$238</definedName>
    <definedName name="Rational_Cokeoven">'Ore-&gt;PI'!$CH$211</definedName>
    <definedName name="Rational_IronBeneficiation">'Ore-&gt;PI'!$BM$47</definedName>
    <definedName name="Rational_IronExtraction">'Ore-&gt;PI'!$AA$47</definedName>
    <definedName name="Rational_IronHauling">'Ore-&gt;PI'!$AT$47</definedName>
    <definedName name="Rational_Kiln">'Ore-&gt;PI'!$CG$131</definedName>
    <definedName name="Rational_LimeBeneficiation">'Ore-&gt;PI'!$BN$131</definedName>
    <definedName name="Rational_LimeExtraction">'Ore-&gt;PI'!$AA$131</definedName>
    <definedName name="Rational_LimeHauling">'Ore-&gt;PI'!$AU$131</definedName>
    <definedName name="Rational_MEROI_Coal">'Ore-&gt;PI'!$Q$194</definedName>
    <definedName name="Rational_MEROI_Iron">'Ore-&gt;PI'!$Q$28</definedName>
    <definedName name="Rational_MEROI_Limestone">'Ore-&gt;PI'!$Q$116</definedName>
    <definedName name="Rational_mixer">'Ore-&gt;PI'!$DX$132</definedName>
    <definedName name="Resource_BF">'Ore-&gt;PI'!$ES$133</definedName>
    <definedName name="Resource_Coalbeneficiation">'Ore-&gt;PI'!$BN$212</definedName>
    <definedName name="Resource_CoalExtraction">'Ore-&gt;PI'!$AB$212</definedName>
    <definedName name="Resource_CoalHauling">'Ore-&gt;PI'!$AU$212</definedName>
    <definedName name="Resource_COGdistribution">'Ore-&gt;PI'!$DW$239</definedName>
    <definedName name="Resource_COGtreatment">'Ore-&gt;PI'!$DC$239</definedName>
    <definedName name="Resource_CokeBeneficiation">'Ore-&gt;PI'!$CH$212</definedName>
    <definedName name="Resource_Cokeoven">'Ore-&gt;PI'!$CH$212</definedName>
    <definedName name="Resource_IronBeneficiation">'Ore-&gt;PI'!$BM$48</definedName>
    <definedName name="Resource_IronExtraction">'Ore-&gt;PI'!$AA$48</definedName>
    <definedName name="Resource_IronHauling">'Ore-&gt;PI'!$AT$48</definedName>
    <definedName name="Resource_Kiln">'Ore-&gt;PI'!$CG$132</definedName>
    <definedName name="Resource_LimeBeneficiation">'Ore-&gt;PI'!$BN$132</definedName>
    <definedName name="Resource_LimeExtraction">'Ore-&gt;PI'!$AA$132</definedName>
    <definedName name="Resource_LimeHauling">'Ore-&gt;PI'!$AU$132</definedName>
    <definedName name="Resource_MEROI_Coal">'Ore-&gt;PI'!$Q$195</definedName>
    <definedName name="Resource_MEROI_Iron">'Ore-&gt;PI'!$Q$29</definedName>
    <definedName name="Resource_MEROI_Limestone">'Ore-&gt;PI'!$Q$117</definedName>
    <definedName name="Resource_Mixer">'Ore-&gt;PI'!$DX$133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144" i="9" l="1"/>
  <c r="CF140" i="9"/>
  <c r="CO142" i="9"/>
  <c r="CM143" i="9"/>
  <c r="CM142" i="9"/>
  <c r="C60" i="11"/>
  <c r="C61" i="11"/>
  <c r="O60" i="11"/>
  <c r="O59" i="11"/>
  <c r="O61" i="11"/>
  <c r="N62" i="11"/>
  <c r="M62" i="11"/>
  <c r="L62" i="11"/>
  <c r="E61" i="11"/>
  <c r="E60" i="11"/>
  <c r="N60" i="11"/>
  <c r="L59" i="11"/>
  <c r="N59" i="11"/>
  <c r="M59" i="11"/>
  <c r="E64" i="14"/>
  <c r="E63" i="14"/>
  <c r="E62" i="14"/>
  <c r="E59" i="14"/>
  <c r="E58" i="14"/>
  <c r="E57" i="14"/>
  <c r="E56" i="14"/>
  <c r="E55" i="14"/>
  <c r="E54" i="14"/>
  <c r="D64" i="14"/>
  <c r="D63" i="14"/>
  <c r="D62" i="14"/>
  <c r="D59" i="14"/>
  <c r="C59" i="14"/>
  <c r="E29" i="3"/>
  <c r="D58" i="14" l="1"/>
  <c r="D57" i="14"/>
  <c r="D56" i="14"/>
  <c r="D55" i="14"/>
  <c r="D54" i="14"/>
  <c r="C62" i="14"/>
  <c r="C58" i="14"/>
  <c r="C57" i="14"/>
  <c r="C56" i="14"/>
  <c r="C55" i="14"/>
  <c r="C54" i="14"/>
  <c r="C53" i="14"/>
  <c r="BG43" i="8"/>
  <c r="H154" i="22"/>
  <c r="G153" i="22"/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BC70" i="22" s="1"/>
  <c r="EE241" i="9" a="1"/>
  <c r="EE241" i="9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O217" i="9" a="1"/>
  <c r="O217" i="9" s="1"/>
  <c r="AI217" i="9" a="1"/>
  <c r="AI217" i="9" s="1"/>
  <c r="BB217" i="9" a="1"/>
  <c r="BB217" i="9" s="1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03" i="20"/>
  <c r="J204" i="20"/>
  <c r="J205" i="20"/>
  <c r="AJ163" i="20"/>
  <c r="AJ136" i="20"/>
  <c r="AO136" i="20" s="1"/>
  <c r="H224" i="20" s="1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BF121" i="20"/>
  <c r="BF114" i="20"/>
  <c r="BF70" i="20" s="1"/>
  <c r="BN115" i="20"/>
  <c r="BP115" i="20" s="1"/>
  <c r="BH115" i="20"/>
  <c r="BH71" i="20" s="1"/>
  <c r="BD115" i="20"/>
  <c r="BI115" i="20" s="1"/>
  <c r="J201" i="20" s="1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221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AS4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J140" i="20" l="1"/>
  <c r="BF111" i="22"/>
  <c r="G197" i="22" s="1"/>
  <c r="BE71" i="22"/>
  <c r="AL132" i="22"/>
  <c r="AG136" i="22"/>
  <c r="BC71" i="15"/>
  <c r="BF111" i="15"/>
  <c r="G198" i="15" s="1"/>
  <c r="AG137" i="15"/>
  <c r="EF241" i="9"/>
  <c r="ED238" i="9"/>
  <c r="EA241" i="9"/>
  <c r="EK233" i="9" s="1"/>
  <c r="ED240" i="9"/>
  <c r="ED239" i="9"/>
  <c r="AK134" i="22"/>
  <c r="BL115" i="22"/>
  <c r="BE88" i="22"/>
  <c r="BE48" i="22" s="1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BB131" i="9"/>
  <c r="CP118" i="9"/>
  <c r="CP119" i="9" s="1"/>
  <c r="O51" i="9"/>
  <c r="AH68" i="9"/>
  <c r="BB211" i="9"/>
  <c r="BU131" i="9"/>
  <c r="BA46" i="9"/>
  <c r="O131" i="9"/>
  <c r="BU145" i="9"/>
  <c r="BA47" i="9"/>
  <c r="CP144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D282" i="11"/>
  <c r="G18" i="21"/>
  <c r="H18" i="21" s="1"/>
  <c r="V6" i="21" s="1"/>
  <c r="CN142" i="9"/>
  <c r="BV230" i="9"/>
  <c r="CQ142" i="9"/>
  <c r="D266" i="11"/>
  <c r="CQ144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X57" i="22" s="1"/>
  <c r="AI215" i="9"/>
  <c r="EF130" i="9"/>
  <c r="CP225" i="9"/>
  <c r="BU215" i="9"/>
  <c r="O46" i="9"/>
  <c r="BT46" i="9"/>
  <c r="AH46" i="9"/>
  <c r="AI211" i="9"/>
  <c r="O214" i="9"/>
  <c r="BB21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DJ237" i="9"/>
  <c r="CN143" i="9"/>
  <c r="CN145" i="9" s="1"/>
  <c r="G8" i="3"/>
  <c r="E254" i="11"/>
  <c r="F254" i="11" s="1"/>
  <c r="G39" i="3"/>
  <c r="O155" i="9" s="1"/>
  <c r="O156" i="9" s="1"/>
  <c r="EF144" i="9"/>
  <c r="EF146" i="9" s="1"/>
  <c r="BE84" i="22" s="1"/>
  <c r="BE44" i="22" s="1"/>
  <c r="EF158" i="9"/>
  <c r="BU231" i="9"/>
  <c r="EZ239" i="9"/>
  <c r="O240" i="9"/>
  <c r="O242" i="9" s="1"/>
  <c r="BU246" i="9"/>
  <c r="BU248" i="9" s="1"/>
  <c r="BA84" i="22" s="1"/>
  <c r="BA44" i="22" s="1"/>
  <c r="O167" i="9"/>
  <c r="AR84" i="22" s="1"/>
  <c r="AR44" i="22" s="1"/>
  <c r="DJ239" i="9"/>
  <c r="BU144" i="9"/>
  <c r="BU146" i="9" s="1"/>
  <c r="AZ84" i="22" s="1"/>
  <c r="AZ44" i="22" s="1"/>
  <c r="O76" i="9"/>
  <c r="O78" i="9" s="1"/>
  <c r="AQ84" i="22" s="1"/>
  <c r="AQ4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S43" i="22" s="1"/>
  <c r="AV94" i="22"/>
  <c r="AV54" i="22" s="1"/>
  <c r="X128" i="22"/>
  <c r="S124" i="22"/>
  <c r="D150" i="22"/>
  <c r="AR82" i="22"/>
  <c r="AR42" i="22" s="1"/>
  <c r="V126" i="22"/>
  <c r="V136" i="22" s="1"/>
  <c r="R123" i="22"/>
  <c r="AW96" i="22"/>
  <c r="AW56" i="22" s="1"/>
  <c r="AZ101" i="22"/>
  <c r="AZ61" i="22" s="1"/>
  <c r="W127" i="22"/>
  <c r="AU92" i="22"/>
  <c r="AU52" i="22" s="1"/>
  <c r="N121" i="22"/>
  <c r="C149" i="22"/>
  <c r="AQ81" i="22"/>
  <c r="BE112" i="22"/>
  <c r="BE72" i="22" s="1"/>
  <c r="AH133" i="22"/>
  <c r="Y129" i="22"/>
  <c r="BD103" i="22"/>
  <c r="BD63" i="22" s="1"/>
  <c r="BD106" i="22"/>
  <c r="BD66" i="22" s="1"/>
  <c r="AB130" i="22"/>
  <c r="T125" i="22"/>
  <c r="AY98" i="22"/>
  <c r="AY58" i="22" s="1"/>
  <c r="AD130" i="22"/>
  <c r="BL108" i="22"/>
  <c r="E151" i="22"/>
  <c r="F152" i="22"/>
  <c r="AS84" i="22"/>
  <c r="AS44" i="22" s="1"/>
  <c r="U126" i="22"/>
  <c r="BD99" i="22"/>
  <c r="BD59" i="22" s="1"/>
  <c r="AR87" i="22"/>
  <c r="AR47" i="22" s="1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AZ45" i="22" s="1"/>
  <c r="DJ238" i="9"/>
  <c r="AF131" i="22" s="1"/>
  <c r="EF118" i="9"/>
  <c r="EF119" i="9" s="1"/>
  <c r="BE85" i="22" s="1"/>
  <c r="BE4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A62" i="22" s="1"/>
  <c r="BL114" i="22"/>
  <c r="AJ134" i="22"/>
  <c r="BL93" i="22"/>
  <c r="O121" i="22"/>
  <c r="BK113" i="22"/>
  <c r="AI134" i="22"/>
  <c r="BA85" i="22"/>
  <c r="BA45" i="22" s="1"/>
  <c r="AT90" i="22"/>
  <c r="AT50" i="22" s="1"/>
  <c r="L120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BQ144" i="9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E212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C150" i="15"/>
  <c r="C160" i="15" s="1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G176" i="22" s="1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G168" i="22" s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AW50" i="20" s="1"/>
  <c r="X130" i="20"/>
  <c r="BG103" i="20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BI103" i="20" l="1"/>
  <c r="BG59" i="20"/>
  <c r="CO237" i="9"/>
  <c r="DA229" i="9"/>
  <c r="DB229" i="9" s="1"/>
  <c r="DD229" i="9" s="1"/>
  <c r="BE93" i="20" s="1"/>
  <c r="BE49" i="20" s="1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BF106" i="15"/>
  <c r="G193" i="15" s="1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BB67" i="22" s="1"/>
  <c r="AC130" i="22"/>
  <c r="AC136" i="22" s="1"/>
  <c r="BF107" i="22"/>
  <c r="G193" i="22" s="1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G194" i="15" s="1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BG66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G169" i="22" s="1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G170" i="15" s="1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G188" i="22" s="1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G189" i="15" s="1"/>
  <c r="AC195" i="9"/>
  <c r="AV93" i="20" s="1"/>
  <c r="AV49" i="20" s="1"/>
  <c r="G14" i="17"/>
  <c r="I14" i="17" s="1"/>
  <c r="BE121" i="20"/>
  <c r="X137" i="15"/>
  <c r="AL129" i="15"/>
  <c r="E217" i="15" s="1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BD45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AF132" i="15"/>
  <c r="AL132" i="15" s="1"/>
  <c r="E220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A49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G178" i="22" s="1"/>
  <c r="AU117" i="22"/>
  <c r="N136" i="22"/>
  <c r="AX117" i="22"/>
  <c r="BF97" i="22"/>
  <c r="G183" i="22" s="1"/>
  <c r="S136" i="22"/>
  <c r="AL124" i="22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G199" i="15" s="1"/>
  <c r="AU130" i="9"/>
  <c r="F16" i="14" s="1"/>
  <c r="S137" i="15"/>
  <c r="AF137" i="15"/>
  <c r="AU117" i="15"/>
  <c r="BF92" i="15"/>
  <c r="G179" i="15" s="1"/>
  <c r="AX117" i="15"/>
  <c r="BF97" i="15"/>
  <c r="G184" i="15" s="1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CL143" i="9" l="1"/>
  <c r="CO143" i="9" s="1"/>
  <c r="EK241" i="9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G174" i="22" s="1"/>
  <c r="BF87" i="22"/>
  <c r="G173" i="22" s="1"/>
  <c r="W136" i="22"/>
  <c r="AL127" i="22"/>
  <c r="BF101" i="22"/>
  <c r="G187" i="22" s="1"/>
  <c r="E287" i="11"/>
  <c r="G287" i="11" s="1"/>
  <c r="H287" i="11" s="1"/>
  <c r="E281" i="11"/>
  <c r="G281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G169" i="15" s="1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172" i="22" s="1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O135" i="20"/>
  <c r="H223" i="20" s="1"/>
  <c r="AI140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BI116" i="20" l="1"/>
  <c r="J202" i="20" s="1"/>
  <c r="BH72" i="20"/>
  <c r="BI92" i="20"/>
  <c r="BH48" i="20"/>
  <c r="BI91" i="20"/>
  <c r="AU47" i="20"/>
  <c r="Z136" i="22"/>
  <c r="E231" i="11"/>
  <c r="C238" i="11"/>
  <c r="N230" i="11" s="1"/>
  <c r="N61" i="11"/>
  <c r="BC105" i="20"/>
  <c r="BC61" i="20" s="1"/>
  <c r="BK130" i="9"/>
  <c r="J177" i="20"/>
  <c r="J178" i="20"/>
  <c r="BN131" i="9"/>
  <c r="G17" i="14" s="1"/>
  <c r="Z131" i="20"/>
  <c r="AO137" i="20"/>
  <c r="H225" i="20" s="1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Q122" i="22" l="1"/>
  <c r="BL95" i="22"/>
  <c r="O230" i="11"/>
  <c r="P230" i="11" s="1"/>
  <c r="BQ145" i="9"/>
  <c r="CL144" i="9"/>
  <c r="CO144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AV46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E18" i="14" l="1"/>
  <c r="E52" i="14"/>
  <c r="AU121" i="20"/>
  <c r="AU46" i="20"/>
  <c r="AZ84" i="15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BC44" i="20" s="1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F15" i="17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G181" i="15" s="1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BF85" i="22" l="1"/>
  <c r="G171" i="22" s="1"/>
  <c r="AZ117" i="22"/>
  <c r="E62" i="11"/>
  <c r="CB156" i="9"/>
  <c r="CB152" i="9" s="1"/>
  <c r="F26" i="17" s="1"/>
  <c r="G26" i="17" s="1"/>
  <c r="BF85" i="15"/>
  <c r="G172" i="15" s="1"/>
  <c r="AZ117" i="15"/>
  <c r="CB157" i="9"/>
  <c r="D51" i="11"/>
  <c r="BC89" i="20" l="1"/>
  <c r="BC45" i="20" s="1"/>
  <c r="J157" i="20"/>
  <c r="J163" i="20" s="1"/>
  <c r="CG132" i="9"/>
  <c r="F61" i="11"/>
  <c r="F60" i="11"/>
  <c r="F59" i="11"/>
  <c r="H18" i="14" l="1"/>
  <c r="E60" i="14"/>
  <c r="BI89" i="20"/>
  <c r="J175" i="20" s="1"/>
  <c r="F62" i="11"/>
  <c r="BC121" i="20"/>
  <c r="L60" i="11"/>
  <c r="O62" i="11"/>
  <c r="H16" i="12"/>
  <c r="CL142" i="9" l="1"/>
  <c r="H51" i="11"/>
  <c r="CG140" i="9" l="1"/>
  <c r="CF142" i="9"/>
  <c r="F14" i="13" l="1"/>
  <c r="F15" i="13" s="1"/>
  <c r="CG144" i="9"/>
  <c r="AO227" i="9"/>
  <c r="BM95" i="22" l="1"/>
  <c r="CL145" i="9"/>
  <c r="CP145" i="9" s="1" a="1"/>
  <c r="CP145" i="9" s="1"/>
  <c r="Q123" i="15"/>
  <c r="AL123" i="15" s="1"/>
  <c r="E211" i="15" s="1"/>
  <c r="BL95" i="15"/>
  <c r="BM95" i="15" s="1"/>
  <c r="AF234" i="9"/>
  <c r="BM103" i="15"/>
  <c r="BL105" i="22" l="1"/>
  <c r="AA129" i="22"/>
  <c r="Q136" i="22"/>
  <c r="AL122" i="22"/>
  <c r="Q137" i="15"/>
  <c r="CM144" i="9"/>
  <c r="CV138" i="9"/>
  <c r="BM105" i="22" l="1"/>
  <c r="CM145" i="9"/>
  <c r="AA130" i="15"/>
  <c r="BL105" i="15"/>
  <c r="BM105" i="15" s="1"/>
  <c r="CE130" i="9"/>
  <c r="H17" i="12" s="1"/>
  <c r="AA136" i="22" l="1"/>
  <c r="AL129" i="22"/>
  <c r="AA137" i="15"/>
  <c r="AL130" i="15"/>
  <c r="E218" i="15" s="1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BD62" i="20" s="1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H220" i="20" s="1"/>
  <c r="AA140" i="20"/>
  <c r="V217" i="9"/>
  <c r="V206" i="9" s="1"/>
  <c r="AV87" i="20" s="1"/>
  <c r="AV43" i="20" s="1"/>
  <c r="Q195" i="9"/>
  <c r="BI217" i="9"/>
  <c r="BI206" i="9" s="1"/>
  <c r="BB102" i="20" s="1"/>
  <c r="BB58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AY54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H217" i="20" s="1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G197" i="15" s="1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C206" i="11"/>
  <c r="C207" i="11" s="1"/>
  <c r="E207" i="11" s="1"/>
  <c r="H207" i="11" s="1"/>
  <c r="Q186" i="11"/>
  <c r="M186" i="11"/>
  <c r="CL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CO254" i="9" l="1"/>
  <c r="F192" i="1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P257" i="9" s="1" a="1"/>
  <c r="CP257" i="9" s="1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L109" i="22" l="1"/>
  <c r="AE130" i="22"/>
  <c r="BA117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C167" i="22" s="1" a="1"/>
  <c r="C167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C168" i="15" s="1" a="1"/>
  <c r="C168" i="15" s="1"/>
  <c r="BE84" i="15"/>
  <c r="BE44" i="15" s="1"/>
  <c r="BM114" i="22" l="1"/>
  <c r="I167" i="22" s="1" a="1"/>
  <c r="I167" i="22" s="1"/>
  <c r="BE117" i="22"/>
  <c r="BF84" i="22"/>
  <c r="G170" i="22" s="1"/>
  <c r="AE136" i="22"/>
  <c r="AL130" i="22"/>
  <c r="AL231" i="9"/>
  <c r="AM231" i="9" s="1"/>
  <c r="AN231" i="9" s="1"/>
  <c r="AO231" i="9" s="1"/>
  <c r="AK234" i="9"/>
  <c r="BH88" i="20"/>
  <c r="BH44" i="20" s="1"/>
  <c r="ES133" i="9"/>
  <c r="E65" i="14" s="1"/>
  <c r="AE137" i="15"/>
  <c r="AL131" i="15"/>
  <c r="CB248" i="9"/>
  <c r="CB242" i="9" s="1"/>
  <c r="BE117" i="15"/>
  <c r="C209" i="15" s="1" a="1"/>
  <c r="BF84" i="15"/>
  <c r="G171" i="15" s="1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I168" i="15" s="1" a="1"/>
  <c r="I168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C209" i="15" l="1"/>
  <c r="G209" i="15" s="1"/>
  <c r="G216" i="15"/>
  <c r="G217" i="15"/>
  <c r="G220" i="15"/>
  <c r="G211" i="15"/>
  <c r="G212" i="15"/>
  <c r="G218" i="15"/>
  <c r="G213" i="15"/>
  <c r="G222" i="15"/>
  <c r="G215" i="15"/>
  <c r="G214" i="15"/>
  <c r="G210" i="15"/>
  <c r="G219" i="15"/>
  <c r="E219" i="15"/>
  <c r="E168" i="15" a="1"/>
  <c r="E168" i="15" s="1"/>
  <c r="AJ136" i="22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F171" i="20" s="1" a="1"/>
  <c r="F171" i="20" s="1"/>
  <c r="AB212" i="9"/>
  <c r="E53" i="14" s="1"/>
  <c r="AV88" i="20"/>
  <c r="AV44" i="20" s="1"/>
  <c r="E33" i="12"/>
  <c r="E35" i="14"/>
  <c r="AL135" i="15"/>
  <c r="AJ137" i="15"/>
  <c r="BD88" i="20"/>
  <c r="BD44" i="20" s="1"/>
  <c r="CH212" i="9"/>
  <c r="E61" i="14" s="1"/>
  <c r="FI145" i="9"/>
  <c r="FJ145" i="9" s="1"/>
  <c r="FK145" i="9" s="1"/>
  <c r="FL145" i="9" s="1"/>
  <c r="FH148" i="9"/>
  <c r="E223" i="15" l="1"/>
  <c r="G223" i="15" s="1"/>
  <c r="K188" i="22"/>
  <c r="K169" i="22"/>
  <c r="K192" i="22"/>
  <c r="K200" i="22"/>
  <c r="K181" i="22"/>
  <c r="K186" i="22"/>
  <c r="K175" i="22"/>
  <c r="K178" i="22"/>
  <c r="K174" i="22"/>
  <c r="K194" i="22"/>
  <c r="K183" i="22"/>
  <c r="K195" i="22"/>
  <c r="K189" i="22"/>
  <c r="K170" i="22"/>
  <c r="K190" i="22"/>
  <c r="K177" i="22"/>
  <c r="K173" i="22"/>
  <c r="K179" i="22"/>
  <c r="K180" i="22"/>
  <c r="K184" i="22"/>
  <c r="K168" i="22"/>
  <c r="K176" i="22"/>
  <c r="K199" i="22"/>
  <c r="K193" i="22"/>
  <c r="K201" i="22"/>
  <c r="K182" i="22"/>
  <c r="K185" i="22"/>
  <c r="K198" i="22"/>
  <c r="K191" i="22"/>
  <c r="K187" i="22"/>
  <c r="K196" i="22"/>
  <c r="AB211" i="9"/>
  <c r="D53" i="14" s="1"/>
  <c r="E167" i="22"/>
  <c r="K167" i="22" s="1"/>
  <c r="BI88" i="20"/>
  <c r="J174" i="20" s="1"/>
  <c r="CE210" i="9"/>
  <c r="CH211" i="9"/>
  <c r="D61" i="14" s="1"/>
  <c r="X210" i="9"/>
  <c r="L17" i="13" s="1"/>
  <c r="BO99" i="20"/>
  <c r="BP99" i="20" s="1"/>
  <c r="T126" i="20"/>
  <c r="BD121" i="20"/>
  <c r="AV121" i="20"/>
  <c r="F212" i="20" s="1" a="1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J213" i="20" l="1"/>
  <c r="J216" i="20"/>
  <c r="J217" i="20"/>
  <c r="J219" i="20"/>
  <c r="F212" i="20"/>
  <c r="J212" i="20" s="1"/>
  <c r="J215" i="20"/>
  <c r="J220" i="20"/>
  <c r="J223" i="20"/>
  <c r="J225" i="20"/>
  <c r="J218" i="20"/>
  <c r="J224" i="20"/>
  <c r="K179" i="15"/>
  <c r="K178" i="15"/>
  <c r="K182" i="15"/>
  <c r="K180" i="15"/>
  <c r="K181" i="15"/>
  <c r="K183" i="15"/>
  <c r="K177" i="15"/>
  <c r="K202" i="22"/>
  <c r="T140" i="20"/>
  <c r="AO126" i="20"/>
  <c r="H214" i="20" s="1"/>
  <c r="J214" i="20" s="1"/>
  <c r="G23" i="12"/>
  <c r="G25" i="14"/>
  <c r="AO134" i="20"/>
  <c r="H222" i="20" s="1"/>
  <c r="J222" i="20" s="1"/>
  <c r="AH140" i="20"/>
  <c r="ES132" i="9"/>
  <c r="D65" i="14" s="1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H226" i="20" s="1"/>
  <c r="J226" i="20" s="1"/>
  <c r="AM140" i="20"/>
  <c r="K193" i="15" l="1"/>
  <c r="K201" i="15" s="1"/>
  <c r="K194" i="15"/>
  <c r="K202" i="15" s="1"/>
  <c r="CO145" i="9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 s="1"/>
  <c r="CD130" i="9" s="1"/>
  <c r="T5" i="13" s="1"/>
  <c r="CR145" i="9"/>
  <c r="CV145" i="9"/>
  <c r="AD133" i="20" l="1"/>
  <c r="CG131" i="9"/>
  <c r="D60" i="14" s="1"/>
  <c r="CC130" i="9"/>
  <c r="O12" i="13" s="1"/>
  <c r="BO109" i="20"/>
  <c r="BP109" i="20" s="1"/>
  <c r="L171" i="20" s="1" a="1"/>
  <c r="L171" i="20" s="1"/>
  <c r="H15" i="12"/>
  <c r="H17" i="14"/>
  <c r="AO133" i="20"/>
  <c r="H221" i="20" s="1"/>
  <c r="J221" i="20" s="1"/>
  <c r="AD140" i="20"/>
  <c r="H171" i="20" s="1" a="1"/>
  <c r="H171" i="20" l="1"/>
  <c r="N201" i="20"/>
  <c r="N185" i="20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<sst xmlns="http://schemas.openxmlformats.org/spreadsheetml/2006/main" count="5719" uniqueCount="676">
  <si>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</si>
  <si>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</si>
  <si>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</si>
  <si>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</si>
  <si>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</si>
  <si>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</si>
  <si>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</si>
  <si>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</si>
  <si>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</si>
  <si>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</si>
  <si>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</si>
  <si>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</si>
  <si>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</si>
  <si>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</si>
  <si>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</si>
  <si>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</si>
  <si>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</si>
  <si>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</si>
  <si>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</si>
  <si>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</si>
  <si>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</si>
  <si>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</si>
  <si>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</si>
  <si>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</si>
  <si>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</si>
  <si>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</si>
  <si>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</si>
  <si>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</si>
  <si>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</si>
  <si>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</si>
  <si>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</si>
  <si>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</si>
  <si>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</si>
  <si>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</si>
  <si>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</si>
  <si>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</si>
  <si>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</si>
  <si>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</si>
  <si>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</si>
  <si>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</si>
  <si>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</si>
  <si>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</si>
  <si>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</si>
  <si>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</si>
  <si>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</si>
  <si>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</si>
  <si>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</si>
  <si>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</si>
  <si>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</si>
  <si>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</si>
  <si>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</si>
  <si>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</si>
  <si>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</si>
  <si>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</si>
  <si>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</si>
  <si>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</si>
  <si>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</si>
  <si>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</si>
  <si>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</si>
  <si>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</si>
  <si>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</si>
  <si>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</si>
  <si>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</si>
  <si>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</si>
  <si>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</si>
  <si>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</si>
  <si>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</si>
  <si>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</si>
  <si>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</si>
  <si>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</si>
  <si>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</si>
  <si>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</si>
  <si>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</si>
  <si>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</si>
  <si>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</si>
  <si>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</si>
  <si>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</si>
  <si>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</si>
  <si>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</si>
  <si>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</si>
  <si>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</si>
  <si>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</si>
  <si>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</si>
  <si>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</si>
  <si>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</si>
  <si>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</si>
  <si>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</si>
  <si>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</si>
  <si>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</si>
  <si>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</si>
  <si>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</si>
  <si>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</si>
  <si>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</si>
  <si>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</si>
  <si>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</si>
  <si>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</si>
  <si>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</si>
  <si>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</si>
  <si>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</si>
  <si>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</si>
  <si>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</si>
  <si>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</si>
  <si>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</si>
  <si>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</si>
  <si>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</si>
  <si>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</si>
  <si>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</si>
  <si>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</si>
  <si>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</si>
  <si>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</si>
  <si>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</si>
  <si>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</si>
  <si>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</si>
  <si>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</si>
  <si>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</si>
  <si>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</si>
  <si>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</si>
  <si>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</si>
  <si>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</si>
  <si>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</si>
  <si>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</si>
  <si>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</si>
  <si>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</si>
  <si>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</si>
  <si>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</si>
  <si>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</si>
  <si>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</si>
  <si>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</si>
  <si>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</si>
  <si>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</si>
  <si>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</si>
  <si>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</si>
  <si>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</si>
  <si>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</si>
  <si>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</si>
  <si>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</si>
  <si>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</si>
  <si>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</si>
  <si>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</si>
  <si>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</si>
  <si>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</si>
  <si>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</si>
  <si>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</si>
  <si>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</si>
  <si>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</si>
  <si>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</si>
  <si>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</si>
  <si>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</si>
  <si>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</si>
  <si>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</si>
  <si>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</si>
  <si>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</si>
  <si>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</si>
  <si>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</si>
  <si>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</si>
  <si>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</si>
  <si>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</si>
  <si>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</si>
  <si>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</si>
  <si>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</si>
  <si>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</si>
  <si>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</si>
  <si>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</si>
  <si>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</si>
  <si>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</si>
  <si>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</si>
  <si>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</si>
  <si>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</si>
  <si>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</si>
  <si>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</si>
  <si>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</si>
  <si>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</si>
  <si>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</si>
  <si>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</si>
  <si>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</si>
  <si>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</si>
  <si>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</si>
  <si>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</si>
  <si>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</si>
  <si>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</si>
  <si>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</si>
  <si>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</si>
  <si>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</si>
  <si>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</si>
  <si>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</si>
  <si>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</si>
  <si>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</si>
  <si>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</si>
  <si>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</si>
  <si>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</si>
  <si>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</si>
  <si>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</si>
  <si>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</si>
  <si>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</si>
  <si>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</si>
  <si>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</si>
  <si>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</si>
  <si>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</si>
  <si>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</si>
  <si>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</si>
  <si>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</si>
  <si>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</si>
  <si>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</si>
  <si>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</si>
  <si>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</si>
  <si>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</si>
  <si>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</si>
  <si>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</si>
  <si>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</si>
  <si>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</si>
  <si>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</si>
  <si>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</si>
  <si>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</si>
  <si>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</si>
  <si>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</si>
  <si>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</si>
  <si>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</si>
  <si>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</si>
  <si>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</si>
  <si>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</si>
  <si>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</si>
  <si>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</si>
  <si>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</si>
  <si>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</si>
  <si>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</si>
  <si>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</si>
  <si>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</si>
  <si>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</si>
  <si>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</si>
  <si>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</si>
  <si>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</si>
  <si>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</si>
  <si>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</si>
  <si>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</si>
  <si>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</si>
  <si>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</si>
  <si>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</si>
  <si>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</si>
  <si>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</si>
  <si>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</si>
  <si>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</si>
  <si>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</si>
  <si>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</si>
  <si>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</si>
  <si>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</si>
  <si>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</si>
  <si>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</si>
  <si>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</si>
  <si>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</si>
  <si>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</si>
  <si>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</si>
  <si>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</si>
  <si>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</si>
  <si>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</si>
  <si>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</si>
  <si>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</si>
  <si>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</si>
  <si>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</si>
  <si>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</si>
  <si>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</si>
  <si>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</si>
  <si>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</si>
  <si>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</si>
  <si>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</si>
  <si>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</si>
  <si>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</si>
  <si>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</si>
  <si>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</si>
  <si>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</si>
  <si>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</si>
  <si>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</si>
  <si>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</si>
  <si>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</si>
  <si>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</si>
  <si>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</si>
  <si>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</si>
  <si>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</si>
  <si>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</si>
  <si>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</si>
  <si>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</si>
  <si>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</si>
  <si>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</si>
  <si>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</si>
  <si>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</si>
  <si>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</si>
  <si>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</si>
  <si>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</si>
  <si>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</si>
  <si>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</si>
  <si>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</si>
  <si>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</si>
  <si>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</si>
  <si>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</si>
  <si>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</si>
  <si>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</si>
  <si>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</si>
  <si>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</si>
  <si>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</si>
  <si>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</si>
  <si>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</si>
  <si>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</si>
  <si>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</si>
  <si>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</si>
  <si>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</si>
  <si>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</si>
  <si>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</si>
  <si>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</si>
  <si>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</si>
  <si>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</si>
  <si>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</si>
  <si>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</si>
  <si>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</si>
  <si>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</si>
  <si>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</si>
  <si>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</si>
  <si>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</si>
  <si>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</si>
  <si>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</si>
  <si>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</si>
  <si>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</si>
  <si>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</si>
  <si>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</si>
  <si>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</si>
  <si>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</si>
  <si>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</si>
  <si>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</si>
  <si>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</si>
  <si>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</si>
  <si>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</si>
  <si>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</si>
  <si>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</si>
  <si>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</si>
  <si>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</si>
  <si>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</si>
  <si>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</si>
  <si>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</si>
  <si>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</si>
  <si>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</si>
  <si>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</si>
  <si>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</si>
  <si>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</si>
  <si>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</si>
  <si>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</si>
  <si>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</si>
  <si>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</si>
  <si>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</si>
  <si>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</si>
  <si>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</si>
  <si>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</si>
  <si>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</si>
  <si>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</si>
  <si>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</si>
  <si>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</si>
  <si>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</si>
  <si>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</si>
  <si>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</si>
  <si>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</si>
  <si>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</si>
  <si>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</si>
  <si>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</si>
  <si>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</si>
  <si>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</si>
  <si>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</si>
  <si>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</si>
  <si>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</si>
  <si>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</si>
  <si>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</si>
  <si>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</si>
  <si>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</si>
  <si>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</si>
  <si>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</si>
  <si>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</si>
  <si>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</si>
  <si>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</si>
  <si>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</si>
  <si>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</si>
  <si>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</si>
  <si>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</si>
  <si>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</si>
  <si>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</si>
  <si>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</si>
  <si>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</si>
  <si>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</si>
  <si>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</si>
  <si>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</si>
  <si>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</si>
  <si>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</si>
  <si>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</si>
  <si>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</si>
  <si>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</si>
  <si>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</si>
  <si>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</si>
  <si>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</si>
  <si>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</si>
  <si>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</si>
  <si>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</si>
  <si>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</si>
  <si>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</si>
  <si>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</si>
  <si>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</si>
  <si>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</si>
  <si>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</si>
  <si>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</si>
  <si>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</si>
  <si>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</si>
  <si>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</si>
  <si>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</si>
  <si>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</si>
  <si>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</si>
  <si>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</si>
  <si>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</si>
  <si>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</si>
  <si>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</si>
  <si>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</si>
  <si>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</si>
  <si>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</si>
  <si>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</si>
  <si>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</si>
  <si>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</si>
  <si>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</si>
  <si>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</si>
  <si>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</si>
  <si>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</si>
  <si>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</si>
  <si>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</si>
  <si>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</si>
  <si>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</si>
  <si>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</si>
  <si>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</si>
  <si>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</si>
  <si>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</si>
  <si>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</si>
  <si>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</si>
  <si>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</si>
  <si>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</si>
  <si>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</si>
  <si>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</si>
  <si>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</si>
  <si>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</si>
  <si>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</si>
  <si>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</si>
  <si>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</si>
  <si>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</si>
  <si>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</si>
  <si>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</si>
  <si>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</si>
  <si>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</si>
  <si>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</si>
  <si>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</si>
  <si>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</si>
  <si>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</si>
  <si>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</si>
  <si>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</si>
  <si>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</si>
  <si>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</si>
  <si>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</si>
  <si>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</si>
  <si>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</si>
  <si>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</si>
  <si>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</si>
  <si>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</si>
  <si>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</si>
  <si>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</si>
  <si>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</si>
  <si>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</si>
  <si>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</si>
  <si>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</si>
  <si>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</si>
  <si>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</si>
  <si>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</si>
  <si>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</si>
  <si>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</si>
  <si>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</si>
  <si>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</si>
  <si>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</si>
  <si>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</si>
  <si>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</si>
  <si>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</si>
  <si>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</si>
  <si>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</si>
  <si>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</si>
  <si>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</si>
  <si>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</si>
  <si>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</si>
  <si>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</si>
  <si>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</si>
  <si>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</si>
  <si>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</si>
  <si>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</si>
  <si>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</si>
  <si>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</si>
  <si>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</si>
  <si>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</si>
  <si>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</si>
  <si>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</si>
  <si>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</si>
  <si>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</si>
  <si>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</si>
  <si>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</si>
  <si>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</si>
  <si>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</si>
  <si>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</si>
  <si>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</si>
  <si>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</si>
  <si>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</si>
  <si>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</si>
  <si>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</si>
  <si>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</si>
  <si>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</si>
  <si>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</si>
  <si>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</si>
  <si>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</si>
  <si>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</si>
  <si>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</si>
  <si>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</si>
  <si>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</si>
  <si>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</si>
  <si>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</si>
  <si>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</si>
  <si>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</si>
  <si>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</si>
  <si>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</si>
  <si>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</si>
  <si>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</si>
  <si>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</si>
  <si>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</si>
  <si>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</si>
  <si>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</si>
  <si>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</si>
  <si>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</si>
  <si>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</si>
  <si>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</si>
  <si>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</si>
  <si>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</si>
  <si>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</si>
  <si>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</si>
  <si>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</si>
  <si>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</si>
  <si>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</si>
  <si>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</si>
  <si>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</si>
  <si>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</si>
  <si>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</si>
  <si>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</si>
  <si>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</si>
  <si>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</si>
  <si>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</si>
  <si>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</si>
  <si>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</si>
  <si>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</si>
  <si>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</si>
  <si>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</si>
  <si>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</si>
  <si>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</si>
  <si>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</si>
  <si>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</si>
  <si>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</si>
  <si>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</si>
  <si>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</si>
  <si>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</si>
  <si>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</si>
  <si>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</si>
  <si>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</si>
  <si>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</si>
  <si>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</si>
  <si>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</si>
  <si>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</si>
  <si>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</si>
  <si>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</si>
  <si>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</si>
  <si>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</si>
  <si>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</si>
  <si>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</si>
  <si>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</si>
  <si>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</si>
  <si>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</si>
  <si>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</si>
  <si>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</si>
  <si>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</si>
  <si>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</si>
  <si>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</si>
  <si>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</si>
  <si>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</si>
  <si>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</si>
  <si>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</si>
  <si>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</si>
  <si>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</si>
  <si>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</si>
  <si>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</si>
  <si>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</si>
  <si>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</si>
  <si>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</si>
  <si>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</si>
  <si>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</si>
  <si>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</si>
  <si>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</si>
  <si>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</si>
  <si>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</si>
  <si>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</si>
  <si>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</si>
  <si>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</si>
  <si>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</si>
  <si>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</si>
  <si>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</si>
  <si>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</si>
  <si>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</si>
  <si>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</si>
  <si>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</si>
  <si>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</si>
  <si>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</si>
  <si>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</si>
  <si>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</si>
  <si>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</si>
  <si>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</si>
  <si>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</si>
  <si>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</si>
  <si>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</si>
  <si>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</si>
  <si>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</si>
  <si>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</si>
  <si>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</si>
  <si>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</si>
  <si>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</si>
  <si>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</si>
  <si>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</si>
  <si>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</si>
  <si>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</si>
  <si>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</si>
  <si>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</si>
  <si>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</si>
  <si>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</si>
  <si>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</si>
  <si>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</si>
  <si>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</si>
  <si>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</si>
  <si>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</si>
  <si>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</si>
  <si>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</si>
  <si>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</si>
  <si>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</si>
  <si>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</si>
  <si>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</si>
  <si>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</si>
  <si>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</si>
  <si>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</si>
  <si>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</si>
  <si>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</si>
  <si>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</si>
  <si>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</si>
  <si>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</si>
  <si>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</si>
  <si>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</si>
  <si>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</si>
  <si>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</si>
  <si>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</si>
  <si>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</si>
  <si>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</si>
  <si>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</si>
  <si>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</si>
  <si>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</si>
  <si>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</si>
  <si>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</si>
  <si>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</si>
  <si>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</si>
  <si>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</si>
  <si>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</si>
  <si>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</si>
  <si>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</si>
  <si>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</si>
  <si>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</si>
  <si>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</si>
  <si>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</si>
  <si>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</si>
  <si>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r>
      <t>η</t>
    </r>
    <r>
      <rPr>
        <vertAlign val="subscript"/>
        <sz val="11"/>
        <color theme="1"/>
        <rFont val="Cambria Math"/>
        <family val="1"/>
      </rPr>
      <t>Bejan</t>
    </r>
  </si>
  <si>
    <r>
      <t>η</t>
    </r>
    <r>
      <rPr>
        <vertAlign val="subscript"/>
        <sz val="11"/>
        <color theme="1"/>
        <rFont val="Cambria Math"/>
        <family val="1"/>
      </rPr>
      <t>Rational</t>
    </r>
  </si>
  <si>
    <r>
      <t>η</t>
    </r>
    <r>
      <rPr>
        <vertAlign val="subscript"/>
        <sz val="11"/>
        <color theme="1"/>
        <rFont val="Cambria Math"/>
        <family val="1"/>
      </rPr>
      <t>Resource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</si>
</sst>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0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55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1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112810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4</xdr:col>
      <xdr:colOff>860823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C1" zoomScale="125" workbookViewId="0">
      <selection activeCell="AC10" sqref="AC10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H2" s="3" t="s">
        <v>427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457</v>
      </c>
      <c r="AA5" s="61" t="s">
        <v>489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508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490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489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490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508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666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502</v>
      </c>
      <c r="C54" s="3" t="s">
        <v>503</v>
      </c>
    </row>
    <row r="55" spans="2:3" ht="17" x14ac:dyDescent="0.25">
      <c r="B55" s="13" t="s">
        <v>494</v>
      </c>
      <c r="C55" s="3" t="s">
        <v>493</v>
      </c>
    </row>
    <row r="56" spans="2:3" x14ac:dyDescent="0.2">
      <c r="B56" s="13" t="s">
        <v>40</v>
      </c>
      <c r="C56" s="3" t="s">
        <v>659</v>
      </c>
    </row>
    <row r="57" spans="2:3" x14ac:dyDescent="0.2">
      <c r="B57" s="13" t="s">
        <v>664</v>
      </c>
      <c r="C57" s="3" t="s">
        <v>663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19" zoomScale="125" workbookViewId="0">
      <selection activeCell="G53" sqref="G53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25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25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412</v>
      </c>
      <c r="M16" s="83" t="s">
        <v>413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" x14ac:dyDescent="0.2">
      <c r="B19" s="31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x14ac:dyDescent="0.25">
      <c r="A20" s="1"/>
      <c r="B20" s="32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6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6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6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6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7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8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410</v>
      </c>
      <c r="O32" s="3" t="s">
        <v>411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3" t="s">
        <v>409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4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6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6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6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2" t="s">
        <v>19</v>
      </c>
      <c r="C44" s="31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5" t="s">
        <v>351</v>
      </c>
      <c r="D47" s="315"/>
      <c r="E47" s="315"/>
      <c r="F47" s="315"/>
    </row>
    <row r="48" spans="2:23" x14ac:dyDescent="0.2">
      <c r="C48" s="316"/>
      <c r="D48" s="316"/>
      <c r="E48" s="316"/>
      <c r="F48" s="316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2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1"/>
      <c r="J51" s="311"/>
      <c r="K51" s="311"/>
      <c r="L51" s="311"/>
      <c r="M51" s="311"/>
    </row>
    <row r="52" spans="1:17" ht="16.25" customHeight="1" x14ac:dyDescent="0.2">
      <c r="C52" s="427"/>
      <c r="D52" s="428"/>
      <c r="H52" s="311"/>
      <c r="I52" s="311"/>
      <c r="J52" s="311"/>
      <c r="K52" s="311"/>
      <c r="L52" s="311"/>
      <c r="M52" s="311"/>
    </row>
    <row r="53" spans="1:17" ht="16.25" customHeight="1" x14ac:dyDescent="0.2">
      <c r="C53" s="428"/>
      <c r="D53" s="428"/>
    </row>
    <row r="54" spans="1:17" ht="15.5" customHeight="1" x14ac:dyDescent="0.2">
      <c r="C54" s="428"/>
      <c r="D54" s="428"/>
    </row>
    <row r="55" spans="1:17" ht="15.5" customHeight="1" x14ac:dyDescent="0.2">
      <c r="C55" s="428"/>
      <c r="D55" s="429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428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428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17" t="s">
        <v>650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10" t="s">
        <v>651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18"/>
      <c r="K60" s="299" t="s">
        <v>649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18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18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5" t="s">
        <v>378</v>
      </c>
      <c r="C69" s="315"/>
      <c r="D69" s="315"/>
      <c r="E69" s="315"/>
      <c r="F69" s="315"/>
      <c r="G69" s="315"/>
      <c r="W69" s="17"/>
      <c r="X69" s="17"/>
      <c r="Y69" s="330" t="s">
        <v>491</v>
      </c>
      <c r="Z69" s="331"/>
      <c r="AA69" s="331"/>
      <c r="AB69" s="331"/>
      <c r="AC69" s="331"/>
      <c r="AD69" s="331"/>
      <c r="AE69" s="331"/>
      <c r="AF69" s="33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5"/>
      <c r="C70" s="335"/>
      <c r="D70" s="335"/>
      <c r="E70" s="335"/>
      <c r="F70" s="335"/>
      <c r="G70" s="335"/>
      <c r="Y70" s="332"/>
      <c r="Z70" s="333"/>
      <c r="AA70" s="333"/>
      <c r="AB70" s="333"/>
      <c r="AC70" s="333"/>
      <c r="AD70" s="333"/>
      <c r="AE70" s="333"/>
      <c r="AF70" s="333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2"/>
      <c r="Z71" s="333"/>
      <c r="AA71" s="333"/>
      <c r="AB71" s="333"/>
      <c r="AC71" s="333"/>
      <c r="AD71" s="333"/>
      <c r="AE71" s="333"/>
      <c r="AF71" s="333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408</v>
      </c>
      <c r="AD73" s="3" t="s">
        <v>39</v>
      </c>
      <c r="AG73" s="169" t="s">
        <v>113</v>
      </c>
      <c r="AH73" s="199" t="s">
        <v>408</v>
      </c>
      <c r="AJ73" s="199" t="s">
        <v>408</v>
      </c>
      <c r="AL73" s="169" t="s">
        <v>114</v>
      </c>
      <c r="AM73" s="199" t="s">
        <v>408</v>
      </c>
      <c r="AO73" s="199" t="s">
        <v>408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199" t="s">
        <v>408</v>
      </c>
      <c r="S74" s="199" t="s">
        <v>408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3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3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3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199" t="s">
        <v>408</v>
      </c>
      <c r="H78" s="199" t="s">
        <v>408</v>
      </c>
      <c r="I78" s="199" t="s">
        <v>408</v>
      </c>
      <c r="J78" s="199" t="s">
        <v>408</v>
      </c>
      <c r="K78" s="199" t="s">
        <v>408</v>
      </c>
      <c r="L78" s="199" t="s">
        <v>408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3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3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37" t="s">
        <v>655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3">
        <f t="shared" si="10"/>
        <v>22.962283000184108</v>
      </c>
      <c r="AA80" s="28">
        <v>0.33</v>
      </c>
      <c r="AB80" s="28">
        <f>MW_CH4</f>
        <v>1.604276E-2</v>
      </c>
      <c r="AC80" s="234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37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37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636</v>
      </c>
      <c r="N82" s="6"/>
      <c r="O82" s="6"/>
      <c r="P82" s="6"/>
      <c r="Y82" s="24"/>
    </row>
    <row r="83" spans="1:39" ht="18" x14ac:dyDescent="0.25">
      <c r="A83" s="337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39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37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36" t="s">
        <v>653</v>
      </c>
      <c r="I84" s="336"/>
      <c r="J84" s="336"/>
      <c r="K84" s="336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5" t="s">
        <v>24</v>
      </c>
      <c r="AM84" s="3">
        <f>AM83/2</f>
        <v>78.028901791005751</v>
      </c>
    </row>
    <row r="85" spans="1:39" ht="18" x14ac:dyDescent="0.25">
      <c r="A85" s="337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0" t="s">
        <v>114</v>
      </c>
      <c r="Z85" s="3" t="s">
        <v>1</v>
      </c>
      <c r="AA85" s="3" t="s">
        <v>47</v>
      </c>
      <c r="AB85" s="3" t="s">
        <v>5</v>
      </c>
      <c r="AC85" s="199" t="s">
        <v>408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3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8" t="s">
        <v>654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3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8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3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69" t="s">
        <v>390</v>
      </c>
      <c r="C89" s="3" t="s">
        <v>1</v>
      </c>
      <c r="D89" s="3" t="s">
        <v>47</v>
      </c>
      <c r="E89" s="3" t="s">
        <v>5</v>
      </c>
      <c r="F89" s="199" t="s">
        <v>408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485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8"/>
      <c r="Y89" s="236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3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8"/>
      <c r="Y90" s="20" t="s">
        <v>67</v>
      </c>
      <c r="Z90" s="163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4">
        <f>AC90/$AC$91</f>
        <v>2.229660206678009E-3</v>
      </c>
    </row>
    <row r="91" spans="1:39" x14ac:dyDescent="0.2">
      <c r="A91" s="310" t="s">
        <v>652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0" t="s">
        <v>449</v>
      </c>
      <c r="AG94" s="169" t="s">
        <v>480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0" t="s">
        <v>114</v>
      </c>
      <c r="Z96" s="3" t="s">
        <v>1</v>
      </c>
      <c r="AA96" s="3" t="s">
        <v>47</v>
      </c>
      <c r="AB96" s="3" t="s">
        <v>5</v>
      </c>
      <c r="AC96" s="199" t="s">
        <v>408</v>
      </c>
      <c r="AD96" s="3" t="s">
        <v>39</v>
      </c>
      <c r="AG96" s="169" t="s">
        <v>114</v>
      </c>
      <c r="AH96" s="3" t="s">
        <v>1</v>
      </c>
      <c r="AI96" s="3" t="s">
        <v>47</v>
      </c>
      <c r="AJ96" s="3" t="s">
        <v>5</v>
      </c>
      <c r="AK96" s="199" t="s">
        <v>408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3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3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3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3">
        <f>AK99/$AK$102</f>
        <v>7.8636235837663701E-2</v>
      </c>
    </row>
    <row r="100" spans="2:38" ht="18" x14ac:dyDescent="0.25">
      <c r="Y100" s="236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3">
        <f>AC100/$AC$102</f>
        <v>3.6864344341996282E-3</v>
      </c>
      <c r="AG100" s="236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3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3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3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69" t="s">
        <v>492</v>
      </c>
      <c r="C108" s="3" t="s">
        <v>1</v>
      </c>
      <c r="D108" s="3" t="s">
        <v>5</v>
      </c>
      <c r="E108" s="199" t="s">
        <v>408</v>
      </c>
      <c r="H108" s="169" t="s">
        <v>389</v>
      </c>
      <c r="I108" s="3" t="s">
        <v>1</v>
      </c>
      <c r="J108" s="3" t="s">
        <v>5</v>
      </c>
      <c r="K108" s="199" t="s">
        <v>408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0">
        <f>K110*J110</f>
        <v>46.53572755785698</v>
      </c>
      <c r="J110" s="260">
        <f>MW_CO2</f>
        <v>4.4009800000000002E-2</v>
      </c>
      <c r="K110" s="260">
        <f>E110</f>
        <v>1057.3946611404047</v>
      </c>
      <c r="L110" s="3">
        <v>1</v>
      </c>
    </row>
    <row r="111" spans="2:38" ht="18" x14ac:dyDescent="0.25">
      <c r="B111" s="235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0">
        <f>K111*J111</f>
        <v>38.098521781899024</v>
      </c>
      <c r="J111" s="260">
        <f>MW_H2O</f>
        <v>1.8015280000000002E-2</v>
      </c>
      <c r="K111" s="260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0">
        <f>K112*J112</f>
        <v>222.75220752356552</v>
      </c>
      <c r="J112" s="260">
        <f>MW_N2</f>
        <v>2.801348E-2</v>
      </c>
      <c r="K112" s="260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6" t="s">
        <v>24</v>
      </c>
      <c r="E116" s="3">
        <f>E115/2</f>
        <v>1057.3946611404047</v>
      </c>
      <c r="AE116" s="16" t="s">
        <v>448</v>
      </c>
      <c r="AR116" s="16" t="s">
        <v>448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38" t="s">
        <v>656</v>
      </c>
      <c r="D147" s="338"/>
      <c r="E147" s="338"/>
      <c r="F147" s="338"/>
      <c r="G147" s="338"/>
    </row>
    <row r="148" spans="1:30" x14ac:dyDescent="0.2">
      <c r="B148" s="169" t="s">
        <v>449</v>
      </c>
      <c r="C148" s="333"/>
      <c r="D148" s="333"/>
      <c r="E148" s="333"/>
      <c r="F148" s="333"/>
      <c r="G148" s="333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69" t="s">
        <v>113</v>
      </c>
      <c r="C150" s="3" t="s">
        <v>1</v>
      </c>
      <c r="D150" s="3" t="s">
        <v>47</v>
      </c>
      <c r="E150" s="3" t="s">
        <v>5</v>
      </c>
      <c r="F150" s="199" t="s">
        <v>408</v>
      </c>
      <c r="G150" s="3" t="s">
        <v>39</v>
      </c>
      <c r="I150" s="1" t="s">
        <v>89</v>
      </c>
      <c r="L150" s="169" t="s">
        <v>113</v>
      </c>
      <c r="M150" s="3" t="s">
        <v>1</v>
      </c>
      <c r="N150" s="3" t="s">
        <v>47</v>
      </c>
      <c r="O150" s="3" t="s">
        <v>5</v>
      </c>
      <c r="P150" s="199" t="s">
        <v>408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3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3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3">
        <f>F153/$AC$102</f>
        <v>7.8636235837663701E-2</v>
      </c>
      <c r="L153" s="240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3">
        <f>P153/$AC$102</f>
        <v>7.8636235837663701E-2</v>
      </c>
    </row>
    <row r="154" spans="1:30" ht="18" x14ac:dyDescent="0.25">
      <c r="B154" s="236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3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3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3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6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3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3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479</v>
      </c>
      <c r="C163" s="3">
        <f>C161+C156</f>
        <v>1292.56993077671</v>
      </c>
    </row>
    <row r="166" spans="2:21" ht="17" x14ac:dyDescent="0.25">
      <c r="B166" s="169" t="s">
        <v>113</v>
      </c>
      <c r="C166" s="199" t="s">
        <v>408</v>
      </c>
      <c r="E166" s="199" t="s">
        <v>408</v>
      </c>
      <c r="G166" s="169" t="s">
        <v>114</v>
      </c>
      <c r="H166" s="199" t="s">
        <v>408</v>
      </c>
      <c r="J166" s="199" t="s">
        <v>408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451</v>
      </c>
      <c r="C169" s="1">
        <f>F153</f>
        <v>1165.1175310558663</v>
      </c>
      <c r="D169" s="61" t="s">
        <v>452</v>
      </c>
      <c r="E169" s="1">
        <f>F152+(2*F153)</f>
        <v>15894.009029186927</v>
      </c>
      <c r="G169" s="240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5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39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3" t="s">
        <v>657</v>
      </c>
      <c r="C176" s="333"/>
      <c r="D176" s="333"/>
      <c r="E176" s="333"/>
      <c r="F176" s="333"/>
      <c r="G176" s="333"/>
    </row>
    <row r="177" spans="2:17" x14ac:dyDescent="0.2">
      <c r="B177" s="333"/>
      <c r="C177" s="333"/>
      <c r="D177" s="333"/>
      <c r="E177" s="333"/>
      <c r="F177" s="333"/>
      <c r="G177" s="333"/>
    </row>
    <row r="178" spans="2:17" x14ac:dyDescent="0.2">
      <c r="B178" s="333"/>
      <c r="C178" s="333"/>
      <c r="D178" s="333"/>
      <c r="E178" s="333"/>
      <c r="F178" s="333"/>
      <c r="G178" s="333"/>
    </row>
    <row r="182" spans="2:17" x14ac:dyDescent="0.2">
      <c r="B182" s="169" t="s">
        <v>450</v>
      </c>
    </row>
    <row r="183" spans="2:17" x14ac:dyDescent="0.2">
      <c r="B183" s="3">
        <v>0.15</v>
      </c>
    </row>
    <row r="184" spans="2:17" ht="17" x14ac:dyDescent="0.25">
      <c r="B184" s="169" t="s">
        <v>113</v>
      </c>
      <c r="C184" s="3" t="s">
        <v>1</v>
      </c>
      <c r="D184" s="3" t="s">
        <v>47</v>
      </c>
      <c r="E184" s="3" t="s">
        <v>5</v>
      </c>
      <c r="F184" s="199" t="s">
        <v>408</v>
      </c>
      <c r="G184" s="3" t="s">
        <v>39</v>
      </c>
      <c r="L184" s="169" t="s">
        <v>114</v>
      </c>
      <c r="M184" s="3" t="s">
        <v>1</v>
      </c>
      <c r="N184" s="3" t="s">
        <v>47</v>
      </c>
      <c r="O184" s="3" t="s">
        <v>5</v>
      </c>
      <c r="P184" s="199" t="s">
        <v>408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3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3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3">
        <f t="shared" ref="G187:G189" si="25">F187/$F$190</f>
        <v>7.8636235837663701E-2</v>
      </c>
      <c r="L187" s="240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3">
        <f>P187/$AC$102</f>
        <v>1.6850621965213648E-2</v>
      </c>
    </row>
    <row r="188" spans="2:17" ht="18" x14ac:dyDescent="0.25">
      <c r="B188" s="236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3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3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3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6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478</v>
      </c>
      <c r="C195" s="3">
        <f>C194+C190</f>
        <v>276.97927088072356</v>
      </c>
    </row>
    <row r="197" spans="2:10" ht="17" x14ac:dyDescent="0.25">
      <c r="B197" s="169" t="s">
        <v>113</v>
      </c>
      <c r="C197" s="199" t="s">
        <v>408</v>
      </c>
      <c r="E197" s="199" t="s">
        <v>408</v>
      </c>
      <c r="G197" s="169" t="s">
        <v>114</v>
      </c>
      <c r="H197" s="199" t="s">
        <v>408</v>
      </c>
      <c r="J197" s="199" t="s">
        <v>408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451</v>
      </c>
      <c r="C200" s="1">
        <f>F187</f>
        <v>249.66804236911418</v>
      </c>
      <c r="D200" s="61"/>
      <c r="E200" s="1"/>
      <c r="G200" s="240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5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39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5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3" t="s">
        <v>495</v>
      </c>
      <c r="C215" s="333"/>
      <c r="D215" s="333"/>
      <c r="E215" s="333"/>
      <c r="G215" s="20" t="s">
        <v>67</v>
      </c>
      <c r="H215" s="235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33"/>
      <c r="C216" s="333"/>
      <c r="D216" s="333"/>
      <c r="E216" s="333"/>
      <c r="G216" s="13">
        <v>3.76</v>
      </c>
      <c r="H216" s="13">
        <v>2</v>
      </c>
      <c r="J216" s="308" t="s">
        <v>497</v>
      </c>
      <c r="K216" s="308"/>
      <c r="L216" s="308"/>
      <c r="M216" s="13"/>
      <c r="N216" s="334" t="s">
        <v>75</v>
      </c>
      <c r="O216" s="325"/>
    </row>
    <row r="217" spans="2:20" x14ac:dyDescent="0.2">
      <c r="B217" s="333"/>
      <c r="C217" s="333"/>
      <c r="D217" s="333"/>
      <c r="E217" s="333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658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199" t="s">
        <v>408</v>
      </c>
      <c r="H220" s="169" t="s">
        <v>389</v>
      </c>
      <c r="I220" s="3" t="s">
        <v>1</v>
      </c>
      <c r="J220" s="3" t="s">
        <v>5</v>
      </c>
      <c r="K220" s="199" t="s">
        <v>408</v>
      </c>
    </row>
    <row r="221" spans="2:20" ht="18" x14ac:dyDescent="0.25">
      <c r="B221" s="169" t="s">
        <v>496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490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39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5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639</v>
      </c>
      <c r="K228" s="132" t="s">
        <v>642</v>
      </c>
      <c r="L228" s="3" t="s">
        <v>392</v>
      </c>
      <c r="M228" s="3" t="s">
        <v>40</v>
      </c>
      <c r="N228" s="4" t="s">
        <v>35</v>
      </c>
      <c r="O228" s="132" t="s">
        <v>640</v>
      </c>
      <c r="P228" s="132" t="s">
        <v>641</v>
      </c>
    </row>
    <row r="229" spans="2:21" x14ac:dyDescent="0.2">
      <c r="C229" s="3" t="s">
        <v>638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490</v>
      </c>
      <c r="C232" s="3">
        <f>E222</f>
        <v>2.9420358318343252</v>
      </c>
      <c r="D232" s="239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643</v>
      </c>
    </row>
    <row r="235" spans="2:21" x14ac:dyDescent="0.2">
      <c r="C235" s="3" t="s">
        <v>586</v>
      </c>
      <c r="N235" s="3" t="s">
        <v>644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490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3" t="s">
        <v>505</v>
      </c>
      <c r="C240" s="333"/>
      <c r="D240" s="333"/>
      <c r="E240" s="333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33"/>
      <c r="C241" s="333"/>
      <c r="D241" s="333"/>
      <c r="E241" s="333"/>
      <c r="J241" s="308" t="s">
        <v>507</v>
      </c>
      <c r="K241" s="308"/>
      <c r="L241" s="308"/>
      <c r="M241" s="13"/>
      <c r="N241" s="334" t="s">
        <v>75</v>
      </c>
      <c r="O241" s="325"/>
    </row>
    <row r="242" spans="2:21" x14ac:dyDescent="0.2">
      <c r="B242" s="333"/>
      <c r="C242" s="333"/>
      <c r="D242" s="333"/>
      <c r="E242" s="333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658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199" t="s">
        <v>408</v>
      </c>
      <c r="H245" s="169" t="s">
        <v>389</v>
      </c>
      <c r="I245" s="3" t="s">
        <v>1</v>
      </c>
      <c r="J245" s="3" t="s">
        <v>5</v>
      </c>
      <c r="K245" s="199" t="s">
        <v>408</v>
      </c>
    </row>
    <row r="246" spans="2:21" ht="18" x14ac:dyDescent="0.25">
      <c r="B246" s="169" t="s">
        <v>506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489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39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5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639</v>
      </c>
      <c r="C252" s="132" t="s">
        <v>642</v>
      </c>
      <c r="D252" s="3" t="s">
        <v>392</v>
      </c>
      <c r="E252" s="3" t="s">
        <v>40</v>
      </c>
      <c r="F252" s="4" t="s">
        <v>35</v>
      </c>
      <c r="G252" s="132" t="s">
        <v>640</v>
      </c>
      <c r="H252" s="132" t="s">
        <v>645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3" t="s">
        <v>510</v>
      </c>
      <c r="C257" s="333"/>
      <c r="D257" s="333"/>
      <c r="E257" s="333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33"/>
      <c r="C258" s="333"/>
      <c r="D258" s="333"/>
      <c r="E258" s="333"/>
      <c r="J258" s="308" t="s">
        <v>512</v>
      </c>
      <c r="K258" s="308"/>
      <c r="L258" s="308"/>
      <c r="M258" s="13"/>
      <c r="N258" s="334" t="s">
        <v>75</v>
      </c>
      <c r="O258" s="325"/>
    </row>
    <row r="259" spans="2:19" x14ac:dyDescent="0.2">
      <c r="B259" s="333"/>
      <c r="C259" s="333"/>
      <c r="D259" s="333"/>
      <c r="E259" s="333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658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199" t="s">
        <v>408</v>
      </c>
      <c r="H262" s="169" t="s">
        <v>389</v>
      </c>
      <c r="I262" s="3" t="s">
        <v>1</v>
      </c>
      <c r="J262" s="3" t="s">
        <v>5</v>
      </c>
      <c r="K262" s="199" t="s">
        <v>408</v>
      </c>
    </row>
    <row r="263" spans="2:19" ht="18" x14ac:dyDescent="0.25">
      <c r="B263" s="169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508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39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5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639</v>
      </c>
      <c r="C269" s="132" t="s">
        <v>642</v>
      </c>
      <c r="D269" s="3" t="s">
        <v>392</v>
      </c>
      <c r="E269" s="3" t="s">
        <v>40</v>
      </c>
      <c r="F269" s="4" t="s">
        <v>35</v>
      </c>
      <c r="G269" s="132" t="s">
        <v>640</v>
      </c>
      <c r="H269" s="132" t="s">
        <v>646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298">
        <v>1.0401</v>
      </c>
      <c r="C271" s="298">
        <v>0.17280000000000001</v>
      </c>
      <c r="D271" s="298">
        <f>LHV_Oil</f>
        <v>39500</v>
      </c>
      <c r="E271" s="298">
        <f>(MW_H*20)/(MW_Oil)</f>
        <v>0.14371549482137158</v>
      </c>
      <c r="F271" s="298">
        <f>1-E271</f>
        <v>0.85628450517862842</v>
      </c>
      <c r="G271" s="298">
        <f>B271+(0.1728*(E271/F271))</f>
        <v>1.069102086753809</v>
      </c>
      <c r="H271" s="298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3" t="s">
        <v>509</v>
      </c>
      <c r="C273" s="333"/>
      <c r="D273" s="333"/>
      <c r="E273" s="333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33"/>
      <c r="C274" s="333"/>
      <c r="D274" s="333"/>
      <c r="E274" s="333"/>
      <c r="J274" s="308" t="s">
        <v>74</v>
      </c>
      <c r="K274" s="308"/>
      <c r="L274" s="308"/>
      <c r="M274" s="13"/>
      <c r="N274" s="334" t="s">
        <v>75</v>
      </c>
      <c r="O274" s="325"/>
    </row>
    <row r="275" spans="2:15" x14ac:dyDescent="0.2">
      <c r="B275" s="333"/>
      <c r="C275" s="333"/>
      <c r="D275" s="333"/>
      <c r="E275" s="333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658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199" t="s">
        <v>408</v>
      </c>
      <c r="H278" s="169" t="s">
        <v>389</v>
      </c>
      <c r="I278" s="3" t="s">
        <v>1</v>
      </c>
      <c r="J278" s="3" t="s">
        <v>5</v>
      </c>
      <c r="K278" s="199" t="s">
        <v>408</v>
      </c>
    </row>
    <row r="279" spans="2:15" ht="18" x14ac:dyDescent="0.25">
      <c r="B279" s="169" t="s">
        <v>511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39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5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590</v>
      </c>
      <c r="H285" s="3" t="s">
        <v>590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588</v>
      </c>
      <c r="C290" s="3">
        <f>C287/C288</f>
        <v>0.33567230039130802</v>
      </c>
    </row>
    <row r="291" spans="2:3" x14ac:dyDescent="0.2">
      <c r="B291" s="3" t="s">
        <v>589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624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614</v>
      </c>
      <c r="E3" s="3" t="s">
        <v>613</v>
      </c>
      <c r="F3" s="290" t="s">
        <v>608</v>
      </c>
      <c r="G3" s="290" t="s">
        <v>616</v>
      </c>
      <c r="H3" s="3" t="s">
        <v>617</v>
      </c>
      <c r="I3" s="290" t="s">
        <v>618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625</v>
      </c>
      <c r="V3" s="3" t="s">
        <v>626</v>
      </c>
    </row>
    <row r="4" spans="2:22" x14ac:dyDescent="0.2">
      <c r="B4" s="3"/>
      <c r="C4" s="169" t="s">
        <v>597</v>
      </c>
      <c r="D4" s="13" t="s">
        <v>615</v>
      </c>
      <c r="E4" s="13" t="s">
        <v>63</v>
      </c>
      <c r="F4" s="13" t="s">
        <v>346</v>
      </c>
      <c r="G4" s="13" t="s">
        <v>615</v>
      </c>
      <c r="H4" s="13" t="s">
        <v>98</v>
      </c>
      <c r="I4" s="13" t="s">
        <v>615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597</v>
      </c>
      <c r="U4" s="13" t="s">
        <v>58</v>
      </c>
      <c r="V4" s="13" t="s">
        <v>58</v>
      </c>
    </row>
    <row r="5" spans="2:22" ht="15" customHeight="1" x14ac:dyDescent="0.2">
      <c r="B5" s="339" t="s">
        <v>591</v>
      </c>
      <c r="C5" s="3" t="s">
        <v>596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596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601</v>
      </c>
      <c r="F6" s="1" t="s">
        <v>602</v>
      </c>
      <c r="G6" s="1" t="s">
        <v>603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599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598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599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593</v>
      </c>
      <c r="F9" s="3" t="s">
        <v>594</v>
      </c>
      <c r="G9" s="290" t="s">
        <v>605</v>
      </c>
      <c r="H9" s="290" t="s">
        <v>606</v>
      </c>
      <c r="I9" s="3" t="s">
        <v>607</v>
      </c>
      <c r="J9" s="290" t="s">
        <v>608</v>
      </c>
      <c r="K9" s="290" t="s">
        <v>609</v>
      </c>
      <c r="L9" s="290" t="s">
        <v>101</v>
      </c>
      <c r="M9" s="290" t="s">
        <v>610</v>
      </c>
      <c r="N9" s="290" t="s">
        <v>611</v>
      </c>
      <c r="O9" s="3" t="s">
        <v>54</v>
      </c>
      <c r="P9" s="290" t="s">
        <v>612</v>
      </c>
      <c r="Q9" s="290" t="s">
        <v>34</v>
      </c>
    </row>
    <row r="10" spans="2:22" ht="17" x14ac:dyDescent="0.25">
      <c r="B10" s="339"/>
      <c r="C10" s="3"/>
      <c r="D10" s="13" t="s">
        <v>627</v>
      </c>
      <c r="E10" s="13" t="s">
        <v>240</v>
      </c>
      <c r="F10" s="13" t="s">
        <v>240</v>
      </c>
      <c r="G10" s="13" t="s">
        <v>500</v>
      </c>
      <c r="H10" s="13" t="s">
        <v>500</v>
      </c>
      <c r="I10" s="13" t="s">
        <v>240</v>
      </c>
      <c r="J10" s="13" t="s">
        <v>500</v>
      </c>
      <c r="K10" s="13" t="s">
        <v>501</v>
      </c>
      <c r="L10" s="13" t="s">
        <v>501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625</v>
      </c>
      <c r="V10" s="3" t="s">
        <v>626</v>
      </c>
    </row>
    <row r="11" spans="2:22" x14ac:dyDescent="0.2">
      <c r="B11" s="339"/>
      <c r="C11" s="3" t="s">
        <v>598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597</v>
      </c>
      <c r="U11" s="13" t="s">
        <v>58</v>
      </c>
      <c r="V11" s="13" t="s">
        <v>58</v>
      </c>
    </row>
    <row r="12" spans="2:22" x14ac:dyDescent="0.2">
      <c r="S12" s="340" t="s">
        <v>628</v>
      </c>
      <c r="T12" s="13" t="s">
        <v>596</v>
      </c>
      <c r="U12" s="238" t="s">
        <v>476</v>
      </c>
      <c r="V12" s="238">
        <v>880.83</v>
      </c>
    </row>
    <row r="13" spans="2:22" x14ac:dyDescent="0.2">
      <c r="B13" s="238"/>
      <c r="C13" s="238"/>
      <c r="D13" s="238" t="s">
        <v>595</v>
      </c>
      <c r="E13" s="238" t="s">
        <v>593</v>
      </c>
      <c r="F13" s="238" t="s">
        <v>594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0"/>
      <c r="T13" s="13" t="s">
        <v>599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600</v>
      </c>
      <c r="H14" s="292" t="s">
        <v>600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0"/>
      <c r="T14" s="13" t="s">
        <v>598</v>
      </c>
      <c r="U14" s="238">
        <v>869.44899999999996</v>
      </c>
      <c r="V14" s="238">
        <v>858.81600000000003</v>
      </c>
    </row>
    <row r="15" spans="2:22" x14ac:dyDescent="0.2">
      <c r="B15" s="339" t="s">
        <v>592</v>
      </c>
      <c r="C15" s="238" t="s">
        <v>596</v>
      </c>
      <c r="D15" s="238">
        <f>'Ore-&gt;PI'!BR156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39"/>
      <c r="C16" s="238"/>
      <c r="D16" s="238" t="s">
        <v>54</v>
      </c>
      <c r="E16" s="293" t="s">
        <v>601</v>
      </c>
      <c r="F16" s="293" t="s">
        <v>602</v>
      </c>
      <c r="G16" s="293" t="s">
        <v>603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39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39"/>
      <c r="C18" s="238" t="s">
        <v>599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39"/>
      <c r="C19" s="238"/>
      <c r="D19" s="238" t="s">
        <v>499</v>
      </c>
      <c r="E19" s="238" t="s">
        <v>499</v>
      </c>
      <c r="F19" s="295" t="s">
        <v>620</v>
      </c>
      <c r="G19" s="295" t="s">
        <v>621</v>
      </c>
      <c r="H19" s="295" t="s">
        <v>608</v>
      </c>
      <c r="I19" s="295" t="s">
        <v>618</v>
      </c>
      <c r="J19" s="295" t="s">
        <v>618</v>
      </c>
      <c r="K19" s="238" t="s">
        <v>40</v>
      </c>
      <c r="L19" s="295" t="s">
        <v>610</v>
      </c>
      <c r="M19" s="295" t="s">
        <v>611</v>
      </c>
      <c r="N19" s="295" t="s">
        <v>622</v>
      </c>
      <c r="O19" s="295" t="s">
        <v>623</v>
      </c>
      <c r="P19" s="295" t="s">
        <v>34</v>
      </c>
    </row>
    <row r="20" spans="2:16" x14ac:dyDescent="0.2">
      <c r="B20" s="339"/>
      <c r="C20" s="238"/>
      <c r="D20" s="292" t="s">
        <v>500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501</v>
      </c>
      <c r="J20" s="292" t="s">
        <v>619</v>
      </c>
      <c r="K20" s="292" t="s">
        <v>604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39"/>
      <c r="C21" s="238" t="s">
        <v>598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570</v>
      </c>
    </row>
    <row r="33" spans="3:3" x14ac:dyDescent="0.2">
      <c r="C33" s="3" t="s">
        <v>571</v>
      </c>
    </row>
    <row r="34" spans="3:3" x14ac:dyDescent="0.2">
      <c r="C34" s="3" t="s">
        <v>555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BY118" zoomScale="125" zoomScaleNormal="120" workbookViewId="0">
      <selection activeCell="CN153" sqref="CN153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57" t="s">
        <v>364</v>
      </c>
      <c r="Q23" s="357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58"/>
      <c r="Q24" s="358"/>
    </row>
    <row r="25" spans="14:66" ht="16" x14ac:dyDescent="0.2">
      <c r="P25" s="354" t="s">
        <v>344</v>
      </c>
      <c r="Q25" s="138" t="s">
        <v>317</v>
      </c>
      <c r="AO25" s="362" t="s">
        <v>436</v>
      </c>
      <c r="AP25" s="362"/>
      <c r="AQ25" s="362"/>
      <c r="AR25" s="362"/>
      <c r="AS25" s="362"/>
      <c r="AT25" s="362"/>
      <c r="AU25" s="362"/>
      <c r="BH25" s="362" t="s">
        <v>440</v>
      </c>
      <c r="BI25" s="362"/>
      <c r="BJ25" s="362"/>
      <c r="BK25" s="362"/>
      <c r="BL25" s="362"/>
      <c r="BM25" s="362"/>
      <c r="BN25" s="362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634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67" t="s">
        <v>421</v>
      </c>
      <c r="F42" s="367"/>
      <c r="G42" s="367"/>
      <c r="H42" s="367"/>
      <c r="J42" s="4"/>
      <c r="K42" s="4"/>
      <c r="L42" s="4"/>
      <c r="M42" s="4"/>
      <c r="N42" s="4"/>
      <c r="O42" s="4"/>
      <c r="P42" s="269"/>
      <c r="Q42" s="269" t="s">
        <v>422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49" t="s">
        <v>414</v>
      </c>
      <c r="X42" s="349"/>
      <c r="Y42" s="349"/>
      <c r="Z42" s="349"/>
      <c r="AA42" s="349"/>
      <c r="AB42" s="4"/>
      <c r="AC42" s="4"/>
      <c r="AD42" s="4"/>
      <c r="AE42" s="4"/>
      <c r="AF42" s="4"/>
      <c r="AG42" s="4"/>
      <c r="AH42" s="4"/>
      <c r="AI42" s="97"/>
      <c r="AJ42" s="4" t="s">
        <v>549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49" t="s">
        <v>563</v>
      </c>
      <c r="AQ42" s="349"/>
      <c r="AR42" s="349"/>
      <c r="AS42" s="349"/>
      <c r="AT42" s="349"/>
      <c r="AV42" s="4"/>
      <c r="AW42" s="4"/>
      <c r="AX42" s="4"/>
      <c r="AY42" s="4"/>
      <c r="AZ42" s="4"/>
      <c r="BA42" s="4"/>
      <c r="BB42" s="4"/>
      <c r="BC42" s="4" t="s">
        <v>548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49" t="s">
        <v>441</v>
      </c>
      <c r="BJ42" s="349"/>
      <c r="BK42" s="349"/>
      <c r="BL42" s="349"/>
      <c r="BM42" s="349"/>
      <c r="BV42" s="3" t="s">
        <v>546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67"/>
      <c r="F43" s="367"/>
      <c r="G43" s="367"/>
      <c r="H43" s="367"/>
      <c r="J43" s="4"/>
      <c r="K43" s="4"/>
      <c r="L43" s="4"/>
      <c r="M43" s="4"/>
      <c r="N43" s="4"/>
      <c r="O43" s="4"/>
      <c r="P43" s="4"/>
      <c r="Q43" s="4"/>
      <c r="R43" s="4"/>
      <c r="S43" s="4"/>
      <c r="W43" s="356"/>
      <c r="X43" s="356"/>
      <c r="Y43" s="356"/>
      <c r="Z43" s="356"/>
      <c r="AA43" s="35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49"/>
      <c r="AQ43" s="349"/>
      <c r="AR43" s="349"/>
      <c r="AS43" s="349"/>
      <c r="AT43" s="34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49"/>
      <c r="BJ43" s="349"/>
      <c r="BK43" s="349"/>
      <c r="BL43" s="349"/>
      <c r="BM43" s="349"/>
    </row>
    <row r="44" spans="5:80" ht="19.25" customHeight="1" x14ac:dyDescent="0.25">
      <c r="J44" s="4"/>
      <c r="K44" s="1" t="s">
        <v>556</v>
      </c>
      <c r="L44" s="1" t="s">
        <v>557</v>
      </c>
      <c r="M44" s="1" t="s">
        <v>559</v>
      </c>
      <c r="N44" s="1" t="s">
        <v>85</v>
      </c>
      <c r="O44" s="1" t="s">
        <v>660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558</v>
      </c>
      <c r="V44" s="1" t="s">
        <v>50</v>
      </c>
      <c r="W44" s="22" t="s">
        <v>429</v>
      </c>
      <c r="X44" s="100" t="s">
        <v>477</v>
      </c>
      <c r="Y44" s="190" t="s">
        <v>337</v>
      </c>
      <c r="Z44" s="352" t="s">
        <v>344</v>
      </c>
      <c r="AA44" s="138" t="s">
        <v>317</v>
      </c>
      <c r="AB44" s="4"/>
      <c r="AC44" s="4"/>
      <c r="AD44" s="1" t="s">
        <v>556</v>
      </c>
      <c r="AE44" s="1" t="s">
        <v>557</v>
      </c>
      <c r="AF44" s="1" t="s">
        <v>559</v>
      </c>
      <c r="AG44" s="1" t="s">
        <v>85</v>
      </c>
      <c r="AH44" s="1" t="s">
        <v>660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558</v>
      </c>
      <c r="AO44" s="1" t="s">
        <v>50</v>
      </c>
      <c r="AP44" s="22" t="s">
        <v>429</v>
      </c>
      <c r="AQ44" s="22" t="s">
        <v>477</v>
      </c>
      <c r="AR44" s="159" t="s">
        <v>337</v>
      </c>
      <c r="AS44" s="354" t="s">
        <v>344</v>
      </c>
      <c r="AT44" s="138" t="s">
        <v>317</v>
      </c>
      <c r="AU44" s="4"/>
      <c r="AV44" s="4"/>
      <c r="AW44" s="1" t="s">
        <v>556</v>
      </c>
      <c r="AX44" s="1" t="s">
        <v>557</v>
      </c>
      <c r="AY44" s="1" t="s">
        <v>559</v>
      </c>
      <c r="AZ44" s="1" t="s">
        <v>85</v>
      </c>
      <c r="BA44" s="1" t="s">
        <v>660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558</v>
      </c>
      <c r="BH44" s="1" t="s">
        <v>50</v>
      </c>
      <c r="BI44" s="22" t="s">
        <v>429</v>
      </c>
      <c r="BJ44" s="22" t="s">
        <v>477</v>
      </c>
      <c r="BK44" s="190" t="s">
        <v>337</v>
      </c>
      <c r="BL44" s="354" t="s">
        <v>344</v>
      </c>
      <c r="BM44" s="138" t="s">
        <v>317</v>
      </c>
      <c r="BN44" s="1"/>
      <c r="BO44" s="4"/>
      <c r="BP44" s="1" t="s">
        <v>556</v>
      </c>
      <c r="BQ44" s="1" t="s">
        <v>557</v>
      </c>
      <c r="BR44" s="1" t="s">
        <v>559</v>
      </c>
      <c r="BS44" s="1" t="s">
        <v>85</v>
      </c>
      <c r="BT44" s="1" t="s">
        <v>660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558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647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53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647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647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647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0" t="s">
        <v>422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2">
        <f>ROUND(U42+U59+U72-AN42-AN63, 10)</f>
        <v>0</v>
      </c>
      <c r="Z46" s="189" t="s">
        <v>341</v>
      </c>
      <c r="AA46" s="136">
        <f>(($AG$46*($AN$46-$U$46))/V59)</f>
        <v>0</v>
      </c>
      <c r="AB46" s="350" t="s">
        <v>549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0" t="s">
        <v>548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50" t="s">
        <v>546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634</v>
      </c>
      <c r="AA47" s="136">
        <f>($AO$42+AO63)/(V59+V72+$V$42)</f>
        <v>0.54834789034775577</v>
      </c>
      <c r="AB47" s="35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634</v>
      </c>
      <c r="AT47" s="136">
        <f>BH42/(AU28+AO42)</f>
        <v>0.15191900995389168</v>
      </c>
      <c r="AU47" s="35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634</v>
      </c>
      <c r="BM47" s="136">
        <f>(CA42+CA55)/(BN35+BH42)</f>
        <v>0.9084965360427989</v>
      </c>
      <c r="BN47" s="35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0" t="s">
        <v>551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50" t="s">
        <v>550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50" t="s">
        <v>547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0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0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0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661</v>
      </c>
      <c r="BU49" s="4"/>
      <c r="BV49" s="4"/>
      <c r="BZ49" s="3" t="s">
        <v>96</v>
      </c>
      <c r="CA49" s="1" t="s">
        <v>93</v>
      </c>
    </row>
    <row r="50" spans="2:86" x14ac:dyDescent="0.2">
      <c r="I50" s="35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583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583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583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661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585</v>
      </c>
      <c r="Z53" s="1" t="s">
        <v>585</v>
      </c>
      <c r="AA53" s="1" t="s">
        <v>585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661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585</v>
      </c>
      <c r="AS53" s="1" t="s">
        <v>585</v>
      </c>
      <c r="AT53" s="1" t="s">
        <v>585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661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585</v>
      </c>
      <c r="BK53" s="1" t="s">
        <v>585</v>
      </c>
      <c r="BL53" s="1" t="s">
        <v>585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584</v>
      </c>
      <c r="Z54" s="3" t="s">
        <v>584</v>
      </c>
      <c r="AA54" s="3" t="s">
        <v>584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584</v>
      </c>
      <c r="AS54" s="3" t="s">
        <v>584</v>
      </c>
      <c r="AT54" s="3" t="s">
        <v>584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584</v>
      </c>
      <c r="BK54" s="3" t="s">
        <v>584</v>
      </c>
      <c r="BL54" s="3" t="s">
        <v>584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545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556</v>
      </c>
      <c r="BQ57" s="1" t="s">
        <v>557</v>
      </c>
      <c r="BR57" s="1" t="s">
        <v>559</v>
      </c>
      <c r="BS57" s="1" t="s">
        <v>85</v>
      </c>
      <c r="BT57" s="1" t="s">
        <v>660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558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647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574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0" t="s">
        <v>545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50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3" t="s">
        <v>487</v>
      </c>
      <c r="C61" s="343"/>
      <c r="D61" s="343"/>
      <c r="E61" s="343"/>
      <c r="F61" s="343"/>
      <c r="G61" s="343"/>
      <c r="H61" s="343"/>
      <c r="J61" s="4"/>
      <c r="K61" s="3" t="s">
        <v>562</v>
      </c>
      <c r="L61" s="1" t="s">
        <v>556</v>
      </c>
      <c r="M61" s="1" t="s">
        <v>559</v>
      </c>
      <c r="N61" s="1" t="s">
        <v>85</v>
      </c>
      <c r="O61" s="1" t="s">
        <v>660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558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5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4"/>
      <c r="C62" s="344"/>
      <c r="D62" s="344"/>
      <c r="E62" s="344"/>
      <c r="F62" s="344"/>
      <c r="G62" s="344"/>
      <c r="H62" s="344"/>
      <c r="J62" s="4" t="s">
        <v>41</v>
      </c>
      <c r="K62" s="3" t="s">
        <v>561</v>
      </c>
      <c r="L62" s="1" t="s">
        <v>88</v>
      </c>
      <c r="M62" s="1" t="s">
        <v>90</v>
      </c>
      <c r="N62" s="1" t="s">
        <v>86</v>
      </c>
      <c r="O62" s="1" t="s">
        <v>647</v>
      </c>
      <c r="P62" s="1" t="s">
        <v>648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574</v>
      </c>
      <c r="J63" s="62" t="s">
        <v>490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515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661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661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556</v>
      </c>
      <c r="AE65" s="1" t="s">
        <v>557</v>
      </c>
      <c r="AF65" s="1" t="s">
        <v>559</v>
      </c>
      <c r="AG65" s="1" t="s">
        <v>85</v>
      </c>
      <c r="AH65" s="1" t="s">
        <v>660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558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647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0" t="s">
        <v>515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661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526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3" t="s">
        <v>520</v>
      </c>
      <c r="F74" s="343"/>
      <c r="G74" s="343"/>
      <c r="H74" s="343"/>
      <c r="K74" s="1" t="s">
        <v>556</v>
      </c>
      <c r="L74" s="1" t="s">
        <v>557</v>
      </c>
      <c r="M74" s="1" t="s">
        <v>559</v>
      </c>
      <c r="N74" s="1" t="s">
        <v>85</v>
      </c>
      <c r="O74" s="1" t="s">
        <v>660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558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3"/>
      <c r="F75" s="343"/>
      <c r="G75" s="343"/>
      <c r="H75" s="34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647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0" t="s">
        <v>526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0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661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517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3" t="s">
        <v>516</v>
      </c>
      <c r="DU103" s="343"/>
      <c r="DV103" s="343"/>
      <c r="DW103" s="343"/>
      <c r="DX103" s="343"/>
      <c r="DY103" s="343"/>
      <c r="EA103" s="4"/>
      <c r="EB103" s="3" t="s">
        <v>562</v>
      </c>
      <c r="EC103" s="1" t="s">
        <v>556</v>
      </c>
      <c r="ED103" s="3" t="s">
        <v>5</v>
      </c>
      <c r="EE103" s="1" t="s">
        <v>85</v>
      </c>
      <c r="EF103" s="1" t="s">
        <v>660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558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4"/>
      <c r="DU104" s="344"/>
      <c r="DV104" s="344"/>
      <c r="DW104" s="344"/>
      <c r="DX104" s="344"/>
      <c r="DY104" s="344"/>
      <c r="EA104" s="4" t="s">
        <v>41</v>
      </c>
      <c r="EB104" s="3" t="s">
        <v>561</v>
      </c>
      <c r="EC104" s="1" t="s">
        <v>88</v>
      </c>
      <c r="ED104" s="1" t="s">
        <v>90</v>
      </c>
      <c r="EE104" s="1" t="s">
        <v>86</v>
      </c>
      <c r="EF104" s="1" t="s">
        <v>647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565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517</v>
      </c>
      <c r="EA105" s="96" t="s">
        <v>508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557</v>
      </c>
      <c r="FD106" s="1" t="s">
        <v>5</v>
      </c>
      <c r="FE106" s="1" t="s">
        <v>85</v>
      </c>
      <c r="FF106" s="1" t="s">
        <v>660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558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555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661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560</v>
      </c>
      <c r="FD107" s="2" t="s">
        <v>12</v>
      </c>
      <c r="FE107" s="2" t="s">
        <v>13</v>
      </c>
      <c r="FF107" s="1" t="s">
        <v>647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565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1" t="s">
        <v>436</v>
      </c>
      <c r="AP110" s="342"/>
      <c r="AQ110" s="342"/>
      <c r="AR110" s="342"/>
      <c r="AS110" s="342"/>
      <c r="AT110" s="342"/>
      <c r="AU110" s="342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2" t="s">
        <v>440</v>
      </c>
      <c r="BH110" s="342"/>
      <c r="BI110" s="342"/>
      <c r="BJ110" s="342"/>
      <c r="BK110" s="342"/>
      <c r="BL110" s="342"/>
      <c r="BM110" s="342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661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65" t="s">
        <v>364</v>
      </c>
      <c r="Q111" s="36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66"/>
      <c r="Q112" s="36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533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475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2" t="s">
        <v>442</v>
      </c>
      <c r="EQ114" s="342"/>
      <c r="ER114" s="342"/>
      <c r="ES114" s="342"/>
      <c r="ET114" s="342"/>
      <c r="EU114" s="342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634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556</v>
      </c>
      <c r="CM116" s="1" t="s">
        <v>557</v>
      </c>
      <c r="CN116" s="1" t="s">
        <v>559</v>
      </c>
      <c r="CO116" s="1" t="s">
        <v>85</v>
      </c>
      <c r="CP116" s="1" t="s">
        <v>660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558</v>
      </c>
      <c r="CW116" s="1" t="s">
        <v>50</v>
      </c>
      <c r="CX116" s="6"/>
      <c r="CY116" s="4"/>
      <c r="DB116" s="4"/>
      <c r="DC116" s="4"/>
      <c r="DT116" s="343" t="s">
        <v>474</v>
      </c>
      <c r="DU116" s="343"/>
      <c r="DV116" s="343"/>
      <c r="DW116" s="343"/>
      <c r="DX116" s="343"/>
      <c r="DY116" s="343"/>
      <c r="EA116" s="4"/>
      <c r="EB116" s="3" t="s">
        <v>562</v>
      </c>
      <c r="EC116" s="1" t="s">
        <v>556</v>
      </c>
      <c r="ED116" s="3" t="s">
        <v>5</v>
      </c>
      <c r="EE116" s="1" t="s">
        <v>85</v>
      </c>
      <c r="EF116" s="1" t="s">
        <v>660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558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647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4"/>
      <c r="DU117" s="344"/>
      <c r="DV117" s="344"/>
      <c r="DW117" s="344"/>
      <c r="DX117" s="344"/>
      <c r="DY117" s="344"/>
      <c r="EA117" s="4" t="s">
        <v>41</v>
      </c>
      <c r="EB117" s="3" t="s">
        <v>561</v>
      </c>
      <c r="EC117" s="1" t="s">
        <v>88</v>
      </c>
      <c r="ED117" s="1" t="s">
        <v>90</v>
      </c>
      <c r="EE117" s="1" t="s">
        <v>86</v>
      </c>
      <c r="EF117" s="1" t="s">
        <v>647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533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475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661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661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531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67" t="s">
        <v>519</v>
      </c>
      <c r="F126" s="367"/>
      <c r="G126" s="367"/>
      <c r="H126" s="367"/>
      <c r="J126" s="6"/>
      <c r="K126" s="121"/>
      <c r="L126" s="6"/>
      <c r="M126" s="6"/>
      <c r="N126" s="6"/>
      <c r="O126" s="6"/>
      <c r="P126" s="6"/>
      <c r="Q126" s="6" t="s">
        <v>424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0" t="s">
        <v>415</v>
      </c>
      <c r="X126" s="360"/>
      <c r="Y126" s="360"/>
      <c r="Z126" s="360"/>
      <c r="AA126" s="360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518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0" t="s">
        <v>542</v>
      </c>
      <c r="AR126" s="360"/>
      <c r="AS126" s="360"/>
      <c r="AT126" s="360"/>
      <c r="AU126" s="360"/>
      <c r="AV126" s="6"/>
      <c r="AW126" s="6"/>
      <c r="AX126" s="121"/>
      <c r="AY126" s="6"/>
      <c r="AZ126" s="6"/>
      <c r="BA126" s="6"/>
      <c r="BB126" s="6"/>
      <c r="BC126" s="6"/>
      <c r="BD126" s="6" t="s">
        <v>543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0" t="s">
        <v>438</v>
      </c>
      <c r="BK126" s="360"/>
      <c r="BL126" s="360"/>
      <c r="BM126" s="360"/>
      <c r="BN126" s="360"/>
      <c r="BO126" s="6"/>
      <c r="BP126" s="6"/>
      <c r="BQ126" s="121"/>
      <c r="BR126" s="6"/>
      <c r="BS126" s="6"/>
      <c r="BT126" s="6"/>
      <c r="BU126" s="6"/>
      <c r="BV126" s="6"/>
      <c r="BW126" s="6" t="s">
        <v>483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0" t="s">
        <v>439</v>
      </c>
      <c r="CD126" s="360"/>
      <c r="CE126" s="360"/>
      <c r="CF126" s="360"/>
      <c r="CG126" s="360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9" t="s">
        <v>81</v>
      </c>
      <c r="DT126" s="379"/>
      <c r="DU126" s="379"/>
      <c r="DV126" s="379"/>
      <c r="DW126" s="379"/>
      <c r="DX126" s="379"/>
      <c r="DY126" s="379"/>
      <c r="EG126" s="3" t="s">
        <v>552</v>
      </c>
      <c r="EL126" s="171">
        <f>EB134</f>
        <v>1309.8157778632656</v>
      </c>
      <c r="EM126" s="172">
        <f>EM134</f>
        <v>7072531.8830895294</v>
      </c>
      <c r="EN126" s="348" t="s">
        <v>426</v>
      </c>
      <c r="EO126" s="348"/>
      <c r="EP126" s="348"/>
      <c r="EQ126" s="348"/>
      <c r="ER126" s="348"/>
      <c r="ES126" s="348"/>
      <c r="ET126" s="348"/>
      <c r="EY126" s="1"/>
      <c r="EZ126" s="1"/>
      <c r="FA126" s="1"/>
      <c r="FB126" s="1"/>
      <c r="FC126" s="1"/>
      <c r="FD126" s="1"/>
      <c r="FE126" s="3" t="s">
        <v>553</v>
      </c>
      <c r="FL126" s="50">
        <f>FB131</f>
        <v>616.23583583508366</v>
      </c>
      <c r="FM126" s="48">
        <f>FM131</f>
        <v>4157895.2984628798</v>
      </c>
      <c r="FN126" s="348" t="s">
        <v>420</v>
      </c>
      <c r="FO126" s="348"/>
      <c r="FP126" s="348"/>
      <c r="FQ126" s="348"/>
      <c r="FR126" s="348"/>
      <c r="FS126" s="348"/>
      <c r="FT126" s="348"/>
    </row>
    <row r="127" spans="5:176" ht="16.25" customHeight="1" thickBot="1" x14ac:dyDescent="0.25">
      <c r="E127" s="367"/>
      <c r="F127" s="367"/>
      <c r="G127" s="367"/>
      <c r="H127" s="36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1"/>
      <c r="X127" s="361"/>
      <c r="Y127" s="361"/>
      <c r="Z127" s="361"/>
      <c r="AA127" s="36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0"/>
      <c r="AR127" s="360"/>
      <c r="AS127" s="360"/>
      <c r="AT127" s="360"/>
      <c r="AU127" s="360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0"/>
      <c r="BK127" s="360"/>
      <c r="BL127" s="360"/>
      <c r="BM127" s="360"/>
      <c r="BN127" s="360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0"/>
      <c r="CD127" s="360"/>
      <c r="CE127" s="360"/>
      <c r="CF127" s="360"/>
      <c r="CG127" s="360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9"/>
      <c r="DT127" s="379"/>
      <c r="DU127" s="379"/>
      <c r="DV127" s="379"/>
      <c r="DW127" s="379"/>
      <c r="DX127" s="379"/>
      <c r="DY127" s="379"/>
      <c r="EN127" s="348"/>
      <c r="EO127" s="348"/>
      <c r="EP127" s="348"/>
      <c r="EQ127" s="348"/>
      <c r="ER127" s="348"/>
      <c r="ES127" s="348"/>
      <c r="ET127" s="348"/>
      <c r="EY127" s="1"/>
      <c r="EZ127" s="1"/>
      <c r="FA127" s="1"/>
      <c r="FB127" s="1"/>
      <c r="FC127" s="1"/>
      <c r="FD127" s="1"/>
      <c r="FE127" s="1"/>
      <c r="FF127" s="1"/>
      <c r="FG127" s="1"/>
      <c r="FN127" s="348"/>
      <c r="FO127" s="348"/>
      <c r="FP127" s="348"/>
      <c r="FQ127" s="348"/>
      <c r="FR127" s="348"/>
      <c r="FS127" s="348"/>
      <c r="FT127" s="348"/>
    </row>
    <row r="128" spans="5:176" ht="19.75" customHeight="1" thickBot="1" x14ac:dyDescent="0.3">
      <c r="J128" s="4"/>
      <c r="K128" s="1" t="s">
        <v>556</v>
      </c>
      <c r="L128" s="1" t="s">
        <v>557</v>
      </c>
      <c r="M128" s="1" t="s">
        <v>559</v>
      </c>
      <c r="N128" s="1" t="s">
        <v>85</v>
      </c>
      <c r="O128" s="1" t="s">
        <v>660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558</v>
      </c>
      <c r="V128" s="1" t="s">
        <v>50</v>
      </c>
      <c r="W128" s="22" t="s">
        <v>429</v>
      </c>
      <c r="X128" s="100" t="s">
        <v>477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556</v>
      </c>
      <c r="AF128" s="1" t="s">
        <v>557</v>
      </c>
      <c r="AG128" s="1" t="s">
        <v>559</v>
      </c>
      <c r="AH128" s="1" t="s">
        <v>85</v>
      </c>
      <c r="AI128" s="1" t="s">
        <v>660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558</v>
      </c>
      <c r="AP128" s="1" t="s">
        <v>50</v>
      </c>
      <c r="AQ128" s="22" t="s">
        <v>429</v>
      </c>
      <c r="AR128" s="100" t="s">
        <v>477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556</v>
      </c>
      <c r="AY128" s="1" t="s">
        <v>557</v>
      </c>
      <c r="AZ128" s="1" t="s">
        <v>559</v>
      </c>
      <c r="BA128" s="1" t="s">
        <v>85</v>
      </c>
      <c r="BB128" s="1" t="s">
        <v>660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558</v>
      </c>
      <c r="BI128" s="1" t="s">
        <v>50</v>
      </c>
      <c r="BJ128" s="22" t="s">
        <v>429</v>
      </c>
      <c r="BK128" s="100" t="s">
        <v>477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556</v>
      </c>
      <c r="BR128" s="1" t="s">
        <v>557</v>
      </c>
      <c r="BS128" s="1" t="s">
        <v>559</v>
      </c>
      <c r="BT128" s="1" t="s">
        <v>85</v>
      </c>
      <c r="BU128" s="1" t="s">
        <v>660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558</v>
      </c>
      <c r="CB128" s="1" t="s">
        <v>50</v>
      </c>
      <c r="CC128" s="22" t="s">
        <v>429</v>
      </c>
      <c r="CD128" s="100" t="s">
        <v>477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556</v>
      </c>
      <c r="CM128" s="1" t="s">
        <v>557</v>
      </c>
      <c r="CN128" s="1" t="s">
        <v>559</v>
      </c>
      <c r="CO128" s="1" t="s">
        <v>85</v>
      </c>
      <c r="CP128" s="1" t="s">
        <v>660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558</v>
      </c>
      <c r="CW128" s="1" t="s">
        <v>50</v>
      </c>
      <c r="DS128" s="379"/>
      <c r="DT128" s="379"/>
      <c r="DU128" s="379"/>
      <c r="DV128" s="379"/>
      <c r="DW128" s="379"/>
      <c r="DX128" s="379"/>
      <c r="DY128" s="379"/>
      <c r="EA128" s="4"/>
      <c r="EB128" s="1" t="s">
        <v>556</v>
      </c>
      <c r="EC128" s="1" t="s">
        <v>557</v>
      </c>
      <c r="ED128" s="1" t="s">
        <v>559</v>
      </c>
      <c r="EE128" s="1" t="s">
        <v>85</v>
      </c>
      <c r="EF128" s="1" t="s">
        <v>660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558</v>
      </c>
      <c r="EM128" s="1" t="s">
        <v>50</v>
      </c>
      <c r="EN128" s="348"/>
      <c r="EO128" s="348"/>
      <c r="EP128" s="348"/>
      <c r="EQ128" s="348"/>
      <c r="ER128" s="348"/>
      <c r="ES128" s="348"/>
      <c r="ET128" s="348"/>
      <c r="EZ128" s="1"/>
      <c r="FA128" s="1"/>
      <c r="FB128" s="1" t="s">
        <v>556</v>
      </c>
      <c r="FC128" s="1" t="s">
        <v>557</v>
      </c>
      <c r="FD128" s="1" t="s">
        <v>559</v>
      </c>
      <c r="FE128" s="1" t="s">
        <v>85</v>
      </c>
      <c r="FF128" s="1" t="s">
        <v>660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558</v>
      </c>
      <c r="FM128" s="1" t="s">
        <v>50</v>
      </c>
      <c r="FN128" s="348"/>
      <c r="FO128" s="348"/>
      <c r="FP128" s="348"/>
      <c r="FQ128" s="348"/>
      <c r="FR128" s="348"/>
      <c r="FS128" s="348"/>
      <c r="FT128" s="348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647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647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647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647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647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429</v>
      </c>
      <c r="DU129" s="22" t="s">
        <v>477</v>
      </c>
      <c r="DV129" s="159" t="s">
        <v>337</v>
      </c>
      <c r="DW129" s="346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560</v>
      </c>
      <c r="ED129" s="1" t="s">
        <v>90</v>
      </c>
      <c r="EE129" s="1" t="s">
        <v>86</v>
      </c>
      <c r="EF129" s="1" t="s">
        <v>647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429</v>
      </c>
      <c r="EP129" s="22" t="s">
        <v>477</v>
      </c>
      <c r="EQ129" s="190" t="s">
        <v>337</v>
      </c>
      <c r="ER129" s="374" t="s">
        <v>344</v>
      </c>
      <c r="ES129" s="102" t="s">
        <v>317</v>
      </c>
      <c r="FA129" s="2" t="s">
        <v>41</v>
      </c>
      <c r="FB129" s="1" t="s">
        <v>88</v>
      </c>
      <c r="FC129" s="1" t="s">
        <v>560</v>
      </c>
      <c r="FD129" s="1" t="s">
        <v>90</v>
      </c>
      <c r="FE129" s="1" t="s">
        <v>86</v>
      </c>
      <c r="FF129" s="1" t="s">
        <v>647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1" t="s">
        <v>424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2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1" t="s">
        <v>518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41" t="s">
        <v>543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41" t="s">
        <v>530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531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47"/>
      <c r="DX130" s="136" t="s">
        <v>82</v>
      </c>
      <c r="DY130" s="4"/>
      <c r="DZ130" s="341" t="s">
        <v>552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75"/>
      <c r="ES130" s="136" t="s">
        <v>82</v>
      </c>
      <c r="EZ130" s="220" t="s">
        <v>553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1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634</v>
      </c>
      <c r="AA131" s="136">
        <f>($AP$126+AP142)/(SUM(V126,V140,V163,V151))</f>
        <v>0.98926908455007689</v>
      </c>
      <c r="AB131" s="4"/>
      <c r="AC131" s="341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634</v>
      </c>
      <c r="AU131" s="136">
        <f>BI126/(AU113+AP126)</f>
        <v>0.89989464623142024</v>
      </c>
      <c r="AV131" s="341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634</v>
      </c>
      <c r="BN131" s="136">
        <f>CB126/(BM113+BI126)</f>
        <v>0.99885105550639652</v>
      </c>
      <c r="BO131" s="341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634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1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500587.32575948373</v>
      </c>
      <c r="EP131" s="279">
        <f>SUM(EM101,EM114,EM126,EM140,EM152)-(FM126+FM141+FM104)</f>
        <v>9127210.110772185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661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634</v>
      </c>
      <c r="DX132" s="103">
        <f>EM126/(CW126+CW206+CA42)</f>
        <v>0.99300939590335358</v>
      </c>
      <c r="DY132" s="4"/>
      <c r="DZ132" s="341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634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661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661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661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661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661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1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583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583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583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585</v>
      </c>
      <c r="AS135" s="1" t="s">
        <v>585</v>
      </c>
      <c r="AT135" s="1" t="s">
        <v>585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585</v>
      </c>
      <c r="BL135" s="1" t="s">
        <v>585</v>
      </c>
      <c r="BM135" s="1" t="s">
        <v>585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661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585</v>
      </c>
      <c r="Z136" s="1" t="s">
        <v>585</v>
      </c>
      <c r="AA136" s="1" t="s">
        <v>585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584</v>
      </c>
      <c r="AS136" s="3" t="s">
        <v>584</v>
      </c>
      <c r="AT136" s="3" t="s">
        <v>584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584</v>
      </c>
      <c r="BL136" s="3" t="s">
        <v>584</v>
      </c>
      <c r="BM136" s="3" t="s">
        <v>584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583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3" t="s">
        <v>487</v>
      </c>
      <c r="C137" s="343"/>
      <c r="D137" s="343"/>
      <c r="E137" s="343"/>
      <c r="F137" s="343"/>
      <c r="G137" s="343"/>
      <c r="H137" s="343"/>
      <c r="T137" s="4"/>
      <c r="U137" s="4"/>
      <c r="V137" s="4"/>
      <c r="W137" s="4"/>
      <c r="X137" s="4" t="s">
        <v>60</v>
      </c>
      <c r="Y137" s="3" t="s">
        <v>584</v>
      </c>
      <c r="Z137" s="3" t="s">
        <v>584</v>
      </c>
      <c r="AA137" s="3" t="s">
        <v>584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585</v>
      </c>
      <c r="CF137" s="1" t="s">
        <v>585</v>
      </c>
      <c r="CG137" s="1" t="s">
        <v>585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583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4"/>
      <c r="C138" s="344"/>
      <c r="D138" s="344"/>
      <c r="E138" s="344"/>
      <c r="F138" s="344"/>
      <c r="G138" s="344"/>
      <c r="H138" s="34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584</v>
      </c>
      <c r="CF138" s="3" t="s">
        <v>584</v>
      </c>
      <c r="CG138" s="3" t="s">
        <v>584</v>
      </c>
      <c r="CH138" s="1"/>
      <c r="CI138" s="1"/>
      <c r="CJ138" s="1"/>
      <c r="CK138" s="1"/>
      <c r="CL138" s="1"/>
      <c r="CO138" s="4"/>
      <c r="CP138" s="4"/>
      <c r="CQ138" s="4"/>
      <c r="CR138" s="3" t="s">
        <v>532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585</v>
      </c>
      <c r="ER138" s="1" t="s">
        <v>585</v>
      </c>
      <c r="ES138" s="1" t="s">
        <v>585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584</v>
      </c>
      <c r="ER139" s="3" t="s">
        <v>584</v>
      </c>
      <c r="ES139" s="3" t="s">
        <v>584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574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526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556</v>
      </c>
      <c r="CM140" s="1" t="s">
        <v>557</v>
      </c>
      <c r="CN140" s="1" t="s">
        <v>559</v>
      </c>
      <c r="CO140" s="1" t="s">
        <v>85</v>
      </c>
      <c r="CP140" s="1" t="s">
        <v>660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558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526</v>
      </c>
      <c r="EI140" s="165"/>
      <c r="EJ140" s="165"/>
      <c r="EK140" s="165"/>
      <c r="EL140" s="171">
        <f>EB146</f>
        <v>2870.841834451006</v>
      </c>
      <c r="EM140" s="172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647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554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562</v>
      </c>
      <c r="L142" s="1" t="s">
        <v>556</v>
      </c>
      <c r="M142" s="1" t="s">
        <v>559</v>
      </c>
      <c r="N142" s="1" t="s">
        <v>85</v>
      </c>
      <c r="O142" s="1" t="s">
        <v>660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558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544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3" t="s">
        <v>520</v>
      </c>
      <c r="BL142" s="343"/>
      <c r="BM142" s="343"/>
      <c r="BN142" s="343"/>
      <c r="BP142" s="4"/>
      <c r="BQ142" s="1" t="s">
        <v>556</v>
      </c>
      <c r="BR142" s="1" t="s">
        <v>557</v>
      </c>
      <c r="BS142" s="1" t="s">
        <v>559</v>
      </c>
      <c r="BT142" s="1" t="s">
        <v>85</v>
      </c>
      <c r="BU142" s="1" t="s">
        <v>660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558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0" t="s">
        <v>532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3" t="s">
        <v>520</v>
      </c>
      <c r="DW142" s="343"/>
      <c r="DX142" s="343"/>
      <c r="DY142" s="343"/>
      <c r="EA142" s="4"/>
      <c r="EB142" s="1" t="s">
        <v>556</v>
      </c>
      <c r="EC142" s="1" t="s">
        <v>557</v>
      </c>
      <c r="ED142" s="1" t="s">
        <v>559</v>
      </c>
      <c r="EE142" s="1" t="s">
        <v>85</v>
      </c>
      <c r="EF142" s="1" t="s">
        <v>660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558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561</v>
      </c>
      <c r="L143" s="1" t="s">
        <v>88</v>
      </c>
      <c r="M143" s="1" t="s">
        <v>90</v>
      </c>
      <c r="N143" s="1" t="s">
        <v>86</v>
      </c>
      <c r="O143" s="1" t="s">
        <v>647</v>
      </c>
      <c r="P143" s="1" t="s">
        <v>647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3"/>
      <c r="BL143" s="343"/>
      <c r="BM143" s="343"/>
      <c r="BN143" s="343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647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0"/>
      <c r="CK143" s="3" t="s">
        <v>587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:CS146" si="60">LN(CR143)</f>
        <v>-2.3518113992236698</v>
      </c>
      <c r="CT143" s="1">
        <f>RT0*CS143</f>
        <v>-5.3408910166647177</v>
      </c>
      <c r="CU143" s="1">
        <f t="shared" ref="CU143:CU146" si="61">CQ143+CT143</f>
        <v>14.559108983335317</v>
      </c>
      <c r="CV143" s="1">
        <f t="shared" ref="CV143:CV146" si="62">CU143*CR143</f>
        <v>1.3859771931489122</v>
      </c>
      <c r="CW143" s="1">
        <f>$CO$145*CV143</f>
        <v>18905487.833748251</v>
      </c>
      <c r="DV143" s="343"/>
      <c r="DW143" s="343"/>
      <c r="DX143" s="343"/>
      <c r="DY143" s="343"/>
      <c r="EA143" s="94" t="s">
        <v>41</v>
      </c>
      <c r="EB143" s="184" t="s">
        <v>88</v>
      </c>
      <c r="EC143" s="1" t="s">
        <v>560</v>
      </c>
      <c r="ED143" s="185" t="s">
        <v>90</v>
      </c>
      <c r="EE143" s="185" t="s">
        <v>86</v>
      </c>
      <c r="EF143" s="1" t="s">
        <v>647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556</v>
      </c>
      <c r="FC143" s="1" t="s">
        <v>557</v>
      </c>
      <c r="FD143" s="1" t="s">
        <v>559</v>
      </c>
      <c r="FE143" s="1" t="s">
        <v>85</v>
      </c>
      <c r="FF143" s="1" t="s">
        <v>660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558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574</v>
      </c>
      <c r="J144" s="62" t="s">
        <v>490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556</v>
      </c>
      <c r="AF144" s="1" t="s">
        <v>557</v>
      </c>
      <c r="AG144" s="1" t="s">
        <v>559</v>
      </c>
      <c r="AH144" s="1" t="s">
        <v>85</v>
      </c>
      <c r="AI144" s="1" t="s">
        <v>660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558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0" t="s">
        <v>526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0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0" t="s">
        <v>526</v>
      </c>
      <c r="EA144" s="1" t="s">
        <v>303</v>
      </c>
      <c r="EB144" s="176">
        <f>O2_BF_in+O2_added_BF+((((EE118*O2_Naturalgas_molcoeff)+(EE105*O2_Oil_molcoeff)))*ED144)</f>
        <v>750.02828160126808</v>
      </c>
      <c r="EC144" s="173">
        <f>EB144/EB146</f>
        <v>0.26125726349696193</v>
      </c>
      <c r="ED144" s="259">
        <f>MW_O2</f>
        <v>3.1998800000000001E-2</v>
      </c>
      <c r="EE144" s="165">
        <f>EB144/ED144</f>
        <v>23439.262772393591</v>
      </c>
      <c r="EF144" s="27">
        <f>h_O2</f>
        <v>0</v>
      </c>
      <c r="EG144" s="165">
        <f>b_ch_O2</f>
        <v>4</v>
      </c>
      <c r="EH144" s="165">
        <f>EE144/$EE$146</f>
        <v>0.23641120950762273</v>
      </c>
      <c r="EI144" s="177">
        <f>LN(EH144)</f>
        <v>-1.4421825770294348</v>
      </c>
      <c r="EJ144" s="177">
        <f>RT0*EI144</f>
        <v>-3.2751520689922158</v>
      </c>
      <c r="EK144" s="177">
        <f>EG144+EJ144</f>
        <v>0.72484793100778422</v>
      </c>
      <c r="EL144" s="177">
        <f>EK144*EH144</f>
        <v>0.17136217607864815</v>
      </c>
      <c r="EM144" s="177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560</v>
      </c>
      <c r="FD144" s="1" t="s">
        <v>90</v>
      </c>
      <c r="FE144" s="1" t="s">
        <v>86</v>
      </c>
      <c r="FF144" s="1" t="s">
        <v>647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647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0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0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0"/>
      <c r="EA145" s="60" t="s">
        <v>67</v>
      </c>
      <c r="EB145" s="186">
        <f>N2_BF_out+N2_added_BF+(((EE105+N2_molcoeff)+(EE118*N2_molcoeff))*ED145)</f>
        <v>2120.8135528497378</v>
      </c>
      <c r="EC145" s="186">
        <f>EB145/EB146</f>
        <v>0.73874273650303801</v>
      </c>
      <c r="ED145" s="265">
        <f>MW_N2</f>
        <v>2.801348E-2</v>
      </c>
      <c r="EE145" s="187">
        <f>EB145/ED145</f>
        <v>75706.893711518089</v>
      </c>
      <c r="EF145" s="6">
        <f>h_N2</f>
        <v>0</v>
      </c>
      <c r="EG145" s="187">
        <f>b_ch_N2</f>
        <v>0.7</v>
      </c>
      <c r="EH145" s="187">
        <f>EE145/$EE$146</f>
        <v>0.76358879049237727</v>
      </c>
      <c r="EI145" s="185">
        <f>LN(EH145)</f>
        <v>-0.26972586705445795</v>
      </c>
      <c r="EJ145" s="185">
        <f>RT0*EI145</f>
        <v>-0.61253910955138202</v>
      </c>
      <c r="EK145" s="185">
        <f>EG145+EJ145</f>
        <v>8.7460890448617934E-2</v>
      </c>
      <c r="EL145" s="185">
        <f>EK145*EH145</f>
        <v>6.6784155553046481E-2</v>
      </c>
      <c r="EM145" s="185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50" t="s">
        <v>554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661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0" t="s">
        <v>498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661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50"/>
      <c r="FA146" s="3" t="s">
        <v>453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661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661</v>
      </c>
      <c r="EG147" s="4"/>
      <c r="EH147" s="4"/>
      <c r="EL147" s="3" t="s">
        <v>96</v>
      </c>
      <c r="EM147" s="1" t="s">
        <v>93</v>
      </c>
      <c r="EZ147" s="350"/>
      <c r="FA147" s="60" t="s">
        <v>67</v>
      </c>
      <c r="FB147" s="178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661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661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575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475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671</v>
      </c>
      <c r="EL152" s="171">
        <f>EB160</f>
        <v>48.707873030693563</v>
      </c>
      <c r="EM152" s="172">
        <f>EM160</f>
        <v>4161190.674154886</v>
      </c>
    </row>
    <row r="153" spans="2:169" ht="19.25" customHeight="1" x14ac:dyDescent="0.25">
      <c r="B153" s="343" t="s">
        <v>488</v>
      </c>
      <c r="C153" s="343"/>
      <c r="D153" s="343"/>
      <c r="E153" s="343"/>
      <c r="F153" s="343"/>
      <c r="G153" s="343"/>
      <c r="H153" s="343"/>
      <c r="J153" s="4"/>
      <c r="K153" s="3" t="s">
        <v>562</v>
      </c>
      <c r="L153" s="1" t="s">
        <v>556</v>
      </c>
      <c r="M153" s="1" t="s">
        <v>559</v>
      </c>
      <c r="N153" s="1" t="s">
        <v>85</v>
      </c>
      <c r="O153" s="1" t="s">
        <v>660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558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4"/>
      <c r="C154" s="344"/>
      <c r="D154" s="344"/>
      <c r="E154" s="344"/>
      <c r="F154" s="344"/>
      <c r="G154" s="344"/>
      <c r="H154" s="344"/>
      <c r="J154" s="4" t="s">
        <v>41</v>
      </c>
      <c r="K154" s="3" t="s">
        <v>561</v>
      </c>
      <c r="L154" s="1" t="s">
        <v>88</v>
      </c>
      <c r="M154" s="1" t="s">
        <v>90</v>
      </c>
      <c r="N154" s="1" t="s">
        <v>86</v>
      </c>
      <c r="O154" s="1" t="s">
        <v>647</v>
      </c>
      <c r="P154" s="1" t="s">
        <v>647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3" t="s">
        <v>474</v>
      </c>
      <c r="BL154" s="343"/>
      <c r="BM154" s="343"/>
      <c r="BN154" s="343"/>
      <c r="BP154" s="4"/>
      <c r="BQ154" s="3" t="s">
        <v>562</v>
      </c>
      <c r="BR154" s="1" t="s">
        <v>556</v>
      </c>
      <c r="BS154" s="3" t="s">
        <v>5</v>
      </c>
      <c r="BT154" s="3" t="s">
        <v>363</v>
      </c>
      <c r="BU154" s="1" t="s">
        <v>660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556</v>
      </c>
      <c r="EC154" s="1" t="s">
        <v>557</v>
      </c>
      <c r="ED154" s="1" t="s">
        <v>559</v>
      </c>
      <c r="EE154" s="1" t="s">
        <v>85</v>
      </c>
      <c r="EF154" s="1" t="s">
        <v>660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558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575</v>
      </c>
      <c r="J155" s="62" t="s">
        <v>489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3"/>
      <c r="BL155" s="343"/>
      <c r="BM155" s="343"/>
      <c r="BN155" s="343"/>
      <c r="BP155" s="4"/>
      <c r="BQ155" s="3" t="s">
        <v>561</v>
      </c>
      <c r="BR155" s="1" t="s">
        <v>88</v>
      </c>
      <c r="BS155" s="1" t="s">
        <v>90</v>
      </c>
      <c r="BT155" s="2" t="s">
        <v>86</v>
      </c>
      <c r="BU155" s="1" t="s">
        <v>647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560</v>
      </c>
      <c r="ED155" s="1" t="s">
        <v>84</v>
      </c>
      <c r="EE155" s="3" t="s">
        <v>42</v>
      </c>
      <c r="EF155" s="1" t="s">
        <v>647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475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76" t="s">
        <v>525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486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661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76"/>
      <c r="EA157" s="3" t="s">
        <v>65</v>
      </c>
      <c r="EB157" s="3">
        <f>CH4_to_BF</f>
        <v>18.691700922521807</v>
      </c>
      <c r="EC157" s="3">
        <f t="shared" ref="EC157:EC159" si="66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7">LN(EH157)</f>
        <v>-2.5429226700357286</v>
      </c>
      <c r="EJ157" s="3">
        <f>RT0*EI157</f>
        <v>-5.7748988073406355</v>
      </c>
      <c r="EK157" s="3">
        <f t="shared" ref="EK157:EK159" si="68">EG157+EJ157</f>
        <v>826.02510119265935</v>
      </c>
      <c r="EL157" s="3">
        <f t="shared" ref="EL157:EL159" si="69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661</v>
      </c>
      <c r="BV158" s="4"/>
      <c r="BW158" s="4"/>
      <c r="CA158" s="3" t="s">
        <v>96</v>
      </c>
      <c r="CB158" s="1" t="s">
        <v>93</v>
      </c>
      <c r="DZ158" s="376"/>
      <c r="EA158" s="237" t="s">
        <v>24</v>
      </c>
      <c r="EB158" s="3">
        <f>O2_to_BF_from_coke</f>
        <v>1.7477818558410245</v>
      </c>
      <c r="EC158" s="3">
        <f t="shared" si="66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7"/>
        <v>-5.6030955660719171</v>
      </c>
      <c r="EJ158" s="3">
        <f>RT0*EI158</f>
        <v>-12.724456894896331</v>
      </c>
      <c r="EK158" s="3">
        <f t="shared" si="68"/>
        <v>-8.7244568948963312</v>
      </c>
      <c r="EL158" s="3">
        <f t="shared" si="69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76"/>
      <c r="EA159" s="7" t="s">
        <v>67</v>
      </c>
      <c r="EB159" s="3">
        <f>N2_to_BF_from_coke</f>
        <v>0.92544958758317764</v>
      </c>
      <c r="EC159" s="3">
        <f t="shared" si="66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661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526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43" t="s">
        <v>520</v>
      </c>
      <c r="F165" s="343"/>
      <c r="G165" s="343"/>
      <c r="H165" s="343"/>
      <c r="J165" s="4"/>
      <c r="K165" s="1" t="s">
        <v>556</v>
      </c>
      <c r="L165" s="1" t="s">
        <v>557</v>
      </c>
      <c r="M165" s="1" t="s">
        <v>559</v>
      </c>
      <c r="N165" s="1" t="s">
        <v>85</v>
      </c>
      <c r="O165" s="1" t="s">
        <v>660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558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43"/>
      <c r="F166" s="343"/>
      <c r="G166" s="343"/>
      <c r="H166" s="343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647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50" t="s">
        <v>526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5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661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2" t="s">
        <v>435</v>
      </c>
      <c r="X182" s="362"/>
      <c r="Y182" s="362"/>
      <c r="Z182" s="362"/>
      <c r="AA182" s="362"/>
      <c r="AB182" s="362"/>
      <c r="AC182" s="36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17737.041629099938</v>
      </c>
      <c r="AB186" s="13">
        <v>1</v>
      </c>
      <c r="AC186" s="13">
        <f t="shared" ref="AC186:AC194" si="72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1247.041152080064</v>
      </c>
      <c r="AB187" s="13">
        <v>1</v>
      </c>
      <c r="AC187" s="13">
        <f t="shared" si="72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2" t="s">
        <v>436</v>
      </c>
      <c r="AP187" s="362"/>
      <c r="AQ187" s="362"/>
      <c r="AR187" s="362"/>
      <c r="AS187" s="362"/>
      <c r="AT187" s="362"/>
      <c r="AU187" s="36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2" t="s">
        <v>437</v>
      </c>
      <c r="BH187" s="362"/>
      <c r="BI187" s="362"/>
      <c r="BJ187" s="362"/>
      <c r="BK187" s="362"/>
      <c r="BL187" s="362"/>
      <c r="BM187" s="36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10502.99222747044</v>
      </c>
      <c r="AB188" s="13">
        <v>1</v>
      </c>
      <c r="AC188" s="13">
        <f t="shared" si="72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2" t="s">
        <v>364</v>
      </c>
      <c r="Q189" s="372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5296.8980974274564</v>
      </c>
      <c r="AB189" s="13">
        <v>1</v>
      </c>
      <c r="AC189" s="13">
        <f t="shared" si="72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3"/>
      <c r="Q190" s="373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1419.5686901105582</v>
      </c>
      <c r="AB190" s="13">
        <v>1</v>
      </c>
      <c r="AC190" s="13">
        <f t="shared" si="72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532.71660865556134</v>
      </c>
      <c r="AB191" s="13">
        <v>1</v>
      </c>
      <c r="AC191" s="13">
        <f t="shared" si="72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3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714.32454342450262</v>
      </c>
      <c r="AB192" s="13">
        <v>1</v>
      </c>
      <c r="AC192" s="13">
        <f t="shared" si="72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3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43.283224453264353</v>
      </c>
      <c r="AB193" s="13">
        <v>1</v>
      </c>
      <c r="AC193" s="13">
        <f t="shared" si="72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3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634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1.8160793476894135</v>
      </c>
      <c r="AB194" s="13">
        <v>1</v>
      </c>
      <c r="AC194" s="13">
        <f t="shared" si="72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3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8" t="s">
        <v>504</v>
      </c>
      <c r="X195" s="369"/>
      <c r="Y195" s="262"/>
      <c r="Z195" s="262"/>
      <c r="AA195" s="262">
        <f>SUM(AA185:AA186,AA187:AA188,AA189:AA190,AA191:AA192,AA193:AA194)</f>
        <v>77449.427901236573</v>
      </c>
      <c r="AB195" s="261">
        <v>1</v>
      </c>
      <c r="AC195" s="263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523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540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0" t="s">
        <v>425</v>
      </c>
      <c r="Q206" s="370"/>
      <c r="R206" s="370"/>
      <c r="S206" s="4"/>
      <c r="T206" s="4"/>
      <c r="U206" s="50">
        <f>K217</f>
        <v>286.88405520213911</v>
      </c>
      <c r="V206" s="48">
        <f>V217</f>
        <v>8753719.7068998404</v>
      </c>
      <c r="W206" s="345" t="s">
        <v>416</v>
      </c>
      <c r="X206" s="345"/>
      <c r="Y206" s="345"/>
      <c r="Z206" s="345"/>
      <c r="AA206" s="345"/>
      <c r="AB206" s="34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45" t="s">
        <v>541</v>
      </c>
      <c r="AR206" s="345"/>
      <c r="AS206" s="345"/>
      <c r="AT206" s="345"/>
      <c r="AU206" s="34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45" t="s">
        <v>456</v>
      </c>
      <c r="BK206" s="345"/>
      <c r="BL206" s="345"/>
      <c r="BM206" s="345"/>
      <c r="BN206" s="345"/>
      <c r="BO206" s="4"/>
      <c r="BP206" s="4"/>
      <c r="BQ206" s="4"/>
      <c r="BR206" s="4"/>
      <c r="BS206" s="4"/>
      <c r="BT206" s="4"/>
      <c r="BU206" s="4"/>
      <c r="BV206" s="4"/>
      <c r="BW206" s="4" t="s">
        <v>524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45" t="s">
        <v>434</v>
      </c>
      <c r="CE206" s="345"/>
      <c r="CF206" s="345"/>
      <c r="CG206" s="345"/>
      <c r="CH206" s="345"/>
      <c r="CI206" s="301"/>
      <c r="CR206" s="3" t="s">
        <v>629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45"/>
      <c r="X207" s="345"/>
      <c r="Y207" s="345"/>
      <c r="Z207" s="345"/>
      <c r="AA207" s="345"/>
      <c r="AB207" s="34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45"/>
      <c r="AR207" s="345"/>
      <c r="AS207" s="345"/>
      <c r="AT207" s="345"/>
      <c r="AU207" s="34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45"/>
      <c r="BK207" s="345"/>
      <c r="BL207" s="345"/>
      <c r="BM207" s="345"/>
      <c r="BN207" s="34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3"/>
      <c r="CE207" s="363"/>
      <c r="CF207" s="363"/>
      <c r="CG207" s="363"/>
      <c r="CH207" s="363"/>
      <c r="CI207" s="301"/>
      <c r="CU207" s="4"/>
      <c r="CV207" s="4"/>
    </row>
    <row r="208" spans="5:101" ht="19.25" customHeight="1" x14ac:dyDescent="0.25">
      <c r="E208" s="343" t="s">
        <v>446</v>
      </c>
      <c r="F208" s="343"/>
      <c r="G208" s="343"/>
      <c r="H208" s="343"/>
      <c r="J208" s="4"/>
      <c r="K208" s="1" t="s">
        <v>556</v>
      </c>
      <c r="L208" s="1" t="s">
        <v>557</v>
      </c>
      <c r="M208" s="1" t="s">
        <v>559</v>
      </c>
      <c r="N208" s="1" t="s">
        <v>85</v>
      </c>
      <c r="O208" s="1" t="s">
        <v>660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558</v>
      </c>
      <c r="V208" s="1" t="s">
        <v>50</v>
      </c>
      <c r="W208" s="4"/>
      <c r="X208" s="22" t="s">
        <v>429</v>
      </c>
      <c r="Y208" s="22" t="s">
        <v>477</v>
      </c>
      <c r="Z208" s="255" t="s">
        <v>337</v>
      </c>
      <c r="AA208" s="354" t="s">
        <v>344</v>
      </c>
      <c r="AB208" s="102" t="s">
        <v>317</v>
      </c>
      <c r="AC208" s="1"/>
      <c r="AD208" s="4"/>
      <c r="AE208" s="1" t="s">
        <v>556</v>
      </c>
      <c r="AF208" s="1" t="s">
        <v>557</v>
      </c>
      <c r="AG208" s="1" t="s">
        <v>559</v>
      </c>
      <c r="AH208" s="1" t="s">
        <v>85</v>
      </c>
      <c r="AI208" s="1" t="s">
        <v>660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558</v>
      </c>
      <c r="AP208" s="1" t="s">
        <v>50</v>
      </c>
      <c r="AQ208" s="22" t="s">
        <v>429</v>
      </c>
      <c r="AR208" s="22" t="s">
        <v>477</v>
      </c>
      <c r="AS208" s="159" t="s">
        <v>337</v>
      </c>
      <c r="AT208" s="354" t="s">
        <v>344</v>
      </c>
      <c r="AU208" s="138" t="s">
        <v>317</v>
      </c>
      <c r="AV208" s="1"/>
      <c r="AW208" s="4"/>
      <c r="AX208" s="1" t="s">
        <v>556</v>
      </c>
      <c r="AY208" s="1" t="s">
        <v>557</v>
      </c>
      <c r="AZ208" s="1" t="s">
        <v>559</v>
      </c>
      <c r="BA208" s="1" t="s">
        <v>85</v>
      </c>
      <c r="BB208" s="1" t="s">
        <v>660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558</v>
      </c>
      <c r="BI208" s="1" t="s">
        <v>50</v>
      </c>
      <c r="BJ208" s="22" t="s">
        <v>429</v>
      </c>
      <c r="BK208" s="22" t="s">
        <v>477</v>
      </c>
      <c r="BL208" s="159" t="s">
        <v>337</v>
      </c>
      <c r="BM208" s="354" t="s">
        <v>344</v>
      </c>
      <c r="BN208" s="138" t="s">
        <v>317</v>
      </c>
      <c r="BO208" s="1"/>
      <c r="BP208" s="4"/>
      <c r="BQ208" s="1" t="s">
        <v>556</v>
      </c>
      <c r="BR208" s="1" t="s">
        <v>557</v>
      </c>
      <c r="BS208" s="1" t="s">
        <v>559</v>
      </c>
      <c r="BT208" s="1" t="s">
        <v>85</v>
      </c>
      <c r="BU208" s="1" t="s">
        <v>660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558</v>
      </c>
      <c r="CB208" s="1" t="s">
        <v>50</v>
      </c>
      <c r="CD208" s="22" t="s">
        <v>429</v>
      </c>
      <c r="CE208" s="22" t="s">
        <v>477</v>
      </c>
      <c r="CF208" s="190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556</v>
      </c>
      <c r="CM208" s="1" t="s">
        <v>557</v>
      </c>
      <c r="CN208" s="1" t="s">
        <v>559</v>
      </c>
      <c r="CO208" s="1" t="s">
        <v>85</v>
      </c>
      <c r="CP208" s="1" t="s">
        <v>660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558</v>
      </c>
      <c r="CW208" s="1" t="s">
        <v>50</v>
      </c>
    </row>
    <row r="209" spans="2:101" ht="18" x14ac:dyDescent="0.25">
      <c r="E209" s="343"/>
      <c r="F209" s="343"/>
      <c r="G209" s="343"/>
      <c r="H209" s="343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647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647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647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647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6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647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425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4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5">N210/$BA$217</f>
        <v>0.98615312780371323</v>
      </c>
      <c r="R210" s="62">
        <f>LN(Q210)</f>
        <v>-1.3943634405450302E-2</v>
      </c>
      <c r="S210" s="62">
        <f t="shared" ref="S210:S216" si="76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7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6">
        <f>AO206-U206</f>
        <v>0</v>
      </c>
      <c r="AA210" s="139" t="s">
        <v>341</v>
      </c>
      <c r="AB210" s="103">
        <f>(($AH$210*($AO$210-U210))/AC195)</f>
        <v>0</v>
      </c>
      <c r="AC210" s="209" t="s">
        <v>536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8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79">AH210/$BA$217</f>
        <v>0.98615312780371323</v>
      </c>
      <c r="AL210" s="62">
        <f>LN(AK210)</f>
        <v>-1.3943634405450302E-2</v>
      </c>
      <c r="AM210" s="62">
        <f t="shared" ref="AM210:AM216" si="80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1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09" t="s">
        <v>540</v>
      </c>
      <c r="AW210" s="198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2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3">BA210/$BA$217</f>
        <v>0.98615312780371323</v>
      </c>
      <c r="BE210" s="62">
        <f>LN(BD210)</f>
        <v>-1.3943634405450302E-2</v>
      </c>
      <c r="BF210" s="62">
        <f t="shared" ref="BF210:BF216" si="84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5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09" t="s">
        <v>484</v>
      </c>
      <c r="BP210" s="198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6">BT210/$BT$217</f>
        <v>0.98615312780371323</v>
      </c>
      <c r="BX210" s="62">
        <f>LN(BW210)</f>
        <v>-1.3943634405450302E-2</v>
      </c>
      <c r="BY210" s="62">
        <f t="shared" ref="BY210:BY216" si="87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2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4" t="s">
        <v>630</v>
      </c>
      <c r="CK210" s="95" t="s">
        <v>18</v>
      </c>
      <c r="CL210" s="168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1" t="s">
        <v>538</v>
      </c>
      <c r="J211" s="62" t="s">
        <v>307</v>
      </c>
      <c r="K211" s="62">
        <f t="shared" ref="K211:K216" si="88">AE211</f>
        <v>6.8833679514092623</v>
      </c>
      <c r="L211" s="62">
        <f t="shared" si="74"/>
        <v>2.3993553585817892E-2</v>
      </c>
      <c r="M211" s="62">
        <f>MW_Al2O3</f>
        <v>0.10196127799999999</v>
      </c>
      <c r="N211" s="62">
        <f t="shared" ref="N211:N216" si="89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5"/>
        <v>3.6546274931056905E-3</v>
      </c>
      <c r="R211" s="62">
        <f t="shared" ref="R211:R216" si="90">LN(Q211)</f>
        <v>-5.611761108045239</v>
      </c>
      <c r="S211" s="62">
        <f t="shared" si="76"/>
        <v>-12.744136072952498</v>
      </c>
      <c r="T211" s="62">
        <f t="shared" ref="T211:T216" si="91">S211+P211</f>
        <v>19.131863927047476</v>
      </c>
      <c r="U211" s="62">
        <f t="shared" ref="U211:U216" si="92">T211*Q211</f>
        <v>6.9919835902144706E-2</v>
      </c>
      <c r="V211" s="62">
        <f t="shared" si="77"/>
        <v>1291.5850172666683</v>
      </c>
      <c r="W211" s="4"/>
      <c r="X211" s="4"/>
      <c r="Y211" s="4"/>
      <c r="Z211" s="4"/>
      <c r="AA211" s="139" t="s">
        <v>634</v>
      </c>
      <c r="AB211" s="103">
        <f>(AP206+AP227)/($AC$195+V206+V222+V236)</f>
        <v>0.98878157674342848</v>
      </c>
      <c r="AC211" s="371" t="s">
        <v>537</v>
      </c>
      <c r="AD211" s="62" t="s">
        <v>307</v>
      </c>
      <c r="AE211" s="62">
        <f t="shared" ref="AE211:AE216" si="93">AX211</f>
        <v>6.8833679514092623</v>
      </c>
      <c r="AF211" s="62">
        <f t="shared" si="78"/>
        <v>2.3993553585817892E-2</v>
      </c>
      <c r="AG211" s="62">
        <f>MW_Al2O3</f>
        <v>0.10196127799999999</v>
      </c>
      <c r="AH211" s="62">
        <f t="shared" ref="AH211:AH216" si="94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79"/>
        <v>3.6546274931056905E-3</v>
      </c>
      <c r="AL211" s="62">
        <f t="shared" ref="AL211:AL216" si="95">LN(AK211)</f>
        <v>-5.611761108045239</v>
      </c>
      <c r="AM211" s="62">
        <f t="shared" si="80"/>
        <v>-12.744136072952498</v>
      </c>
      <c r="AN211" s="62">
        <f t="shared" ref="AN211:AN216" si="96">AM211+AJ211</f>
        <v>19.131863927047476</v>
      </c>
      <c r="AO211" s="62">
        <f t="shared" ref="AO211:AO216" si="97">AN211*AK211</f>
        <v>6.9919835902144706E-2</v>
      </c>
      <c r="AP211" s="62">
        <f t="shared" si="81"/>
        <v>1291.5850172666683</v>
      </c>
      <c r="AQ211" s="4"/>
      <c r="AR211" s="4"/>
      <c r="AT211" s="139" t="s">
        <v>634</v>
      </c>
      <c r="AU211" s="136">
        <f>BI206/(AP206+AU190)</f>
        <v>0.98202222166069097</v>
      </c>
      <c r="AV211" s="371" t="s">
        <v>535</v>
      </c>
      <c r="AW211" s="62" t="s">
        <v>307</v>
      </c>
      <c r="AX211" s="62">
        <f>CL221</f>
        <v>6.8833679514092623</v>
      </c>
      <c r="AY211" s="62">
        <f t="shared" si="82"/>
        <v>2.3993553585817892E-2</v>
      </c>
      <c r="AZ211" s="62">
        <f>MW_Al2O3</f>
        <v>0.10196127799999999</v>
      </c>
      <c r="BA211" s="62">
        <f t="shared" ref="BA211:BA216" si="98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3"/>
        <v>3.6546274931056905E-3</v>
      </c>
      <c r="BE211" s="62">
        <f t="shared" ref="BE211:BE216" si="99">LN(BD211)</f>
        <v>-5.611761108045239</v>
      </c>
      <c r="BF211" s="62">
        <f t="shared" si="84"/>
        <v>-12.744136072952498</v>
      </c>
      <c r="BG211" s="62">
        <f t="shared" ref="BG211:BG216" si="100">BF211+BC211</f>
        <v>19.131863927047476</v>
      </c>
      <c r="BH211" s="62">
        <f t="shared" ref="BH211:BH216" si="101">BG211*BD211</f>
        <v>6.9919835902144706E-2</v>
      </c>
      <c r="BI211" s="62">
        <f t="shared" si="85"/>
        <v>1291.5850172666683</v>
      </c>
      <c r="BJ211" s="4"/>
      <c r="BK211" s="4"/>
      <c r="BM211" s="139" t="s">
        <v>634</v>
      </c>
      <c r="BN211" s="136">
        <f>CB206/(BM195+BI206)</f>
        <v>0.9967429853184</v>
      </c>
      <c r="BO211" s="371" t="s">
        <v>534</v>
      </c>
      <c r="BP211" s="62" t="s">
        <v>307</v>
      </c>
      <c r="BQ211" s="62">
        <f t="shared" ref="BQ211:BQ216" si="102">AX211</f>
        <v>6.8833679514092623</v>
      </c>
      <c r="BR211" s="62">
        <f t="shared" ref="BR211:BR216" si="103">BQ211/$BQ$217</f>
        <v>2.3993553585817892E-2</v>
      </c>
      <c r="BS211" s="62">
        <f>MW_Al2O3</f>
        <v>0.10196127799999999</v>
      </c>
      <c r="BT211" s="62">
        <f t="shared" ref="BT211:BT216" si="104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6"/>
        <v>3.6546274931056905E-3</v>
      </c>
      <c r="BX211" s="62">
        <f t="shared" ref="BX211:BX216" si="105">LN(BW211)</f>
        <v>-5.611761108045239</v>
      </c>
      <c r="BY211" s="62">
        <f t="shared" si="87"/>
        <v>-12.744136072952498</v>
      </c>
      <c r="BZ211" s="62">
        <f t="shared" ref="BZ211:BZ216" si="106">BY211+BV211</f>
        <v>19.131863927047476</v>
      </c>
      <c r="CA211" s="62">
        <f t="shared" ref="CA211:CA216" si="107">BZ211*BW211</f>
        <v>6.9919835902144706E-2</v>
      </c>
      <c r="CB211" s="62">
        <f>CA211*$BT$217</f>
        <v>1291.5850172666683</v>
      </c>
      <c r="CD211" s="4"/>
      <c r="CE211" s="4"/>
      <c r="CG211" s="139" t="s">
        <v>634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1"/>
      <c r="J212" s="4" t="s">
        <v>123</v>
      </c>
      <c r="K212" s="4">
        <f t="shared" si="88"/>
        <v>1.2908626625694963</v>
      </c>
      <c r="L212" s="4">
        <f t="shared" si="74"/>
        <v>4.4995970991136185E-3</v>
      </c>
      <c r="M212" s="4">
        <f>MW_CaO</f>
        <v>5.6077400000000006E-2</v>
      </c>
      <c r="N212" s="4">
        <f t="shared" si="89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5"/>
        <v>1.2461478473889942E-3</v>
      </c>
      <c r="R212" s="4">
        <f t="shared" si="90"/>
        <v>-6.6876982080405689</v>
      </c>
      <c r="S212" s="4">
        <f t="shared" si="76"/>
        <v>-15.187555980585502</v>
      </c>
      <c r="T212" s="4">
        <f t="shared" si="91"/>
        <v>107.07044401941442</v>
      </c>
      <c r="U212" s="4">
        <f t="shared" si="92"/>
        <v>0.13342560333377709</v>
      </c>
      <c r="V212" s="4">
        <f t="shared" si="77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71"/>
      <c r="AD212" s="4" t="s">
        <v>123</v>
      </c>
      <c r="AE212" s="4">
        <f t="shared" si="93"/>
        <v>1.2908626625694963</v>
      </c>
      <c r="AF212" s="4">
        <f t="shared" si="78"/>
        <v>4.4995970991136185E-3</v>
      </c>
      <c r="AG212" s="4">
        <f>MW_CaO</f>
        <v>5.6077400000000006E-2</v>
      </c>
      <c r="AH212" s="4">
        <f t="shared" si="94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79"/>
        <v>1.2461478473889942E-3</v>
      </c>
      <c r="AL212" s="4">
        <f t="shared" si="95"/>
        <v>-6.6876982080405689</v>
      </c>
      <c r="AM212" s="4">
        <f t="shared" si="80"/>
        <v>-15.187555980585502</v>
      </c>
      <c r="AN212" s="4">
        <f t="shared" si="96"/>
        <v>107.07044401941442</v>
      </c>
      <c r="AO212" s="4">
        <f t="shared" si="97"/>
        <v>0.13342560333377709</v>
      </c>
      <c r="AP212" s="4">
        <f t="shared" si="81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71"/>
      <c r="AW212" s="4" t="s">
        <v>123</v>
      </c>
      <c r="AX212" s="4">
        <f t="shared" ref="AX212:AX216" si="108">CL222</f>
        <v>1.2908626625694963</v>
      </c>
      <c r="AY212" s="4">
        <f t="shared" si="82"/>
        <v>4.4995970991136185E-3</v>
      </c>
      <c r="AZ212" s="4">
        <f>MW_CaO</f>
        <v>5.6077400000000006E-2</v>
      </c>
      <c r="BA212" s="4">
        <f t="shared" si="98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3"/>
        <v>1.2461478473889942E-3</v>
      </c>
      <c r="BE212" s="4">
        <f t="shared" si="99"/>
        <v>-6.6876982080405689</v>
      </c>
      <c r="BF212" s="4">
        <f t="shared" si="84"/>
        <v>-15.187555980585502</v>
      </c>
      <c r="BG212" s="4">
        <f t="shared" si="100"/>
        <v>107.07044401941442</v>
      </c>
      <c r="BH212" s="4">
        <f t="shared" si="101"/>
        <v>0.13342560333377709</v>
      </c>
      <c r="BI212" s="4">
        <f t="shared" si="85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71"/>
      <c r="BP212" s="4" t="s">
        <v>123</v>
      </c>
      <c r="BQ212" s="4">
        <f t="shared" si="102"/>
        <v>1.2908626625694963</v>
      </c>
      <c r="BR212" s="4">
        <f t="shared" si="103"/>
        <v>4.4995970991136185E-3</v>
      </c>
      <c r="BS212" s="4">
        <f>MW_CaO</f>
        <v>5.6077400000000006E-2</v>
      </c>
      <c r="BT212" s="4">
        <f t="shared" si="104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6"/>
        <v>1.2461478473889942E-3</v>
      </c>
      <c r="BX212" s="4">
        <f t="shared" si="105"/>
        <v>-6.6876982080405689</v>
      </c>
      <c r="BY212" s="4">
        <f t="shared" si="87"/>
        <v>-15.187555980585502</v>
      </c>
      <c r="BZ212" s="4">
        <f t="shared" si="106"/>
        <v>107.07044401941442</v>
      </c>
      <c r="CA212" s="4">
        <f t="shared" si="107"/>
        <v>0.13342560333377709</v>
      </c>
      <c r="CB212" s="4">
        <f t="shared" ref="CB212:CB216" si="109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661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1"/>
      <c r="J213" s="4" t="s">
        <v>179</v>
      </c>
      <c r="K213" s="4">
        <f t="shared" si="88"/>
        <v>0.22932230681750362</v>
      </c>
      <c r="L213" s="4">
        <f t="shared" si="74"/>
        <v>7.993553585817889E-4</v>
      </c>
      <c r="M213" s="4">
        <f>MW_MgO</f>
        <v>4.0304400000000004E-2</v>
      </c>
      <c r="N213" s="4">
        <f t="shared" si="89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5"/>
        <v>3.0801455795498246E-4</v>
      </c>
      <c r="R213" s="4">
        <f t="shared" si="90"/>
        <v>-8.0853635100201</v>
      </c>
      <c r="S213" s="4">
        <f t="shared" si="76"/>
        <v>-18.361610693523186</v>
      </c>
      <c r="T213" s="4">
        <f t="shared" si="91"/>
        <v>44.214389306476832</v>
      </c>
      <c r="U213" s="4">
        <f t="shared" si="92"/>
        <v>1.3618675577483965E-2</v>
      </c>
      <c r="V213" s="4">
        <f t="shared" si="77"/>
        <v>251.56920212900897</v>
      </c>
      <c r="W213" s="4"/>
      <c r="X213" s="4"/>
      <c r="Y213" s="4"/>
      <c r="Z213" s="4"/>
      <c r="AA213" s="4"/>
      <c r="AB213" s="4"/>
      <c r="AC213" s="371"/>
      <c r="AD213" s="4" t="s">
        <v>179</v>
      </c>
      <c r="AE213" s="4">
        <f t="shared" si="93"/>
        <v>0.22932230681750362</v>
      </c>
      <c r="AF213" s="4">
        <f t="shared" si="78"/>
        <v>7.993553585817889E-4</v>
      </c>
      <c r="AG213" s="4">
        <f>MW_MgO</f>
        <v>4.0304400000000004E-2</v>
      </c>
      <c r="AH213" s="4">
        <f t="shared" si="94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79"/>
        <v>3.0801455795498246E-4</v>
      </c>
      <c r="AL213" s="4">
        <f t="shared" si="95"/>
        <v>-8.0853635100201</v>
      </c>
      <c r="AM213" s="4">
        <f t="shared" si="80"/>
        <v>-18.361610693523186</v>
      </c>
      <c r="AN213" s="4">
        <f t="shared" si="96"/>
        <v>44.214389306476832</v>
      </c>
      <c r="AO213" s="4">
        <f t="shared" si="97"/>
        <v>1.3618675577483965E-2</v>
      </c>
      <c r="AP213" s="4">
        <f t="shared" si="81"/>
        <v>251.56920212900897</v>
      </c>
      <c r="AQ213" s="4"/>
      <c r="AR213" s="4"/>
      <c r="AT213" s="4"/>
      <c r="AU213" s="4"/>
      <c r="AV213" s="371"/>
      <c r="AW213" s="4" t="s">
        <v>179</v>
      </c>
      <c r="AX213" s="4">
        <f t="shared" si="108"/>
        <v>0.22932230681750362</v>
      </c>
      <c r="AY213" s="4">
        <f t="shared" si="82"/>
        <v>7.993553585817889E-4</v>
      </c>
      <c r="AZ213" s="4">
        <f>MW_MgO</f>
        <v>4.0304400000000004E-2</v>
      </c>
      <c r="BA213" s="4">
        <f t="shared" si="98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3"/>
        <v>3.0801455795498246E-4</v>
      </c>
      <c r="BE213" s="4">
        <f t="shared" si="99"/>
        <v>-8.0853635100201</v>
      </c>
      <c r="BF213" s="4">
        <f t="shared" si="84"/>
        <v>-18.361610693523186</v>
      </c>
      <c r="BG213" s="4">
        <f t="shared" si="100"/>
        <v>44.214389306476832</v>
      </c>
      <c r="BH213" s="4">
        <f t="shared" si="101"/>
        <v>1.3618675577483965E-2</v>
      </c>
      <c r="BI213" s="4">
        <f t="shared" si="85"/>
        <v>251.56920212900897</v>
      </c>
      <c r="BJ213" s="4"/>
      <c r="BK213" s="4"/>
      <c r="BL213" s="4"/>
      <c r="BM213" s="4"/>
      <c r="BN213" s="4"/>
      <c r="BO213" s="371"/>
      <c r="BP213" s="4" t="s">
        <v>179</v>
      </c>
      <c r="BQ213" s="4">
        <f t="shared" si="102"/>
        <v>0.22932230681750362</v>
      </c>
      <c r="BR213" s="4">
        <f t="shared" si="103"/>
        <v>7.993553585817889E-4</v>
      </c>
      <c r="BS213" s="4">
        <f>MW_MgO</f>
        <v>4.0304400000000004E-2</v>
      </c>
      <c r="BT213" s="4">
        <f t="shared" si="104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6"/>
        <v>3.0801455795498246E-4</v>
      </c>
      <c r="BX213" s="4">
        <f t="shared" si="105"/>
        <v>-8.0853635100201</v>
      </c>
      <c r="BY213" s="4">
        <f t="shared" si="87"/>
        <v>-18.361610693523186</v>
      </c>
      <c r="BZ213" s="4">
        <f t="shared" si="106"/>
        <v>44.214389306476832</v>
      </c>
      <c r="CA213" s="4">
        <f t="shared" si="107"/>
        <v>1.3618675577483965E-2</v>
      </c>
      <c r="CB213" s="4">
        <f t="shared" si="109"/>
        <v>251.56920212900897</v>
      </c>
      <c r="CC213" s="4"/>
      <c r="CD213" s="4"/>
      <c r="CU213" s="4"/>
      <c r="CV213" s="4"/>
    </row>
    <row r="214" spans="2:101" ht="19" thickBot="1" x14ac:dyDescent="0.3">
      <c r="I214" s="371"/>
      <c r="J214" s="4" t="s">
        <v>308</v>
      </c>
      <c r="K214" s="4">
        <f t="shared" si="88"/>
        <v>7.0276190798912411E-2</v>
      </c>
      <c r="L214" s="4">
        <f t="shared" si="74"/>
        <v>2.4496373892022569E-4</v>
      </c>
      <c r="M214" s="4">
        <f>MW_Na2O</f>
        <v>6.1978936000000005E-2</v>
      </c>
      <c r="N214" s="4">
        <f t="shared" si="89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5"/>
        <v>6.1382065571432198E-5</v>
      </c>
      <c r="R214" s="4">
        <f t="shared" si="90"/>
        <v>-9.6983928571487432</v>
      </c>
      <c r="S214" s="4">
        <f t="shared" si="76"/>
        <v>-22.02475049824551</v>
      </c>
      <c r="T214" s="4">
        <f t="shared" si="91"/>
        <v>276.61524950175453</v>
      </c>
      <c r="U214" s="4">
        <f t="shared" si="92"/>
        <v>1.6979215382974776E-2</v>
      </c>
      <c r="V214" s="4">
        <f t="shared" si="77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1"/>
      <c r="AD214" s="4" t="s">
        <v>308</v>
      </c>
      <c r="AE214" s="4">
        <f t="shared" si="93"/>
        <v>7.0276190798912411E-2</v>
      </c>
      <c r="AF214" s="4">
        <f t="shared" si="78"/>
        <v>2.4496373892022569E-4</v>
      </c>
      <c r="AG214" s="4">
        <f>MW_Na2O</f>
        <v>6.1978936000000005E-2</v>
      </c>
      <c r="AH214" s="4">
        <f t="shared" si="94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79"/>
        <v>6.1382065571432198E-5</v>
      </c>
      <c r="AL214" s="4">
        <f t="shared" si="95"/>
        <v>-9.6983928571487432</v>
      </c>
      <c r="AM214" s="4">
        <f t="shared" si="80"/>
        <v>-22.02475049824551</v>
      </c>
      <c r="AN214" s="4">
        <f t="shared" si="96"/>
        <v>276.61524950175453</v>
      </c>
      <c r="AO214" s="4">
        <f t="shared" si="97"/>
        <v>1.6979215382974776E-2</v>
      </c>
      <c r="AP214" s="4">
        <f t="shared" si="81"/>
        <v>313.64633384274396</v>
      </c>
      <c r="AQ214" s="4"/>
      <c r="AR214" s="4"/>
      <c r="AS214" s="4"/>
      <c r="AT214" s="4"/>
      <c r="AU214" s="4"/>
      <c r="AV214" s="371"/>
      <c r="AW214" s="4" t="s">
        <v>308</v>
      </c>
      <c r="AX214" s="4">
        <f t="shared" si="108"/>
        <v>7.0276190798912411E-2</v>
      </c>
      <c r="AY214" s="4">
        <f t="shared" si="82"/>
        <v>2.4496373892022569E-4</v>
      </c>
      <c r="AZ214" s="4">
        <f>MW_Na2O</f>
        <v>6.1978936000000005E-2</v>
      </c>
      <c r="BA214" s="4">
        <f t="shared" si="98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3"/>
        <v>6.1382065571432198E-5</v>
      </c>
      <c r="BE214" s="4">
        <f t="shared" si="99"/>
        <v>-9.6983928571487432</v>
      </c>
      <c r="BF214" s="4">
        <f t="shared" si="84"/>
        <v>-22.02475049824551</v>
      </c>
      <c r="BG214" s="4">
        <f t="shared" si="100"/>
        <v>276.61524950175453</v>
      </c>
      <c r="BH214" s="4">
        <f t="shared" si="101"/>
        <v>1.6979215382974776E-2</v>
      </c>
      <c r="BI214" s="4">
        <f t="shared" si="85"/>
        <v>313.64633384274396</v>
      </c>
      <c r="BJ214" s="4"/>
      <c r="BK214" s="4"/>
      <c r="BL214" s="4"/>
      <c r="BM214" s="4"/>
      <c r="BN214" s="4"/>
      <c r="BO214" s="371"/>
      <c r="BP214" s="4" t="s">
        <v>308</v>
      </c>
      <c r="BQ214" s="4">
        <f t="shared" si="102"/>
        <v>7.0276190798912411E-2</v>
      </c>
      <c r="BR214" s="4">
        <f t="shared" si="103"/>
        <v>2.4496373892022569E-4</v>
      </c>
      <c r="BS214" s="4">
        <f>MW_Na2O</f>
        <v>6.1978936000000005E-2</v>
      </c>
      <c r="BT214" s="4">
        <f t="shared" si="104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6"/>
        <v>6.1382065571432198E-5</v>
      </c>
      <c r="BX214" s="4">
        <f t="shared" si="105"/>
        <v>-9.6983928571487432</v>
      </c>
      <c r="BY214" s="4">
        <f t="shared" si="87"/>
        <v>-22.02475049824551</v>
      </c>
      <c r="BZ214" s="4">
        <f t="shared" si="106"/>
        <v>276.61524950175453</v>
      </c>
      <c r="CA214" s="4">
        <f t="shared" si="107"/>
        <v>1.6979215382974776E-2</v>
      </c>
      <c r="CB214" s="4">
        <f t="shared" si="109"/>
        <v>313.64633384274396</v>
      </c>
      <c r="CC214" s="4"/>
      <c r="CD214" s="4"/>
      <c r="CU214" s="4"/>
      <c r="CV214" s="4"/>
    </row>
    <row r="215" spans="2:101" ht="18" x14ac:dyDescent="0.25">
      <c r="I215" s="371"/>
      <c r="J215" s="1" t="s">
        <v>15</v>
      </c>
      <c r="K215" s="4">
        <f t="shared" si="88"/>
        <v>0.80262807386126278</v>
      </c>
      <c r="L215" s="4">
        <f t="shared" si="74"/>
        <v>2.7977437550362615E-3</v>
      </c>
      <c r="M215" s="4">
        <f>MW_Fe2O3</f>
        <v>0.1596882</v>
      </c>
      <c r="N215" s="4">
        <f t="shared" si="89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5"/>
        <v>2.7209397327881957E-4</v>
      </c>
      <c r="R215" s="4">
        <f t="shared" si="90"/>
        <v>-8.2093630613405431</v>
      </c>
      <c r="S215" s="4">
        <f t="shared" si="76"/>
        <v>-18.643209842985776</v>
      </c>
      <c r="T215" s="4">
        <f t="shared" si="91"/>
        <v>-1.2848098429857018</v>
      </c>
      <c r="U215" s="4">
        <f t="shared" si="92"/>
        <v>-3.4958901508571591E-4</v>
      </c>
      <c r="V215" s="4">
        <f t="shared" si="77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1"/>
      <c r="AD215" s="1" t="s">
        <v>15</v>
      </c>
      <c r="AE215" s="4">
        <f t="shared" si="93"/>
        <v>0.80262807386126278</v>
      </c>
      <c r="AF215" s="4">
        <f t="shared" si="78"/>
        <v>2.7977437550362615E-3</v>
      </c>
      <c r="AG215" s="4">
        <f>MW_Fe2O3</f>
        <v>0.1596882</v>
      </c>
      <c r="AH215" s="4">
        <f t="shared" si="94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79"/>
        <v>2.7209397327881957E-4</v>
      </c>
      <c r="AL215" s="4">
        <f t="shared" si="95"/>
        <v>-8.2093630613405431</v>
      </c>
      <c r="AM215" s="4">
        <f t="shared" si="80"/>
        <v>-18.643209842985776</v>
      </c>
      <c r="AN215" s="4">
        <f t="shared" si="96"/>
        <v>-1.2848098429857018</v>
      </c>
      <c r="AO215" s="4">
        <f t="shared" si="97"/>
        <v>-3.4958901508571591E-4</v>
      </c>
      <c r="AP215" s="4">
        <f t="shared" si="81"/>
        <v>-6.4577373253227552</v>
      </c>
      <c r="AQ215" s="4"/>
      <c r="AR215" s="3" t="s">
        <v>2</v>
      </c>
      <c r="AS215" s="3" t="s">
        <v>3</v>
      </c>
      <c r="AT215" s="132" t="s">
        <v>583</v>
      </c>
      <c r="AU215" s="4"/>
      <c r="AV215" s="371"/>
      <c r="AW215" s="1" t="s">
        <v>15</v>
      </c>
      <c r="AX215" s="4">
        <f t="shared" si="108"/>
        <v>0.80262807386126278</v>
      </c>
      <c r="AY215" s="4">
        <f t="shared" si="82"/>
        <v>2.7977437550362615E-3</v>
      </c>
      <c r="AZ215" s="4">
        <f>MW_Fe2O3</f>
        <v>0.1596882</v>
      </c>
      <c r="BA215" s="4">
        <f t="shared" si="98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3"/>
        <v>2.7209397327881957E-4</v>
      </c>
      <c r="BE215" s="4">
        <f t="shared" si="99"/>
        <v>-8.2093630613405431</v>
      </c>
      <c r="BF215" s="4">
        <f t="shared" si="84"/>
        <v>-18.643209842985776</v>
      </c>
      <c r="BG215" s="4">
        <f t="shared" si="100"/>
        <v>-1.2848098429857018</v>
      </c>
      <c r="BH215" s="4">
        <f t="shared" si="101"/>
        <v>-3.4958901508571591E-4</v>
      </c>
      <c r="BI215" s="4">
        <f t="shared" si="85"/>
        <v>-6.4577373253227552</v>
      </c>
      <c r="BJ215" s="4"/>
      <c r="BK215" s="3" t="s">
        <v>2</v>
      </c>
      <c r="BL215" s="3" t="s">
        <v>3</v>
      </c>
      <c r="BM215" s="132" t="s">
        <v>583</v>
      </c>
      <c r="BN215" s="4"/>
      <c r="BO215" s="371"/>
      <c r="BP215" s="1" t="s">
        <v>15</v>
      </c>
      <c r="BQ215" s="4">
        <f t="shared" si="102"/>
        <v>0.80262807386126278</v>
      </c>
      <c r="BR215" s="4">
        <f t="shared" si="103"/>
        <v>2.7977437550362615E-3</v>
      </c>
      <c r="BS215" s="4">
        <f>MW_Fe2O3</f>
        <v>0.1596882</v>
      </c>
      <c r="BT215" s="4">
        <f t="shared" si="104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6"/>
        <v>2.7209397327881957E-4</v>
      </c>
      <c r="BX215" s="4">
        <f t="shared" si="105"/>
        <v>-8.2093630613405431</v>
      </c>
      <c r="BY215" s="4">
        <f t="shared" si="87"/>
        <v>-18.643209842985776</v>
      </c>
      <c r="BZ215" s="4">
        <f t="shared" si="106"/>
        <v>-1.2848098429857018</v>
      </c>
      <c r="CA215" s="4">
        <f t="shared" si="107"/>
        <v>-3.4958901508571591E-4</v>
      </c>
      <c r="CB215" s="4">
        <f t="shared" si="109"/>
        <v>-6.4577373253227552</v>
      </c>
      <c r="CC215" s="4"/>
      <c r="CD215" s="4"/>
      <c r="CE215" s="3" t="s">
        <v>2</v>
      </c>
      <c r="CF215" s="3" t="s">
        <v>3</v>
      </c>
      <c r="CG215" s="132" t="s">
        <v>583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1"/>
      <c r="J216" s="1" t="s">
        <v>17</v>
      </c>
      <c r="K216" s="4">
        <f t="shared" si="88"/>
        <v>9.2172772353099859</v>
      </c>
      <c r="L216" s="4">
        <f t="shared" si="74"/>
        <v>3.2128928283642229E-2</v>
      </c>
      <c r="M216" s="3">
        <f>MW_SIO2</f>
        <v>6.00843E-2</v>
      </c>
      <c r="N216" s="4">
        <f t="shared" si="89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5"/>
        <v>8.3046062589870028E-3</v>
      </c>
      <c r="R216" s="4">
        <f t="shared" si="90"/>
        <v>-4.7909449471567278</v>
      </c>
      <c r="S216" s="4">
        <f t="shared" si="76"/>
        <v>-10.88008793479406</v>
      </c>
      <c r="T216" s="4">
        <f t="shared" si="91"/>
        <v>-9.3540879347939931</v>
      </c>
      <c r="U216" s="4">
        <f t="shared" si="92"/>
        <v>-7.7682017210405005E-2</v>
      </c>
      <c r="V216" s="4">
        <f t="shared" si="77"/>
        <v>-1434.9708955328508</v>
      </c>
      <c r="W216" s="371" t="s">
        <v>379</v>
      </c>
      <c r="X216" s="62" t="s">
        <v>307</v>
      </c>
      <c r="Y216" s="62">
        <f t="shared" ref="Y216:Y221" si="110">$Y$222*Z216</f>
        <v>16.732655961692366</v>
      </c>
      <c r="Z216" s="170">
        <v>0.3715</v>
      </c>
      <c r="AA216" s="170">
        <v>0.37219999999999998</v>
      </c>
      <c r="AC216" s="371"/>
      <c r="AD216" s="1" t="s">
        <v>17</v>
      </c>
      <c r="AE216" s="4">
        <f t="shared" si="93"/>
        <v>9.2172772353099859</v>
      </c>
      <c r="AF216" s="4">
        <f t="shared" si="78"/>
        <v>3.2128928283642229E-2</v>
      </c>
      <c r="AG216" s="3">
        <f>MW_SIO2</f>
        <v>6.00843E-2</v>
      </c>
      <c r="AH216" s="4">
        <f t="shared" si="94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79"/>
        <v>8.3046062589870028E-3</v>
      </c>
      <c r="AL216" s="4">
        <f t="shared" si="95"/>
        <v>-4.7909449471567278</v>
      </c>
      <c r="AM216" s="4">
        <f t="shared" si="80"/>
        <v>-10.88008793479406</v>
      </c>
      <c r="AN216" s="4">
        <f t="shared" si="96"/>
        <v>-9.3540879347939931</v>
      </c>
      <c r="AO216" s="4">
        <f t="shared" si="97"/>
        <v>-7.7682017210405005E-2</v>
      </c>
      <c r="AP216" s="4">
        <f t="shared" si="81"/>
        <v>-1434.9708955328508</v>
      </c>
      <c r="AQ216" s="4"/>
      <c r="AR216" s="1" t="s">
        <v>585</v>
      </c>
      <c r="AS216" s="1" t="s">
        <v>585</v>
      </c>
      <c r="AT216" s="1" t="s">
        <v>585</v>
      </c>
      <c r="AU216" s="4"/>
      <c r="AV216" s="371"/>
      <c r="AW216" s="1" t="s">
        <v>17</v>
      </c>
      <c r="AX216" s="4">
        <f t="shared" si="108"/>
        <v>9.2172772353099859</v>
      </c>
      <c r="AY216" s="4">
        <f t="shared" si="82"/>
        <v>3.2128928283642229E-2</v>
      </c>
      <c r="AZ216" s="3">
        <f>MW_SIO2</f>
        <v>6.00843E-2</v>
      </c>
      <c r="BA216" s="4">
        <f t="shared" si="98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3"/>
        <v>8.3046062589870028E-3</v>
      </c>
      <c r="BE216" s="4">
        <f t="shared" si="99"/>
        <v>-4.7909449471567278</v>
      </c>
      <c r="BF216" s="4">
        <f t="shared" si="84"/>
        <v>-10.88008793479406</v>
      </c>
      <c r="BG216" s="4">
        <f t="shared" si="100"/>
        <v>-9.3540879347939931</v>
      </c>
      <c r="BH216" s="4">
        <f t="shared" si="101"/>
        <v>-7.7682017210405005E-2</v>
      </c>
      <c r="BI216" s="4">
        <f t="shared" si="85"/>
        <v>-1434.9708955328508</v>
      </c>
      <c r="BJ216" s="4"/>
      <c r="BK216" s="1" t="s">
        <v>585</v>
      </c>
      <c r="BL216" s="1" t="s">
        <v>585</v>
      </c>
      <c r="BM216" s="1" t="s">
        <v>585</v>
      </c>
      <c r="BN216" s="4"/>
      <c r="BO216" s="371"/>
      <c r="BP216" s="1" t="s">
        <v>17</v>
      </c>
      <c r="BQ216" s="4">
        <f t="shared" si="102"/>
        <v>9.2172772353099859</v>
      </c>
      <c r="BR216" s="4">
        <f t="shared" si="103"/>
        <v>3.2128928283642229E-2</v>
      </c>
      <c r="BS216" s="3">
        <f>MW_SIO2</f>
        <v>6.00843E-2</v>
      </c>
      <c r="BT216" s="4">
        <f t="shared" si="104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6"/>
        <v>8.3046062589870028E-3</v>
      </c>
      <c r="BX216" s="4">
        <f t="shared" si="105"/>
        <v>-4.7909449471567278</v>
      </c>
      <c r="BY216" s="4">
        <f t="shared" si="87"/>
        <v>-10.88008793479406</v>
      </c>
      <c r="BZ216" s="4">
        <f t="shared" si="106"/>
        <v>-9.3540879347939931</v>
      </c>
      <c r="CA216" s="4">
        <f t="shared" si="107"/>
        <v>-7.7682017210405005E-2</v>
      </c>
      <c r="CB216" s="4">
        <f t="shared" si="109"/>
        <v>-1434.9708955328508</v>
      </c>
      <c r="CC216" s="4"/>
      <c r="CD216" s="4"/>
      <c r="CE216" s="1" t="s">
        <v>585</v>
      </c>
      <c r="CF216" s="1" t="s">
        <v>585</v>
      </c>
      <c r="CG216" s="1" t="s">
        <v>585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1"/>
      <c r="X217" s="4" t="s">
        <v>123</v>
      </c>
      <c r="Y217" s="4">
        <f t="shared" si="110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584</v>
      </c>
      <c r="AS217" s="3" t="s">
        <v>584</v>
      </c>
      <c r="AT217" s="3" t="s">
        <v>584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584</v>
      </c>
      <c r="BL217" s="3" t="s">
        <v>584</v>
      </c>
      <c r="BM217" s="3" t="s">
        <v>584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584</v>
      </c>
      <c r="CF217" s="3" t="s">
        <v>584</v>
      </c>
      <c r="CG217" s="3" t="s">
        <v>584</v>
      </c>
      <c r="CR217" s="3" t="s">
        <v>527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661</v>
      </c>
      <c r="P218" s="4"/>
      <c r="Q218" s="4"/>
      <c r="U218" s="3" t="s">
        <v>96</v>
      </c>
      <c r="V218" s="1" t="s">
        <v>93</v>
      </c>
      <c r="W218" s="371"/>
      <c r="X218" s="4" t="s">
        <v>179</v>
      </c>
      <c r="Y218" s="4">
        <f t="shared" si="110"/>
        <v>0.55850587866752444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661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661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661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1"/>
      <c r="X219" s="4" t="s">
        <v>308</v>
      </c>
      <c r="Y219" s="4">
        <f t="shared" si="110"/>
        <v>0.17115502733359619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45411.454369105508</v>
      </c>
      <c r="AS219" s="284">
        <f>mol_H_Coal*BA210</f>
        <v>45411.454369105508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45411.454369105508</v>
      </c>
      <c r="BL219" s="284">
        <f>mol_H_Coal*BT210</f>
        <v>45411.454369105508</v>
      </c>
      <c r="BM219" s="3">
        <f t="shared" ref="BM219:BM227" si="113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556</v>
      </c>
      <c r="CM219" s="1" t="s">
        <v>557</v>
      </c>
      <c r="CN219" s="1" t="s">
        <v>559</v>
      </c>
      <c r="CO219" s="1" t="s">
        <v>85</v>
      </c>
      <c r="CP219" s="1" t="s">
        <v>660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558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1"/>
      <c r="X220" s="1" t="s">
        <v>15</v>
      </c>
      <c r="Y220" s="4">
        <f t="shared" si="110"/>
        <v>1.9547705753363356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>
        <f>(mol_O_Coal*AH210)+(3*AH211)+AH212+AH213+AH214+(3*AH215)+(2*AH216)</f>
        <v>710.31978673794947</v>
      </c>
      <c r="AS220" s="284">
        <f>(mol_O_Coal*BA210)+(3*BA211)+BA212+BA213+BA214+(3*BA215)+(2*BA216)</f>
        <v>710.31978673794947</v>
      </c>
      <c r="AT220" s="3">
        <f t="shared" si="112"/>
        <v>0</v>
      </c>
      <c r="BH220" s="4"/>
      <c r="BI220" s="4"/>
      <c r="BJ220" s="3" t="s">
        <v>29</v>
      </c>
      <c r="BK220" s="284">
        <f>(mol_O_Coal*BA210)+(3*BA211)+BA212+BA213+BA214+(3*BA215)+(2*BA216)</f>
        <v>710.31978673794947</v>
      </c>
      <c r="BL220" s="284">
        <f>(mol_O_Coal*BT210)+(3*BT211)+BT212+BT213+BT214+(3*BT215)+(2*BT216)</f>
        <v>710.31978673794947</v>
      </c>
      <c r="BM220" s="3">
        <f t="shared" si="113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4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647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1"/>
      <c r="X221" s="1" t="s">
        <v>17</v>
      </c>
      <c r="Y221" s="4">
        <f t="shared" si="110"/>
        <v>22.448333058701145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2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3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4"/>
        <v>0</v>
      </c>
      <c r="CJ221" s="359" t="s">
        <v>527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5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6">CO221/$CO$227</f>
        <v>0.26393162595128805</v>
      </c>
      <c r="CS221" s="62">
        <f t="shared" ref="CS221:CS226" si="117">LN(CR221)</f>
        <v>-1.3320652019889558</v>
      </c>
      <c r="CT221" s="62">
        <f t="shared" ref="CT221:CT226" si="118">RT0*CS221</f>
        <v>-3.0250789129021771</v>
      </c>
      <c r="CU221" s="62">
        <f t="shared" ref="CU221:CU226" si="119">CT221+CQ221</f>
        <v>28.850921087097799</v>
      </c>
      <c r="CV221" s="62">
        <f t="shared" ref="CV221:CV226" si="120">CU221*CR221</f>
        <v>7.6146705127100249</v>
      </c>
      <c r="CW221" s="62">
        <f>CV221*$CO$227</f>
        <v>1947.7149509597818</v>
      </c>
    </row>
    <row r="222" spans="2:101" ht="16" thickBot="1" x14ac:dyDescent="0.25">
      <c r="B222" s="343" t="s">
        <v>487</v>
      </c>
      <c r="C222" s="343"/>
      <c r="D222" s="343"/>
      <c r="E222" s="343"/>
      <c r="F222" s="343"/>
      <c r="G222" s="343"/>
      <c r="H222" s="343"/>
      <c r="J222" s="4"/>
      <c r="K222" s="4"/>
      <c r="L222" s="4"/>
      <c r="M222" s="4"/>
      <c r="N222" s="4"/>
      <c r="O222" s="4"/>
      <c r="P222" s="4"/>
      <c r="Q222" s="202" t="s">
        <v>574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2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3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4"/>
        <v>0</v>
      </c>
      <c r="CJ222" s="359"/>
      <c r="CK222" s="4" t="s">
        <v>123</v>
      </c>
      <c r="CL222" s="4">
        <f>Z217*$CL$227</f>
        <v>1.2908626625694963</v>
      </c>
      <c r="CM222" s="4">
        <f t="shared" ref="CM222:CM226" si="121">CL222/$CL$227</f>
        <v>6.9800000000000001E-2</v>
      </c>
      <c r="CN222" s="4">
        <f>MW_CaO</f>
        <v>5.6077400000000006E-2</v>
      </c>
      <c r="CO222" s="4">
        <f t="shared" si="115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6"/>
        <v>8.9994897744716112E-2</v>
      </c>
      <c r="CS222" s="4">
        <f t="shared" si="117"/>
        <v>-2.4080023019842853</v>
      </c>
      <c r="CT222" s="4">
        <f t="shared" si="118"/>
        <v>-5.4684988205351805</v>
      </c>
      <c r="CU222" s="4">
        <f t="shared" si="119"/>
        <v>116.78950117946475</v>
      </c>
      <c r="CV222" s="4">
        <f t="shared" si="120"/>
        <v>10.510459216302332</v>
      </c>
      <c r="CW222" s="4">
        <f t="shared" ref="CW222:CW226" si="122">CV222*$CO$227</f>
        <v>2688.4129159463023</v>
      </c>
    </row>
    <row r="223" spans="2:101" x14ac:dyDescent="0.2">
      <c r="B223" s="344"/>
      <c r="C223" s="344"/>
      <c r="D223" s="344"/>
      <c r="E223" s="344"/>
      <c r="F223" s="344"/>
      <c r="G223" s="344"/>
      <c r="H223" s="34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>
        <f>AH212</f>
        <v>23.019303009224682</v>
      </c>
      <c r="AS223" s="285">
        <f>BA212</f>
        <v>23.019303009224682</v>
      </c>
      <c r="AT223" s="3">
        <f t="shared" si="112"/>
        <v>0</v>
      </c>
      <c r="BJ223" s="3" t="s">
        <v>31</v>
      </c>
      <c r="BK223" s="285">
        <f>BA212</f>
        <v>23.019303009224682</v>
      </c>
      <c r="BL223" s="285">
        <f>BT212</f>
        <v>23.019303009224682</v>
      </c>
      <c r="BM223" s="3">
        <f t="shared" si="113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4"/>
        <v>0</v>
      </c>
      <c r="CJ223" s="359"/>
      <c r="CK223" s="4" t="s">
        <v>179</v>
      </c>
      <c r="CL223" s="4">
        <f>Z218*$CL$227</f>
        <v>0.22932230681750362</v>
      </c>
      <c r="CM223" s="4">
        <f t="shared" si="121"/>
        <v>1.24E-2</v>
      </c>
      <c r="CN223" s="4">
        <f>MW_MgO</f>
        <v>4.0304400000000004E-2</v>
      </c>
      <c r="CO223" s="4">
        <f t="shared" si="115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6"/>
        <v>2.2244341797101112E-2</v>
      </c>
      <c r="CS223" s="4">
        <f t="shared" si="117"/>
        <v>-3.8056676039638173</v>
      </c>
      <c r="CT223" s="4">
        <f t="shared" si="118"/>
        <v>-8.6425535334728654</v>
      </c>
      <c r="CU223" s="4">
        <f t="shared" si="119"/>
        <v>53.933446466527158</v>
      </c>
      <c r="CV223" s="4">
        <f t="shared" si="120"/>
        <v>1.1997140174970853</v>
      </c>
      <c r="CW223" s="4">
        <f t="shared" si="122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562</v>
      </c>
      <c r="L224" s="1" t="s">
        <v>556</v>
      </c>
      <c r="M224" s="3" t="s">
        <v>5</v>
      </c>
      <c r="N224" s="1" t="s">
        <v>85</v>
      </c>
      <c r="O224" s="1" t="s">
        <v>660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558</v>
      </c>
      <c r="V224" s="1" t="s">
        <v>50</v>
      </c>
      <c r="Y224" s="3" t="s">
        <v>310</v>
      </c>
      <c r="AQ224" s="3" t="s">
        <v>312</v>
      </c>
      <c r="AR224" s="286">
        <f>AH213</f>
        <v>5.6897586074350093</v>
      </c>
      <c r="AS224" s="286">
        <f>BA213</f>
        <v>5.6897586074350093</v>
      </c>
      <c r="AT224" s="3">
        <f t="shared" si="112"/>
        <v>0</v>
      </c>
      <c r="BJ224" s="3" t="s">
        <v>312</v>
      </c>
      <c r="BK224" s="286">
        <f>BA213</f>
        <v>5.6897586074350093</v>
      </c>
      <c r="BL224" s="286">
        <f>BT213</f>
        <v>5.6897586074350093</v>
      </c>
      <c r="BM224" s="3">
        <f t="shared" si="113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4"/>
        <v>0</v>
      </c>
      <c r="CJ224" s="359"/>
      <c r="CK224" s="4" t="s">
        <v>308</v>
      </c>
      <c r="CL224" s="4">
        <f>Z219*$CL$227</f>
        <v>7.0276190798912411E-2</v>
      </c>
      <c r="CM224" s="4">
        <f t="shared" si="121"/>
        <v>3.8000000000000004E-3</v>
      </c>
      <c r="CN224" s="4">
        <f>MW_Na2O</f>
        <v>6.1978936000000005E-2</v>
      </c>
      <c r="CO224" s="4">
        <f t="shared" si="115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6"/>
        <v>4.4329191965743692E-3</v>
      </c>
      <c r="CS224" s="4">
        <f t="shared" si="117"/>
        <v>-5.4186969510924596</v>
      </c>
      <c r="CT224" s="4">
        <f t="shared" si="118"/>
        <v>-12.305693338195185</v>
      </c>
      <c r="CU224" s="4">
        <f t="shared" si="119"/>
        <v>286.33430666180487</v>
      </c>
      <c r="CV224" s="4">
        <f t="shared" si="120"/>
        <v>1.269296844638927</v>
      </c>
      <c r="CW224" s="4">
        <f t="shared" si="122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561</v>
      </c>
      <c r="L225" s="1" t="s">
        <v>88</v>
      </c>
      <c r="M225" s="1" t="s">
        <v>90</v>
      </c>
      <c r="N225" s="1" t="s">
        <v>86</v>
      </c>
      <c r="O225" s="1" t="s">
        <v>647</v>
      </c>
      <c r="P225" s="1" t="s">
        <v>647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2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3"/>
        <v>0</v>
      </c>
      <c r="BW225" s="3" t="s">
        <v>671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4"/>
        <v>0</v>
      </c>
      <c r="CJ225" s="359"/>
      <c r="CK225" s="1" t="s">
        <v>15</v>
      </c>
      <c r="CL225" s="4">
        <f>Z220*$CL$227</f>
        <v>0.80262807386126278</v>
      </c>
      <c r="CM225" s="4">
        <f t="shared" si="121"/>
        <v>4.3400000000000001E-2</v>
      </c>
      <c r="CN225" s="4">
        <f>MW_Fe2O3</f>
        <v>0.1596882</v>
      </c>
      <c r="CO225" s="4">
        <f t="shared" si="115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6"/>
        <v>1.9650211933911133E-2</v>
      </c>
      <c r="CS225" s="4">
        <f t="shared" si="117"/>
        <v>-3.929667155284259</v>
      </c>
      <c r="CT225" s="4">
        <f t="shared" si="118"/>
        <v>-8.9241526829354534</v>
      </c>
      <c r="CU225" s="4">
        <f t="shared" si="119"/>
        <v>8.4342473170646208</v>
      </c>
      <c r="CV225" s="4">
        <f t="shared" si="120"/>
        <v>0.16573474728334117</v>
      </c>
      <c r="CW225" s="4">
        <f t="shared" si="122"/>
        <v>42.392385151596045</v>
      </c>
      <c r="DB225" s="16" t="s">
        <v>631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0" t="s">
        <v>574</v>
      </c>
      <c r="J226" s="96" t="s">
        <v>490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2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3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4"/>
        <v>0</v>
      </c>
      <c r="CJ226" s="359"/>
      <c r="CK226" s="1" t="s">
        <v>17</v>
      </c>
      <c r="CL226" s="4">
        <f>Z221*$CL$227</f>
        <v>9.2172772353099859</v>
      </c>
      <c r="CM226" s="4">
        <f t="shared" si="121"/>
        <v>0.49840000000000007</v>
      </c>
      <c r="CN226" s="3">
        <f>MW_SIO2</f>
        <v>6.00843E-2</v>
      </c>
      <c r="CO226" s="4">
        <f t="shared" si="115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6"/>
        <v>0.59974600337640915</v>
      </c>
      <c r="CS226" s="4">
        <f t="shared" si="117"/>
        <v>-0.51124904110044445</v>
      </c>
      <c r="CT226" s="4">
        <f t="shared" si="118"/>
        <v>-1.1610307747437392</v>
      </c>
      <c r="CU226" s="4">
        <f t="shared" si="119"/>
        <v>0.36496922525632813</v>
      </c>
      <c r="CV226" s="4">
        <f t="shared" si="120"/>
        <v>0.2188888342028672</v>
      </c>
      <c r="CW226" s="4">
        <f t="shared" si="122"/>
        <v>55.988378520576518</v>
      </c>
      <c r="CY226" s="362" t="s">
        <v>437</v>
      </c>
      <c r="CZ226" s="362"/>
      <c r="DA226" s="362"/>
      <c r="DB226" s="362"/>
      <c r="DC226" s="362"/>
      <c r="DD226" s="362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522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6">
        <f>AH216</f>
        <v>153.40575217336286</v>
      </c>
      <c r="AS227" s="286">
        <f>BA216</f>
        <v>153.40575217336286</v>
      </c>
      <c r="AT227" s="3">
        <f t="shared" si="112"/>
        <v>0</v>
      </c>
      <c r="BJ227" s="3" t="s">
        <v>30</v>
      </c>
      <c r="BK227" s="286">
        <f>BA216</f>
        <v>153.40575217336286</v>
      </c>
      <c r="BL227" s="286">
        <f>BT216</f>
        <v>153.40575217336286</v>
      </c>
      <c r="BM227" s="3">
        <f t="shared" si="113"/>
        <v>0</v>
      </c>
      <c r="BN227" s="1"/>
      <c r="BP227" s="4"/>
      <c r="BQ227" s="1" t="s">
        <v>556</v>
      </c>
      <c r="BR227" s="1" t="s">
        <v>557</v>
      </c>
      <c r="BS227" s="1" t="s">
        <v>559</v>
      </c>
      <c r="BT227" s="1" t="s">
        <v>85</v>
      </c>
      <c r="BU227" s="1" t="s">
        <v>660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558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4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661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647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661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568</v>
      </c>
      <c r="DA228" s="13" t="s">
        <v>455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556</v>
      </c>
      <c r="AF229" s="1" t="s">
        <v>557</v>
      </c>
      <c r="AG229" s="1" t="s">
        <v>559</v>
      </c>
      <c r="AH229" s="1" t="s">
        <v>85</v>
      </c>
      <c r="AI229" s="1" t="s">
        <v>660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558</v>
      </c>
      <c r="AP229" s="1" t="s">
        <v>50</v>
      </c>
      <c r="BO229" s="350" t="s">
        <v>671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583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647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0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585</v>
      </c>
      <c r="Z231" s="1" t="s">
        <v>585</v>
      </c>
      <c r="AA231" s="1" t="s">
        <v>585</v>
      </c>
      <c r="AC231" s="350" t="s">
        <v>522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50"/>
      <c r="BP231" s="237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584</v>
      </c>
      <c r="Z232" s="3" t="s">
        <v>584</v>
      </c>
      <c r="AA232" s="3" t="s">
        <v>584</v>
      </c>
      <c r="AC232" s="350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3">LN(AK232)</f>
        <v>-2.0601257523805443</v>
      </c>
      <c r="AM232" s="1">
        <f>RT0*AL232</f>
        <v>-4.6784819257704671</v>
      </c>
      <c r="AN232" s="1">
        <f t="shared" ref="AN232:AN233" si="124">AJ232+AM232</f>
        <v>4.8328620742295412</v>
      </c>
      <c r="AO232" s="1">
        <f>AN232*AK232</f>
        <v>0.61589000281072381</v>
      </c>
      <c r="AP232" s="1">
        <f t="shared" ref="AP232:AP233" si="125">$AH$234*AO232</f>
        <v>163.51221401600938</v>
      </c>
      <c r="BO232" s="350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50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3"/>
        <v>-0.30166831442652092</v>
      </c>
      <c r="AM233" s="1">
        <f>RT0*AL233</f>
        <v>-0.68507942051171322</v>
      </c>
      <c r="AN233" s="1">
        <f t="shared" si="124"/>
        <v>-0.65706594051171319</v>
      </c>
      <c r="AO233" s="1">
        <f t="shared" ref="AO233" si="126">AN233*AK233</f>
        <v>-0.48595501850345452</v>
      </c>
      <c r="AP233" s="1">
        <f t="shared" si="125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528</v>
      </c>
      <c r="CV233" s="50">
        <f>CL243</f>
        <v>69.582675758133661</v>
      </c>
      <c r="CW233" s="48">
        <f>CW243</f>
        <v>5935408.0537775028</v>
      </c>
      <c r="CY233" s="345" t="s">
        <v>667</v>
      </c>
      <c r="CZ233" s="345"/>
      <c r="DA233" s="345"/>
      <c r="DB233" s="345"/>
      <c r="DC233" s="345"/>
      <c r="DL233" s="3" t="s">
        <v>668</v>
      </c>
      <c r="DP233" s="50">
        <f>DF241</f>
        <v>69.582675758133661</v>
      </c>
      <c r="DQ233" s="48">
        <f>DQ241</f>
        <v>5944558.1059355522</v>
      </c>
      <c r="DS233" s="345" t="s">
        <v>670</v>
      </c>
      <c r="DT233" s="345"/>
      <c r="DU233" s="345"/>
      <c r="DV233" s="345"/>
      <c r="DW233" s="345"/>
      <c r="EG233" s="3" t="s">
        <v>671</v>
      </c>
      <c r="EK233" s="50">
        <f>EA241</f>
        <v>69.582675758133661</v>
      </c>
      <c r="EL233" s="48">
        <f>EL241</f>
        <v>5944558.1059355522</v>
      </c>
      <c r="FA233" s="3" t="s">
        <v>671</v>
      </c>
      <c r="FF233" s="50">
        <f>EV241</f>
        <v>10.437401363720047</v>
      </c>
      <c r="FG233" s="48">
        <f>FG241</f>
        <v>891683.71589033271</v>
      </c>
      <c r="FI233" s="377" t="s">
        <v>420</v>
      </c>
      <c r="FJ233" s="378"/>
      <c r="FK233" s="378"/>
      <c r="FL233" s="378"/>
      <c r="FM233" s="378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>
        <f>(mol_H_Coal*N210)+(23*N226)</f>
        <v>45479.121193237697</v>
      </c>
      <c r="Z234" s="284">
        <f>(mol_H_Coal*AH210)+(2*AH232)</f>
        <v>45479.121193237697</v>
      </c>
      <c r="AA234" s="3">
        <f t="shared" ref="AA234:AA242" si="127">Y234-Z234</f>
        <v>0</v>
      </c>
      <c r="AC234" s="350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661</v>
      </c>
      <c r="BV234" s="4"/>
      <c r="BW234" s="4"/>
      <c r="CA234" s="3" t="s">
        <v>96</v>
      </c>
      <c r="CB234" s="1" t="s">
        <v>93</v>
      </c>
      <c r="CY234" s="345"/>
      <c r="CZ234" s="345"/>
      <c r="DA234" s="345"/>
      <c r="DB234" s="345"/>
      <c r="DC234" s="345"/>
      <c r="DS234" s="345"/>
      <c r="DT234" s="345"/>
      <c r="DU234" s="345"/>
      <c r="DV234" s="345"/>
      <c r="DW234" s="345"/>
      <c r="FI234" s="378"/>
      <c r="FJ234" s="378"/>
      <c r="FK234" s="378"/>
      <c r="FL234" s="378"/>
      <c r="FM234" s="378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4">
        <f>(mol_O_Coal*N210)+(3*N211)+N212+N213+N214+(3*N215)+(2*N216)+(2*N240)</f>
        <v>814.76205876806807</v>
      </c>
      <c r="Z235" s="284">
        <f>(mol_O_Coal*AH210)+(3*AH211)+AH212+AH213+AH214+(3*AH215)+(2*AH216)+(2*AH231)+AH232</f>
        <v>814.76205876806807</v>
      </c>
      <c r="AA235" s="3">
        <f t="shared" si="127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661</v>
      </c>
      <c r="AJ235" s="4"/>
      <c r="AK235" s="4"/>
      <c r="AO235" s="3" t="s">
        <v>96</v>
      </c>
      <c r="AP235" s="1" t="s">
        <v>93</v>
      </c>
      <c r="CK235" s="4"/>
      <c r="CL235" s="1" t="s">
        <v>556</v>
      </c>
      <c r="CM235" s="1" t="s">
        <v>557</v>
      </c>
      <c r="CN235" s="1" t="s">
        <v>559</v>
      </c>
      <c r="CO235" s="1" t="s">
        <v>85</v>
      </c>
      <c r="CP235" s="1" t="s">
        <v>660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558</v>
      </c>
      <c r="CW235" s="1" t="s">
        <v>50</v>
      </c>
      <c r="CY235" s="22" t="s">
        <v>429</v>
      </c>
      <c r="CZ235" s="22" t="s">
        <v>477</v>
      </c>
      <c r="DA235" s="159" t="s">
        <v>337</v>
      </c>
      <c r="DB235" s="346" t="s">
        <v>344</v>
      </c>
      <c r="DC235" s="138" t="s">
        <v>317</v>
      </c>
      <c r="DE235" s="4"/>
      <c r="DF235" s="1" t="s">
        <v>556</v>
      </c>
      <c r="DG235" s="1" t="s">
        <v>557</v>
      </c>
      <c r="DH235" s="1" t="s">
        <v>559</v>
      </c>
      <c r="DI235" s="1" t="s">
        <v>85</v>
      </c>
      <c r="DJ235" s="1" t="s">
        <v>660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558</v>
      </c>
      <c r="DQ235" s="1" t="s">
        <v>50</v>
      </c>
      <c r="DS235" s="22" t="s">
        <v>429</v>
      </c>
      <c r="DT235" s="22" t="s">
        <v>477</v>
      </c>
      <c r="DU235" s="159" t="s">
        <v>337</v>
      </c>
      <c r="DV235" s="346" t="s">
        <v>344</v>
      </c>
      <c r="DW235" s="138" t="s">
        <v>317</v>
      </c>
      <c r="DZ235" s="4"/>
      <c r="EA235" s="1" t="s">
        <v>556</v>
      </c>
      <c r="EB235" s="1" t="s">
        <v>557</v>
      </c>
      <c r="EC235" s="1" t="s">
        <v>559</v>
      </c>
      <c r="ED235" s="1" t="s">
        <v>85</v>
      </c>
      <c r="EE235" s="1" t="s">
        <v>660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558</v>
      </c>
      <c r="EL235" s="1" t="s">
        <v>50</v>
      </c>
      <c r="EU235" s="4"/>
      <c r="EV235" s="1" t="s">
        <v>556</v>
      </c>
      <c r="EW235" s="1" t="s">
        <v>557</v>
      </c>
      <c r="EX235" s="1" t="s">
        <v>559</v>
      </c>
      <c r="EY235" s="1" t="s">
        <v>85</v>
      </c>
      <c r="EZ235" s="1" t="s">
        <v>660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558</v>
      </c>
      <c r="FG235" s="1" t="s">
        <v>50</v>
      </c>
      <c r="FI235" s="378"/>
      <c r="FJ235" s="378"/>
      <c r="FK235" s="378"/>
      <c r="FL235" s="378"/>
      <c r="FM235" s="378"/>
    </row>
    <row r="236" spans="2:169" ht="19" thickBot="1" x14ac:dyDescent="0.3">
      <c r="Q236" s="3" t="s">
        <v>539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7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647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1" t="s">
        <v>48</v>
      </c>
      <c r="CZ236" s="9" t="s">
        <v>48</v>
      </c>
      <c r="DA236" s="1" t="s">
        <v>89</v>
      </c>
      <c r="DB236" s="347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647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47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647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647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7"/>
        <v>0</v>
      </c>
      <c r="CJ237" s="350" t="s">
        <v>528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8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29">CO237/$CO$243</f>
        <v>0.92235600940319784</v>
      </c>
      <c r="CS237" s="17">
        <f t="shared" ref="CS237:CS242" si="130">LN(CR237)</f>
        <v>-8.0824002618162957E-2</v>
      </c>
      <c r="CT237" s="17">
        <f t="shared" ref="CT237:CT242" si="131">RT0*CS237</f>
        <v>-0.18354881248416716</v>
      </c>
      <c r="CU237" s="17">
        <f t="shared" ref="CU237:CU242" si="132">CQ237+CT237</f>
        <v>235.91645118751583</v>
      </c>
      <c r="CV237" s="17">
        <f t="shared" ref="CV237:CV242" si="133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1" t="s">
        <v>668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1" t="s">
        <v>525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76" t="s">
        <v>671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3" t="s">
        <v>520</v>
      </c>
      <c r="F238" s="343"/>
      <c r="G238" s="343"/>
      <c r="H238" s="343"/>
      <c r="J238" s="4"/>
      <c r="K238" s="1" t="s">
        <v>556</v>
      </c>
      <c r="L238" s="1" t="s">
        <v>557</v>
      </c>
      <c r="M238" s="1" t="s">
        <v>559</v>
      </c>
      <c r="N238" s="1" t="s">
        <v>85</v>
      </c>
      <c r="O238" s="1" t="s">
        <v>660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558</v>
      </c>
      <c r="V238" s="1" t="s">
        <v>50</v>
      </c>
      <c r="X238" s="3" t="s">
        <v>31</v>
      </c>
      <c r="Y238" s="285">
        <f>N212</f>
        <v>23.019303009224682</v>
      </c>
      <c r="Z238" s="285">
        <f>AH212</f>
        <v>23.019303009224682</v>
      </c>
      <c r="AA238" s="3">
        <f t="shared" si="127"/>
        <v>0</v>
      </c>
      <c r="CJ238" s="350"/>
      <c r="CK238" s="4" t="s">
        <v>371</v>
      </c>
      <c r="CL238" s="3">
        <f t="shared" ref="CL238:CL242" si="134">$CL$243*CM238</f>
        <v>1.3916535151626732</v>
      </c>
      <c r="CM238" s="3">
        <v>0.02</v>
      </c>
      <c r="CN238" s="3">
        <f>MW_C2H4</f>
        <v>2.8053759999999997E-2</v>
      </c>
      <c r="CO238" s="3">
        <f t="shared" si="128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29"/>
        <v>2.3174274526721371E-3</v>
      </c>
      <c r="CS238" s="3">
        <f t="shared" si="130"/>
        <v>-6.0672975651470908</v>
      </c>
      <c r="CT238" s="3">
        <f t="shared" si="131"/>
        <v>-13.778645290954278</v>
      </c>
      <c r="CU238" s="3">
        <f t="shared" si="132"/>
        <v>1347.4513547090457</v>
      </c>
      <c r="CV238" s="3">
        <f t="shared" si="133"/>
        <v>3.1226207605430041</v>
      </c>
      <c r="CW238" s="3">
        <f t="shared" ref="CW238:CW242" si="135">CV238*$CO$243</f>
        <v>66842.569919025103</v>
      </c>
      <c r="CY238" s="4"/>
      <c r="CZ238" s="4"/>
      <c r="DB238" s="139" t="s">
        <v>634</v>
      </c>
      <c r="DC238" s="136">
        <f>DQ233/(CW233+DD229)</f>
        <v>0.99315856277211589</v>
      </c>
      <c r="DD238" s="341"/>
      <c r="DE238" s="3" t="s">
        <v>65</v>
      </c>
      <c r="DF238" s="3">
        <f>CH4_out_COtreatment</f>
        <v>26.702429889316871</v>
      </c>
      <c r="DG238" s="3">
        <f t="shared" ref="DG238:DG240" si="136">DF238/$DF$241</f>
        <v>0.38375112193347305</v>
      </c>
      <c r="DH238" s="3">
        <f>MW_CH4</f>
        <v>1.604276E-2</v>
      </c>
      <c r="DI238" s="3">
        <f t="shared" ref="DI238:DI240" si="137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8">LN(DL238)</f>
        <v>-2.5429226700357286</v>
      </c>
      <c r="DN238" s="3">
        <f>RT0*DM238</f>
        <v>-5.7748988073406355</v>
      </c>
      <c r="DO238" s="3">
        <f t="shared" ref="DO238:DO240" si="139">DK238+DN238</f>
        <v>826.02510119265935</v>
      </c>
      <c r="DP238" s="3">
        <f t="shared" ref="DP238:DP240" si="140">DO238*DL238</f>
        <v>64.955504665215983</v>
      </c>
      <c r="DQ238" s="3">
        <f t="shared" ref="DQ238:DQ240" si="141">DP238*$DI$241</f>
        <v>1374880.4664168048</v>
      </c>
      <c r="DS238" s="4"/>
      <c r="DT238" s="4"/>
      <c r="DV238" s="139" t="s">
        <v>634</v>
      </c>
      <c r="DW238" s="136">
        <f>EL233/DQ233</f>
        <v>1</v>
      </c>
      <c r="DY238" s="341"/>
      <c r="DZ238" s="3" t="s">
        <v>65</v>
      </c>
      <c r="EA238" s="3">
        <f>CH4_out_COtreatment</f>
        <v>26.702429889316871</v>
      </c>
      <c r="EB238" s="3">
        <f t="shared" ref="EB238:EB240" si="142">EA238/$DF$241</f>
        <v>0.38375112193347305</v>
      </c>
      <c r="EC238" s="3">
        <f>MW_CH4</f>
        <v>1.604276E-2</v>
      </c>
      <c r="ED238" s="3">
        <f t="shared" ref="ED238:ED240" si="143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4">LN(EG238)</f>
        <v>-2.5429226700357286</v>
      </c>
      <c r="EI238" s="3">
        <f>RT0*EH238</f>
        <v>-5.7748988073406355</v>
      </c>
      <c r="EJ238" s="3">
        <f t="shared" ref="EJ238:EJ240" si="145">EF238+EI238</f>
        <v>826.02510119265935</v>
      </c>
      <c r="EK238" s="3">
        <f t="shared" ref="EK238:EK240" si="146">EJ238*EG238</f>
        <v>64.955504665215983</v>
      </c>
      <c r="EL238" s="3">
        <f t="shared" ref="EL238:EL240" si="147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76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3"/>
      <c r="F239" s="343"/>
      <c r="G239" s="343"/>
      <c r="H239" s="343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647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>
        <f>N213</f>
        <v>5.6897586074350093</v>
      </c>
      <c r="Z239" s="286">
        <f>AH213</f>
        <v>5.6897586074350093</v>
      </c>
      <c r="AA239" s="3">
        <f t="shared" si="127"/>
        <v>0</v>
      </c>
      <c r="CJ239" s="350"/>
      <c r="CK239" s="3" t="s">
        <v>122</v>
      </c>
      <c r="CL239" s="3">
        <f t="shared" si="134"/>
        <v>3.1312204091160147</v>
      </c>
      <c r="CM239" s="3">
        <v>4.4999999999999998E-2</v>
      </c>
      <c r="CN239" s="3">
        <f>MW_CO</f>
        <v>2.8010399999999998E-2</v>
      </c>
      <c r="CO239" s="3">
        <f t="shared" si="128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29"/>
        <v>5.2222833498636167E-3</v>
      </c>
      <c r="CS239" s="3">
        <f t="shared" si="130"/>
        <v>-5.254820549383771</v>
      </c>
      <c r="CT239" s="3">
        <f t="shared" si="131"/>
        <v>-11.933535093695568</v>
      </c>
      <c r="CU239" s="3">
        <f t="shared" si="132"/>
        <v>263.08942490630443</v>
      </c>
      <c r="CV239" s="3">
        <f t="shared" si="133"/>
        <v>1.3739275232133878</v>
      </c>
      <c r="CW239" s="3">
        <f t="shared" si="135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1"/>
      <c r="DE239" s="237" t="s">
        <v>24</v>
      </c>
      <c r="DF239" s="3">
        <f>O2_out_COtreatment</f>
        <v>2.4968312226300351</v>
      </c>
      <c r="DG239" s="3">
        <f t="shared" si="136"/>
        <v>3.5882943497443406E-2</v>
      </c>
      <c r="DH239" s="3">
        <f>MW_O2</f>
        <v>3.1998800000000001E-2</v>
      </c>
      <c r="DI239" s="3">
        <f t="shared" si="137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8"/>
        <v>-5.6030955660719179</v>
      </c>
      <c r="DN239" s="3">
        <f>RT0*DM239</f>
        <v>-12.724456894896333</v>
      </c>
      <c r="DO239" s="3">
        <f t="shared" si="139"/>
        <v>-8.724456894896333</v>
      </c>
      <c r="DP239" s="3">
        <f t="shared" si="140"/>
        <v>-3.2162138317036203E-2</v>
      </c>
      <c r="DQ239" s="3">
        <f t="shared" si="141"/>
        <v>-680.75979023172897</v>
      </c>
      <c r="DS239" s="4"/>
      <c r="DT239" s="4"/>
      <c r="DV239" s="140" t="s">
        <v>406</v>
      </c>
      <c r="DW239" s="137">
        <f>EL233/DQ233</f>
        <v>1</v>
      </c>
      <c r="DY239" s="341"/>
      <c r="DZ239" s="237" t="s">
        <v>24</v>
      </c>
      <c r="EA239" s="3">
        <f>O2_out_COtreatment</f>
        <v>2.4968312226300351</v>
      </c>
      <c r="EB239" s="3">
        <f t="shared" si="142"/>
        <v>3.5882943497443406E-2</v>
      </c>
      <c r="EC239" s="3">
        <f>MW_O2</f>
        <v>3.1998800000000001E-2</v>
      </c>
      <c r="ED239" s="3">
        <f t="shared" si="143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4"/>
        <v>-5.6030955660719179</v>
      </c>
      <c r="EI239" s="3">
        <f>RT0*EH239</f>
        <v>-12.724456894896333</v>
      </c>
      <c r="EJ239" s="3">
        <f t="shared" si="145"/>
        <v>-8.724456894896333</v>
      </c>
      <c r="EK239" s="3">
        <f t="shared" si="146"/>
        <v>-3.2162138317036203E-2</v>
      </c>
      <c r="EL239" s="3">
        <f t="shared" si="147"/>
        <v>-680.75979023172897</v>
      </c>
      <c r="EM239" s="1"/>
      <c r="EN239" s="1"/>
      <c r="EO239" s="1"/>
      <c r="EP239" s="1"/>
      <c r="EQ239" s="1"/>
      <c r="ER239" s="1"/>
      <c r="ES239" s="1"/>
      <c r="ET239" s="376"/>
      <c r="EU239" s="237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50" t="s">
        <v>526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7"/>
        <v>0</v>
      </c>
      <c r="CA240" s="63" t="s">
        <v>1</v>
      </c>
      <c r="CB240" s="58" t="s">
        <v>0</v>
      </c>
      <c r="CJ240" s="350"/>
      <c r="CK240" s="7" t="s">
        <v>64</v>
      </c>
      <c r="CL240" s="3">
        <f t="shared" si="134"/>
        <v>0.97415746061387132</v>
      </c>
      <c r="CM240" s="3">
        <v>1.4E-2</v>
      </c>
      <c r="CN240" s="3">
        <f>MW_CO2</f>
        <v>4.4009800000000002E-2</v>
      </c>
      <c r="CO240" s="3">
        <f t="shared" si="128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29"/>
        <v>1.0340603116186133E-3</v>
      </c>
      <c r="CS240" s="3">
        <f t="shared" si="130"/>
        <v>-6.8742621761456677</v>
      </c>
      <c r="CT240" s="3">
        <f t="shared" si="131"/>
        <v>-15.611236987325567</v>
      </c>
      <c r="CU240" s="3">
        <f t="shared" si="132"/>
        <v>4.2887630126744671</v>
      </c>
      <c r="CV240" s="3">
        <f t="shared" si="133"/>
        <v>4.4348396173445421E-3</v>
      </c>
      <c r="CW240" s="3">
        <f t="shared" si="135"/>
        <v>94.931821676118844</v>
      </c>
      <c r="DD240" s="341"/>
      <c r="DE240" s="7" t="s">
        <v>67</v>
      </c>
      <c r="DF240" s="3">
        <f>N2_out_COtreatment</f>
        <v>1.3220708394045395</v>
      </c>
      <c r="DG240" s="3">
        <f t="shared" si="136"/>
        <v>1.9E-2</v>
      </c>
      <c r="DH240" s="3">
        <f>MW_N2</f>
        <v>2.801348E-2</v>
      </c>
      <c r="DI240" s="3">
        <f t="shared" si="137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8"/>
        <v>-6.1059060788071511</v>
      </c>
      <c r="DN240" s="3">
        <f>RT0*DM240</f>
        <v>-13.866324032473203</v>
      </c>
      <c r="DO240" s="3">
        <f t="shared" si="139"/>
        <v>-13.166324032473204</v>
      </c>
      <c r="DP240" s="3">
        <f t="shared" si="140"/>
        <v>-2.9356428763433841E-2</v>
      </c>
      <c r="DQ240" s="3">
        <f t="shared" si="141"/>
        <v>-621.37274860117384</v>
      </c>
      <c r="DY240" s="341"/>
      <c r="DZ240" s="7" t="s">
        <v>67</v>
      </c>
      <c r="EA240" s="3">
        <f>N2_out_COtreatment</f>
        <v>1.3220708394045395</v>
      </c>
      <c r="EB240" s="3">
        <f t="shared" si="142"/>
        <v>1.9E-2</v>
      </c>
      <c r="EC240" s="3">
        <f>MW_N2</f>
        <v>2.801348E-2</v>
      </c>
      <c r="ED240" s="3">
        <f t="shared" si="143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4"/>
        <v>-6.1059060788071511</v>
      </c>
      <c r="EI240" s="3">
        <f>RT0*EH240</f>
        <v>-13.866324032473203</v>
      </c>
      <c r="EJ240" s="3">
        <f t="shared" si="145"/>
        <v>-13.166324032473204</v>
      </c>
      <c r="EK240" s="3">
        <f t="shared" si="146"/>
        <v>-2.9356428763433841E-2</v>
      </c>
      <c r="EL240" s="3">
        <f t="shared" si="147"/>
        <v>-621.37274860117384</v>
      </c>
      <c r="ET240" s="376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50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7"/>
        <v>0</v>
      </c>
      <c r="CA241" s="65" t="s">
        <v>89</v>
      </c>
      <c r="CB241" s="64" t="s">
        <v>93</v>
      </c>
      <c r="CJ241" s="350"/>
      <c r="CK241" s="7" t="s">
        <v>67</v>
      </c>
      <c r="CL241" s="3">
        <f t="shared" si="134"/>
        <v>1.3220708394045395</v>
      </c>
      <c r="CM241" s="3">
        <v>1.9E-2</v>
      </c>
      <c r="CN241" s="3">
        <f>MW_N2</f>
        <v>2.801348E-2</v>
      </c>
      <c r="CO241" s="3">
        <f t="shared" si="128"/>
        <v>47.194095107231931</v>
      </c>
      <c r="CP241" s="3">
        <f>h_N2</f>
        <v>0</v>
      </c>
      <c r="CQ241" s="3">
        <f>b_ch_N2</f>
        <v>0.7</v>
      </c>
      <c r="CR241" s="3">
        <f t="shared" si="129"/>
        <v>2.2047216517170204E-3</v>
      </c>
      <c r="CS241" s="3">
        <f t="shared" si="130"/>
        <v>-6.1171540131006124</v>
      </c>
      <c r="CT241" s="3">
        <f t="shared" si="131"/>
        <v>-13.891867743692485</v>
      </c>
      <c r="CU241" s="3">
        <f t="shared" si="132"/>
        <v>-13.191867743692486</v>
      </c>
      <c r="CV241" s="3">
        <f t="shared" si="133"/>
        <v>-2.9084396441106181E-2</v>
      </c>
      <c r="CW241" s="3">
        <f t="shared" si="135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6">
        <f>N216</f>
        <v>153.40575217336286</v>
      </c>
      <c r="Z242" s="286">
        <f>AH216</f>
        <v>153.40575217336286</v>
      </c>
      <c r="AA242" s="3">
        <f t="shared" si="127"/>
        <v>0</v>
      </c>
      <c r="BW242" s="3" t="s">
        <v>526</v>
      </c>
      <c r="CA242" s="50">
        <f>BQ248</f>
        <v>556.96479760636817</v>
      </c>
      <c r="CB242" s="48">
        <f>CB248</f>
        <v>4359.9448543333856</v>
      </c>
      <c r="CJ242" s="350"/>
      <c r="CK242" s="3" t="s">
        <v>65</v>
      </c>
      <c r="CL242" s="3">
        <f t="shared" si="134"/>
        <v>22.962283000184108</v>
      </c>
      <c r="CM242" s="3">
        <v>0.33</v>
      </c>
      <c r="CN242" s="3">
        <f>MW_CH4</f>
        <v>1.604276E-2</v>
      </c>
      <c r="CO242" s="3">
        <f t="shared" si="128"/>
        <v>1431.3174915154318</v>
      </c>
      <c r="CP242" s="3">
        <f>h_CH4</f>
        <v>1.604276E-2</v>
      </c>
      <c r="CQ242" s="3">
        <f>b_ch_CH4</f>
        <v>831.8</v>
      </c>
      <c r="CR242" s="3">
        <f t="shared" si="129"/>
        <v>6.6865497830930945E-2</v>
      </c>
      <c r="CS242" s="3">
        <f t="shared" si="130"/>
        <v>-2.7050721723709388</v>
      </c>
      <c r="CT242" s="3">
        <f t="shared" si="131"/>
        <v>-6.1431353167242753</v>
      </c>
      <c r="CU242" s="3">
        <f t="shared" si="132"/>
        <v>825.65686468327567</v>
      </c>
      <c r="CV242" s="3">
        <f t="shared" si="133"/>
        <v>55.207957294572815</v>
      </c>
      <c r="CW242" s="3">
        <f t="shared" si="135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661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661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583</v>
      </c>
      <c r="EV242" s="1" t="s">
        <v>89</v>
      </c>
      <c r="EW242" s="1"/>
      <c r="EX242" s="3" t="s">
        <v>91</v>
      </c>
      <c r="EY242" s="3" t="s">
        <v>87</v>
      </c>
      <c r="EZ242" s="1" t="s">
        <v>661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661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583</v>
      </c>
      <c r="EO243" s="4"/>
      <c r="EP243" s="1" t="s">
        <v>585</v>
      </c>
      <c r="EQ243" s="1" t="s">
        <v>585</v>
      </c>
      <c r="ER243" s="1" t="s">
        <v>585</v>
      </c>
    </row>
    <row r="244" spans="9:163" ht="18" x14ac:dyDescent="0.25">
      <c r="BK244" s="343" t="s">
        <v>520</v>
      </c>
      <c r="BL244" s="343"/>
      <c r="BM244" s="343"/>
      <c r="BN244" s="343"/>
      <c r="BP244" s="4"/>
      <c r="BQ244" s="1" t="s">
        <v>556</v>
      </c>
      <c r="BR244" s="1" t="s">
        <v>557</v>
      </c>
      <c r="BS244" s="1" t="s">
        <v>559</v>
      </c>
      <c r="BT244" s="1" t="s">
        <v>85</v>
      </c>
      <c r="BU244" s="1" t="s">
        <v>660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558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661</v>
      </c>
      <c r="CQ244" s="4"/>
      <c r="CR244" s="4"/>
      <c r="CV244" s="3" t="s">
        <v>96</v>
      </c>
      <c r="CW244" s="1" t="s">
        <v>93</v>
      </c>
      <c r="CY244" s="4"/>
      <c r="CZ244" s="1" t="s">
        <v>585</v>
      </c>
      <c r="DA244" s="1" t="s">
        <v>585</v>
      </c>
      <c r="DB244" s="1" t="s">
        <v>585</v>
      </c>
      <c r="EO244" s="4" t="s">
        <v>60</v>
      </c>
      <c r="EP244" s="3" t="s">
        <v>584</v>
      </c>
      <c r="EQ244" s="3" t="s">
        <v>584</v>
      </c>
      <c r="ER244" s="3" t="s">
        <v>584</v>
      </c>
    </row>
    <row r="245" spans="9:163" ht="18" x14ac:dyDescent="0.25">
      <c r="BK245" s="343"/>
      <c r="BL245" s="343"/>
      <c r="BM245" s="343"/>
      <c r="BN245" s="343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647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584</v>
      </c>
      <c r="DA245" s="3" t="s">
        <v>584</v>
      </c>
      <c r="DB245" s="3" t="s">
        <v>584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59" t="s">
        <v>521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8">EP246-EQ246</f>
        <v>0</v>
      </c>
    </row>
    <row r="247" spans="9:163" ht="19" thickBot="1" x14ac:dyDescent="0.3">
      <c r="BO247" s="359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49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8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49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8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661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49"/>
        <v>0</v>
      </c>
    </row>
    <row r="250" spans="9:163" ht="16" thickBot="1" x14ac:dyDescent="0.25">
      <c r="CR250" s="3" t="s">
        <v>529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556</v>
      </c>
      <c r="CM252" s="1" t="s">
        <v>557</v>
      </c>
      <c r="CN252" s="1" t="s">
        <v>559</v>
      </c>
      <c r="CO252" s="1" t="s">
        <v>85</v>
      </c>
      <c r="CP252" s="1" t="s">
        <v>660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558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647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475</v>
      </c>
      <c r="CA254" s="50">
        <f>BR259</f>
        <v>16.963528773956838</v>
      </c>
      <c r="CB254" s="48">
        <f>CB259</f>
        <v>879540.87913658854</v>
      </c>
      <c r="CJ254" s="350" t="s">
        <v>529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461</v>
      </c>
      <c r="BO255" s="4"/>
      <c r="CJ255" s="350"/>
      <c r="CK255" s="247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0">CV255*$CO$257</f>
        <v>17618.934818089241</v>
      </c>
    </row>
    <row r="256" spans="9:163" ht="18" x14ac:dyDescent="0.25">
      <c r="BI256" s="343" t="s">
        <v>474</v>
      </c>
      <c r="BJ256" s="343"/>
      <c r="BK256" s="343"/>
      <c r="BL256" s="343"/>
      <c r="BM256" s="343"/>
      <c r="BN256" s="343"/>
      <c r="BO256" s="343"/>
      <c r="BP256" s="1"/>
      <c r="BQ256" s="3" t="s">
        <v>562</v>
      </c>
      <c r="BR256" s="1" t="s">
        <v>556</v>
      </c>
      <c r="BS256" s="3" t="s">
        <v>5</v>
      </c>
      <c r="BT256" s="1" t="s">
        <v>85</v>
      </c>
      <c r="BU256" s="1" t="s">
        <v>660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558</v>
      </c>
      <c r="CB256" s="1" t="s">
        <v>50</v>
      </c>
      <c r="CJ256" s="350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0"/>
        <v>-2134.9406608017516</v>
      </c>
    </row>
    <row r="257" spans="52:101" ht="18" x14ac:dyDescent="0.25">
      <c r="AZ257" s="16"/>
      <c r="BI257" s="344"/>
      <c r="BJ257" s="344"/>
      <c r="BK257" s="344"/>
      <c r="BL257" s="344"/>
      <c r="BM257" s="344"/>
      <c r="BN257" s="344"/>
      <c r="BO257" s="344"/>
      <c r="BP257" s="1"/>
      <c r="BQ257" s="3" t="s">
        <v>561</v>
      </c>
      <c r="BR257" s="1" t="s">
        <v>88</v>
      </c>
      <c r="BS257" s="1" t="s">
        <v>90</v>
      </c>
      <c r="BT257" s="2" t="s">
        <v>86</v>
      </c>
      <c r="BU257" s="1" t="s">
        <v>647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661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458</v>
      </c>
      <c r="BK259" s="13" t="s">
        <v>459</v>
      </c>
      <c r="BL259" s="13" t="s">
        <v>460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433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661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431</v>
      </c>
      <c r="I6" s="273" t="s">
        <v>431</v>
      </c>
    </row>
    <row r="7" spans="4:9" ht="19" x14ac:dyDescent="0.25">
      <c r="D7" s="380" t="s">
        <v>430</v>
      </c>
      <c r="E7" s="215" t="s">
        <v>570</v>
      </c>
      <c r="F7" s="218">
        <f>'Ore-&gt;PI'!F72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81"/>
      <c r="E8" s="215" t="s">
        <v>432</v>
      </c>
      <c r="F8" s="218">
        <f>'Ore-&gt;PI'!$AS$28+'Ore-&gt;PI'!$BL$35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82" t="s">
        <v>20</v>
      </c>
      <c r="E9" s="215" t="s">
        <v>570</v>
      </c>
      <c r="F9" s="218">
        <f>'Ore-&gt;PI'!K144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83"/>
      <c r="E10" s="215" t="s">
        <v>571</v>
      </c>
      <c r="F10" s="218">
        <f>'Ore-&gt;PI'!K155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83"/>
      <c r="E11" s="215" t="s">
        <v>265</v>
      </c>
      <c r="F11" s="218">
        <f>'Ore-&gt;PI'!AS113+'Ore-&gt;PI'!BK116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84"/>
      <c r="E12" s="215" t="s">
        <v>433</v>
      </c>
      <c r="F12" s="218">
        <f>'Ore-&gt;PI'!BQ156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85" t="s">
        <v>353</v>
      </c>
      <c r="E13" s="215" t="s">
        <v>570</v>
      </c>
      <c r="F13" s="218">
        <f>'Ore-&gt;PI'!K226</f>
        <v>20969.662867987096</v>
      </c>
      <c r="G13" s="274">
        <f>F13*1.06</f>
        <v>22227.842640066323</v>
      </c>
      <c r="H13" s="275">
        <f t="shared" si="0"/>
        <v>2.0969662867987095E-5</v>
      </c>
      <c r="I13" s="276">
        <f t="shared" si="1"/>
        <v>2.2227842640066324E-5</v>
      </c>
    </row>
    <row r="14" spans="4:9" ht="19" x14ac:dyDescent="0.25">
      <c r="D14" s="386"/>
      <c r="E14" s="215" t="s">
        <v>433</v>
      </c>
      <c r="F14" s="218">
        <f>'Ore-&gt;PI'!BQ258</f>
        <v>848176.43869784183</v>
      </c>
      <c r="G14" s="274">
        <f>F14*1.04</f>
        <v>882103.49624575558</v>
      </c>
      <c r="H14" s="275">
        <f t="shared" si="0"/>
        <v>8.481764386978418E-4</v>
      </c>
      <c r="I14" s="276">
        <f t="shared" si="1"/>
        <v>8.8210349624575561E-4</v>
      </c>
    </row>
    <row r="15" spans="4:9" ht="20" thickBot="1" x14ac:dyDescent="0.3">
      <c r="D15" s="387"/>
      <c r="E15" s="215" t="s">
        <v>432</v>
      </c>
      <c r="F15" s="218">
        <f>'Ore-&gt;PI'!AA195+'Ore-&gt;PI'!AS190+'Ore-&gt;PI'!BK195+'Ore-&gt;PI'!DB229</f>
        <v>316406.54544878984</v>
      </c>
      <c r="G15" s="274">
        <f>F15</f>
        <v>316406.54544878984</v>
      </c>
      <c r="H15" s="275">
        <f t="shared" si="0"/>
        <v>3.1640654544878985E-4</v>
      </c>
      <c r="I15" s="276">
        <f t="shared" si="1"/>
        <v>3.1640654544878985E-4</v>
      </c>
    </row>
    <row r="16" spans="4:9" ht="19" x14ac:dyDescent="0.25">
      <c r="D16" s="388" t="s">
        <v>352</v>
      </c>
      <c r="E16" s="215" t="s">
        <v>432</v>
      </c>
      <c r="F16" s="218">
        <f>'Ore-&gt;PI'!ES117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88"/>
      <c r="E17" s="215" t="s">
        <v>433</v>
      </c>
      <c r="F17" s="218">
        <f>'Ore-&gt;PI'!EB118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89"/>
      <c r="E18" s="214" t="s">
        <v>555</v>
      </c>
      <c r="F18" s="217">
        <f>'Ore-&gt;PI'!EB105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2" t="s">
        <v>573</v>
      </c>
      <c r="F23" s="3" t="s">
        <v>572</v>
      </c>
      <c r="G23" s="3" t="s">
        <v>637</v>
      </c>
    </row>
    <row r="24" spans="4:9" x14ac:dyDescent="0.2">
      <c r="E24" s="202" t="s">
        <v>570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2" t="s">
        <v>432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2" t="s">
        <v>433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2" t="s">
        <v>571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2" t="s">
        <v>555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582</v>
      </c>
      <c r="AS1" s="258"/>
      <c r="AT1" s="205" t="s">
        <v>414</v>
      </c>
      <c r="AU1" s="205" t="s">
        <v>415</v>
      </c>
      <c r="AV1" s="205" t="s">
        <v>416</v>
      </c>
      <c r="AW1" s="205" t="s">
        <v>563</v>
      </c>
      <c r="AX1" s="205" t="s">
        <v>542</v>
      </c>
      <c r="AY1" s="205" t="s">
        <v>541</v>
      </c>
      <c r="AZ1" s="205" t="s">
        <v>441</v>
      </c>
      <c r="BA1" s="205" t="s">
        <v>438</v>
      </c>
      <c r="BB1" s="205" t="s">
        <v>456</v>
      </c>
      <c r="BC1" s="205" t="s">
        <v>439</v>
      </c>
      <c r="BD1" s="205" t="s">
        <v>434</v>
      </c>
      <c r="BE1" s="205" t="s">
        <v>667</v>
      </c>
      <c r="BF1" s="205" t="s">
        <v>670</v>
      </c>
      <c r="BG1" s="205" t="s">
        <v>81</v>
      </c>
      <c r="BH1" s="205" t="s">
        <v>426</v>
      </c>
      <c r="BM1" s="258"/>
      <c r="BN1" s="205" t="s">
        <v>414</v>
      </c>
      <c r="BO1" s="205" t="s">
        <v>415</v>
      </c>
      <c r="BP1" s="205" t="s">
        <v>416</v>
      </c>
      <c r="BQ1" s="205" t="s">
        <v>563</v>
      </c>
      <c r="BR1" s="205" t="s">
        <v>542</v>
      </c>
      <c r="BS1" s="205" t="s">
        <v>541</v>
      </c>
      <c r="BT1" s="205" t="s">
        <v>441</v>
      </c>
      <c r="BU1" s="205" t="s">
        <v>438</v>
      </c>
      <c r="BV1" s="205" t="s">
        <v>456</v>
      </c>
      <c r="BW1" s="205" t="s">
        <v>439</v>
      </c>
      <c r="BX1" s="205" t="s">
        <v>434</v>
      </c>
      <c r="BY1" s="205" t="s">
        <v>667</v>
      </c>
      <c r="BZ1" s="205" t="s">
        <v>670</v>
      </c>
      <c r="CA1" s="205" t="s">
        <v>81</v>
      </c>
      <c r="CB1" s="205" t="s">
        <v>426</v>
      </c>
    </row>
    <row r="2" spans="2:80" x14ac:dyDescent="0.2">
      <c r="B2" s="202" t="s">
        <v>422</v>
      </c>
      <c r="C2" s="282">
        <v>1</v>
      </c>
      <c r="AS2" s="202" t="s">
        <v>422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422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424</v>
      </c>
      <c r="C3" s="282">
        <v>1</v>
      </c>
      <c r="AS3" s="202" t="s">
        <v>424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424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425</v>
      </c>
      <c r="C4" s="282">
        <v>1</v>
      </c>
      <c r="AS4" s="202" t="s">
        <v>425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425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445</v>
      </c>
      <c r="C5" s="282">
        <v>1</v>
      </c>
      <c r="AS5" s="202" t="s">
        <v>445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445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475</v>
      </c>
      <c r="C6" s="282">
        <v>1</v>
      </c>
      <c r="AL6" s="202"/>
      <c r="AS6" s="202" t="s">
        <v>475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475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574</v>
      </c>
      <c r="C7" s="282">
        <v>1</v>
      </c>
      <c r="AL7" s="202"/>
      <c r="AS7" s="202" t="s">
        <v>574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574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575</v>
      </c>
      <c r="C8" s="282">
        <v>1</v>
      </c>
      <c r="AL8" s="202"/>
      <c r="AS8" s="202" t="s">
        <v>575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575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517</v>
      </c>
      <c r="C9" s="282">
        <v>1</v>
      </c>
      <c r="AL9" s="202"/>
      <c r="AS9" s="202" t="s">
        <v>517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517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567</v>
      </c>
      <c r="C10" s="282">
        <v>1</v>
      </c>
      <c r="AL10" s="202"/>
      <c r="AS10" s="202" t="s">
        <v>567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567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549</v>
      </c>
      <c r="C11" s="282">
        <v>1</v>
      </c>
      <c r="AS11" s="203" t="s">
        <v>549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549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515</v>
      </c>
      <c r="C12" s="282">
        <v>1</v>
      </c>
      <c r="AS12" s="202" t="s">
        <v>515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515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518</v>
      </c>
      <c r="C13" s="282">
        <v>1</v>
      </c>
      <c r="AS13" s="203" t="s">
        <v>518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518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544</v>
      </c>
      <c r="C14" s="282">
        <v>1</v>
      </c>
      <c r="AS14" s="202" t="s">
        <v>544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544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536</v>
      </c>
      <c r="C15" s="282">
        <v>1</v>
      </c>
      <c r="AS15" s="204" t="s">
        <v>536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536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522</v>
      </c>
      <c r="C16" s="282">
        <v>1</v>
      </c>
      <c r="AS16" s="202" t="s">
        <v>522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522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548</v>
      </c>
      <c r="C17" s="282">
        <v>1</v>
      </c>
      <c r="AS17" s="203" t="s">
        <v>548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548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543</v>
      </c>
      <c r="C18" s="282">
        <v>1</v>
      </c>
      <c r="AS18" s="203" t="s">
        <v>543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543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540</v>
      </c>
      <c r="C19" s="282">
        <v>1</v>
      </c>
      <c r="AS19" s="203" t="s">
        <v>540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540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546</v>
      </c>
      <c r="C20" s="282">
        <v>1</v>
      </c>
      <c r="AS20" s="203" t="s">
        <v>546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546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545</v>
      </c>
      <c r="C21" s="282">
        <v>1</v>
      </c>
      <c r="AS21" s="204" t="s">
        <v>545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545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530</v>
      </c>
      <c r="C22" s="282">
        <v>1</v>
      </c>
      <c r="AS22" s="204" t="s">
        <v>530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530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564</v>
      </c>
      <c r="C23" s="282">
        <v>1</v>
      </c>
      <c r="AS23" s="204" t="s">
        <v>564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564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531</v>
      </c>
      <c r="C24" s="282">
        <v>1</v>
      </c>
      <c r="AS24" s="204" t="s">
        <v>531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531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533</v>
      </c>
      <c r="C25" s="282">
        <v>1</v>
      </c>
      <c r="AS25" s="204" t="s">
        <v>533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533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532</v>
      </c>
      <c r="C26" s="282">
        <v>1</v>
      </c>
      <c r="AS26" s="204" t="s">
        <v>532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532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629</v>
      </c>
      <c r="C27" s="282">
        <v>1</v>
      </c>
      <c r="AS27" s="204" t="s">
        <v>629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629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528</v>
      </c>
      <c r="C28" s="282">
        <v>1</v>
      </c>
      <c r="AS28" s="251" t="s">
        <v>528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528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527</v>
      </c>
      <c r="C29" s="282">
        <v>1</v>
      </c>
      <c r="AS29" s="204" t="s">
        <v>527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527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529</v>
      </c>
      <c r="C30" s="282">
        <v>1</v>
      </c>
      <c r="AS30" s="202" t="s">
        <v>529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529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525</v>
      </c>
      <c r="C31" s="282">
        <v>1</v>
      </c>
      <c r="AS31" s="204" t="s">
        <v>668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668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671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671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552</v>
      </c>
      <c r="C33" s="282">
        <v>1</v>
      </c>
      <c r="AS33" s="204" t="s">
        <v>552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552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553</v>
      </c>
      <c r="C34" s="282">
        <v>1</v>
      </c>
      <c r="AS34" s="204" t="s">
        <v>553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553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554</v>
      </c>
      <c r="C35" s="282">
        <v>1</v>
      </c>
      <c r="AS35" s="204" t="s">
        <v>554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554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565</v>
      </c>
      <c r="C36" s="282">
        <v>1</v>
      </c>
      <c r="AS36" s="204" t="s">
        <v>565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565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581</v>
      </c>
      <c r="AS37" s="204"/>
      <c r="AT37" s="390" t="s">
        <v>578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4"/>
      <c r="BN37" s="390" t="s">
        <v>579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414</v>
      </c>
      <c r="AU40" s="205" t="s">
        <v>415</v>
      </c>
      <c r="AV40" s="205" t="s">
        <v>416</v>
      </c>
      <c r="AW40" s="205" t="s">
        <v>563</v>
      </c>
      <c r="AX40" s="205" t="s">
        <v>542</v>
      </c>
      <c r="AY40" s="205" t="s">
        <v>541</v>
      </c>
      <c r="AZ40" s="205" t="s">
        <v>441</v>
      </c>
      <c r="BA40" s="205" t="s">
        <v>438</v>
      </c>
      <c r="BB40" s="205" t="s">
        <v>456</v>
      </c>
      <c r="BC40" s="205" t="s">
        <v>439</v>
      </c>
      <c r="BD40" s="205" t="s">
        <v>434</v>
      </c>
      <c r="BE40" s="205" t="s">
        <v>667</v>
      </c>
      <c r="BF40" s="205" t="s">
        <v>670</v>
      </c>
      <c r="BG40" s="205" t="s">
        <v>81</v>
      </c>
      <c r="BH40" s="205" t="s">
        <v>426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422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424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425</v>
      </c>
      <c r="AT43" s="282">
        <f t="shared" si="1"/>
        <v>0</v>
      </c>
      <c r="AU43" s="282">
        <f t="shared" ref="AU43:BH43" si="3">AU87</f>
        <v>0</v>
      </c>
      <c r="AV43" s="282">
        <f t="shared" si="3"/>
        <v>8753719.7068998404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445</v>
      </c>
      <c r="AT44" s="282">
        <f t="shared" si="1"/>
        <v>236.0188688118763</v>
      </c>
      <c r="AU44" s="282">
        <f t="shared" ref="AU44:BH44" si="4">AU88</f>
        <v>0.70761030268572533</v>
      </c>
      <c r="AV44" s="282">
        <f t="shared" si="4"/>
        <v>56.138829759567599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>
        <f t="shared" si="4"/>
        <v>4359.9448543333856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23611.293462025522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475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>
        <f t="shared" si="5"/>
        <v>879540.87913658854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574</v>
      </c>
      <c r="AT46" s="282">
        <f t="shared" si="1"/>
        <v>94146.207140653787</v>
      </c>
      <c r="AU46" s="282">
        <f t="shared" ref="AU46:BH46" si="6">AU90</f>
        <v>257.99399332425372</v>
      </c>
      <c r="AV46" s="282">
        <f t="shared" si="6"/>
        <v>22393.370164784887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575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517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567</v>
      </c>
      <c r="AT49" s="282">
        <f t="shared" si="1"/>
        <v>0</v>
      </c>
      <c r="AU49" s="282">
        <f t="shared" ref="AU49:BH49" si="9">AU93</f>
        <v>0</v>
      </c>
      <c r="AV49" s="282">
        <f t="shared" si="9"/>
        <v>77449.427901236573</v>
      </c>
      <c r="AW49" s="282">
        <f t="shared" si="9"/>
        <v>609792.2517593482</v>
      </c>
      <c r="AX49" s="282">
        <f t="shared" si="9"/>
        <v>2824.8856477449194</v>
      </c>
      <c r="AY49" s="282">
        <f t="shared" si="9"/>
        <v>160253.43323591491</v>
      </c>
      <c r="AZ49" s="282">
        <f t="shared" si="9"/>
        <v>12626.098826338684</v>
      </c>
      <c r="BA49" s="282">
        <f t="shared" si="9"/>
        <v>34.678095164114971</v>
      </c>
      <c r="BB49" s="282">
        <f t="shared" si="9"/>
        <v>28604.157765782104</v>
      </c>
      <c r="BC49" s="282">
        <f t="shared" si="9"/>
        <v>0</v>
      </c>
      <c r="BD49" s="282">
        <f t="shared" si="9"/>
        <v>0</v>
      </c>
      <c r="BE49" s="282">
        <f t="shared" si="9"/>
        <v>50099.526545856235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549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515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518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544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536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>
        <f t="shared" si="14"/>
        <v>8753719.7068998404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522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548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543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540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>
        <f t="shared" si="18"/>
        <v>8753719.7068998404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546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545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530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564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>
        <f t="shared" si="22"/>
        <v>8753719.7068998404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531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533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532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629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6791339.3350291392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528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>
        <f t="shared" si="27"/>
        <v>5935408.0537775028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527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529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668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5944558.1059355522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671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891683.71589033271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4161190.674154886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552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553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554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565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390" t="s">
        <v>580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414</v>
      </c>
      <c r="AU84" s="205" t="s">
        <v>415</v>
      </c>
      <c r="AV84" s="205" t="s">
        <v>416</v>
      </c>
      <c r="AW84" s="205" t="s">
        <v>563</v>
      </c>
      <c r="AX84" s="205" t="s">
        <v>542</v>
      </c>
      <c r="AY84" s="205" t="s">
        <v>541</v>
      </c>
      <c r="AZ84" s="205" t="s">
        <v>441</v>
      </c>
      <c r="BA84" s="205" t="s">
        <v>438</v>
      </c>
      <c r="BB84" s="205" t="s">
        <v>456</v>
      </c>
      <c r="BC84" s="205" t="s">
        <v>439</v>
      </c>
      <c r="BD84" s="205" t="s">
        <v>434</v>
      </c>
      <c r="BE84" s="205" t="s">
        <v>667</v>
      </c>
      <c r="BF84" s="205" t="s">
        <v>670</v>
      </c>
      <c r="BG84" s="205" t="s">
        <v>81</v>
      </c>
      <c r="BH84" s="205" t="s">
        <v>426</v>
      </c>
      <c r="BM84" s="205"/>
      <c r="BN84" s="205" t="s">
        <v>420</v>
      </c>
      <c r="BO84" s="205" t="s">
        <v>356</v>
      </c>
    </row>
    <row r="85" spans="35:68" x14ac:dyDescent="0.2">
      <c r="AI85" s="202"/>
      <c r="AJ85" s="202"/>
      <c r="AS85" s="202" t="s">
        <v>422</v>
      </c>
      <c r="AT85" s="228">
        <f>'Ore-&gt;PI'!$V$42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422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424</v>
      </c>
      <c r="AT86" s="228"/>
      <c r="AU86" s="228">
        <f>'Ore-&gt;PI'!$V$126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424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425</v>
      </c>
      <c r="AT87" s="228"/>
      <c r="AU87" s="228"/>
      <c r="AV87" s="228">
        <f>'Ore-&gt;PI'!$V$206</f>
        <v>8753719.7068998404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>
        <f t="shared" ref="BI87:BI119" si="46">SUM(AT87:BH87)</f>
        <v>8753719.7068998404</v>
      </c>
      <c r="BM87" s="202" t="s">
        <v>425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445</v>
      </c>
      <c r="AT88" s="228">
        <f>'Ore-&gt;PI'!V72</f>
        <v>236.0188688118763</v>
      </c>
      <c r="AU88" s="228">
        <f>'Ore-&gt;PI'!V163</f>
        <v>0.70761030268572533</v>
      </c>
      <c r="AV88" s="228">
        <f>'Ore-&gt;PI'!V236</f>
        <v>56.138829759567599</v>
      </c>
      <c r="AW88" s="228"/>
      <c r="AX88" s="228"/>
      <c r="AY88" s="228"/>
      <c r="AZ88" s="228"/>
      <c r="BA88" s="228"/>
      <c r="BB88" s="228"/>
      <c r="BC88" s="228">
        <f>'Ore-&gt;PI'!CB140</f>
        <v>2787379.6921424987</v>
      </c>
      <c r="BD88" s="228">
        <f>'Ore-&gt;PI'!CB242</f>
        <v>4359.9448543333856</v>
      </c>
      <c r="BE88" s="228"/>
      <c r="BF88" s="228"/>
      <c r="BG88" s="228"/>
      <c r="BH88" s="241">
        <f>'Ore-&gt;PI'!EM140</f>
        <v>23611.293462025522</v>
      </c>
      <c r="BI88" s="250">
        <f t="shared" si="46"/>
        <v>2815643.795767732</v>
      </c>
      <c r="BM88" s="202" t="s">
        <v>445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475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'Ore-&gt;PI'!CB152</f>
        <v>1078370532.5161049</v>
      </c>
      <c r="BD89" s="228">
        <f>'Ore-&gt;PI'!CB254</f>
        <v>879540.87913658854</v>
      </c>
      <c r="BE89" s="228"/>
      <c r="BF89" s="228"/>
      <c r="BG89" s="228"/>
      <c r="BH89" s="228">
        <f>'Ore-&gt;PI'!EM114</f>
        <v>2321518.855933811</v>
      </c>
      <c r="BI89" s="250">
        <f t="shared" si="46"/>
        <v>1081571592.2511754</v>
      </c>
      <c r="BM89" s="202" t="s">
        <v>475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574</v>
      </c>
      <c r="AT90" s="228">
        <f>'Ore-&gt;PI'!V59</f>
        <v>94146.207140653787</v>
      </c>
      <c r="AU90" s="228">
        <f>'Ore-&gt;PI'!V140</f>
        <v>257.99399332425372</v>
      </c>
      <c r="AV90" s="228">
        <f>'Ore-&gt;PI'!V222</f>
        <v>22393.370164784887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>
        <f t="shared" si="46"/>
        <v>116797.57129876292</v>
      </c>
      <c r="BM90" s="202" t="s">
        <v>574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575</v>
      </c>
      <c r="AT91" s="228"/>
      <c r="AU91" s="228">
        <f>'Ore-&gt;PI'!V151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575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517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'Ore-&gt;PI'!EM101</f>
        <v>206840.02835429934</v>
      </c>
      <c r="BI92" s="250">
        <f t="shared" si="46"/>
        <v>206840.02835429934</v>
      </c>
      <c r="BM92" s="202" t="s">
        <v>517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567</v>
      </c>
      <c r="AT93" s="228"/>
      <c r="AU93" s="228"/>
      <c r="AV93" s="228">
        <f>'Ore-&gt;PI'!AC195</f>
        <v>77449.427901236573</v>
      </c>
      <c r="AW93" s="228">
        <f>'Ore-&gt;PI'!AU28</f>
        <v>609792.2517593482</v>
      </c>
      <c r="AX93" s="228">
        <f>'Ore-&gt;PI'!AU113</f>
        <v>2824.8856477449194</v>
      </c>
      <c r="AY93" s="228">
        <f>'Ore-&gt;PI'!AU190</f>
        <v>160253.43323591491</v>
      </c>
      <c r="AZ93" s="228">
        <f>'Ore-&gt;PI'!BN35</f>
        <v>12626.098826338684</v>
      </c>
      <c r="BA93" s="228">
        <f>'Ore-&gt;PI'!BM116</f>
        <v>34.678095164114971</v>
      </c>
      <c r="BB93" s="228">
        <f>'Ore-&gt;PI'!BM195</f>
        <v>28604.157765782104</v>
      </c>
      <c r="BC93" s="228"/>
      <c r="BD93" s="228"/>
      <c r="BE93" s="228">
        <f>'Ore-&gt;PI'!DD229</f>
        <v>50099.526545856235</v>
      </c>
      <c r="BF93" s="228"/>
      <c r="BG93" s="228"/>
      <c r="BH93" s="228">
        <f>'Ore-&gt;PI'!EU117</f>
        <v>317844.87395625591</v>
      </c>
      <c r="BI93" s="250">
        <f t="shared" si="46"/>
        <v>1259529.3337336415</v>
      </c>
      <c r="BM93" s="202" t="s">
        <v>567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549</v>
      </c>
      <c r="AT94" s="228"/>
      <c r="AU94" s="228"/>
      <c r="AV94" s="228"/>
      <c r="AW94" s="228">
        <f>'Ore-&gt;PI'!$AO$42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549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515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515</v>
      </c>
      <c r="BN95" s="242"/>
      <c r="BO95" s="242">
        <f>'Ore-&gt;PI'!AO63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518</v>
      </c>
      <c r="AT96" s="228"/>
      <c r="AU96" s="228"/>
      <c r="AV96" s="228"/>
      <c r="AW96" s="228"/>
      <c r="AX96" s="228">
        <f>'Ore-&gt;PI'!$AP$126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518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544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544</v>
      </c>
      <c r="BN97" s="242"/>
      <c r="BO97" s="242">
        <f>'Ore-&gt;PI'!AP142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536</v>
      </c>
      <c r="AT98" s="228"/>
      <c r="AU98" s="228"/>
      <c r="AV98" s="228"/>
      <c r="AW98" s="228"/>
      <c r="AX98" s="228"/>
      <c r="AY98" s="228">
        <f>'Ore-&gt;PI'!$AP$206</f>
        <v>8753719.7068998404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>
        <f t="shared" si="46"/>
        <v>8753719.7068998404</v>
      </c>
      <c r="BM98" s="204" t="s">
        <v>536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522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522</v>
      </c>
      <c r="BN99" s="242"/>
      <c r="BO99" s="242">
        <f>'Ore-&gt;PI'!AP227</f>
        <v>575.29559740969785</v>
      </c>
      <c r="BP99" s="250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548</v>
      </c>
      <c r="AT100" s="228"/>
      <c r="AU100" s="228"/>
      <c r="AV100" s="228"/>
      <c r="AW100" s="228"/>
      <c r="AX100" s="228"/>
      <c r="AY100" s="228"/>
      <c r="AZ100" s="228">
        <f>'Ore-&gt;PI'!$BH$42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548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543</v>
      </c>
      <c r="AT101" s="228"/>
      <c r="AU101" s="228"/>
      <c r="AV101" s="228"/>
      <c r="AW101" s="228"/>
      <c r="AX101" s="228"/>
      <c r="AY101" s="228"/>
      <c r="AZ101" s="228"/>
      <c r="BA101" s="228">
        <f>'Ore-&gt;PI'!$BI$126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543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540</v>
      </c>
      <c r="AT102" s="228"/>
      <c r="AU102" s="228"/>
      <c r="AV102" s="228"/>
      <c r="AW102" s="228"/>
      <c r="AX102" s="228"/>
      <c r="AY102" s="228"/>
      <c r="AZ102" s="228"/>
      <c r="BA102" s="228"/>
      <c r="BB102" s="228">
        <f>'Ore-&gt;PI'!$BI$206</f>
        <v>8753719.7068998404</v>
      </c>
      <c r="BC102" s="228"/>
      <c r="BD102" s="228"/>
      <c r="BE102" s="228"/>
      <c r="BF102" s="228"/>
      <c r="BG102" s="228"/>
      <c r="BH102" s="228"/>
      <c r="BI102" s="250">
        <f t="shared" si="46"/>
        <v>8753719.7068998404</v>
      </c>
      <c r="BM102" s="203" t="s">
        <v>540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546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'Ore-&gt;PI'!CA42</f>
        <v>88965.799815334409</v>
      </c>
      <c r="BH103" s="228"/>
      <c r="BI103" s="250">
        <f t="shared" si="46"/>
        <v>88965.799815334409</v>
      </c>
      <c r="BM103" s="203" t="s">
        <v>546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545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545</v>
      </c>
      <c r="BN104" s="242"/>
      <c r="BO104" s="242">
        <f>'Ore-&gt;PI'!CA55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530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'Ore-&gt;PI'!$CB$126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530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564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'Ore-&gt;PI'!$CB$206</f>
        <v>8753719.7068998404</v>
      </c>
      <c r="BE106" s="228"/>
      <c r="BF106" s="228"/>
      <c r="BG106" s="228"/>
      <c r="BH106" s="228"/>
      <c r="BI106" s="250">
        <f t="shared" si="46"/>
        <v>8753719.7068998404</v>
      </c>
      <c r="BM106" s="204" t="s">
        <v>564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531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'Ore-&gt;PI'!$CW$126</f>
        <v>242016.07607977447</v>
      </c>
      <c r="BH107" s="228"/>
      <c r="BI107" s="250">
        <f t="shared" si="46"/>
        <v>242016.07607977447</v>
      </c>
      <c r="BM107" s="204" t="s">
        <v>531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533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533</v>
      </c>
      <c r="BN108" s="242"/>
      <c r="BO108" s="242">
        <f>'Ore-&gt;PI'!CW114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532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532</v>
      </c>
      <c r="BN109" s="242"/>
      <c r="BO109" s="242">
        <f>'Ore-&gt;PI'!CW138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629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'Ore-&gt;PI'!$CW$206</f>
        <v>6791339.3350291392</v>
      </c>
      <c r="BH110" s="228"/>
      <c r="BI110" s="250">
        <f t="shared" si="46"/>
        <v>6791339.3350291392</v>
      </c>
      <c r="BM110" s="204" t="s">
        <v>629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528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>
        <f>'Ore-&gt;PI'!$CW$233</f>
        <v>5935408.0537775028</v>
      </c>
      <c r="BF111" s="228"/>
      <c r="BG111" s="228"/>
      <c r="BH111" s="228"/>
      <c r="BI111" s="250">
        <f t="shared" si="46"/>
        <v>5935408.0537775028</v>
      </c>
      <c r="BM111" s="251" t="s">
        <v>528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527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527</v>
      </c>
      <c r="BN112" s="242"/>
      <c r="BO112" s="242">
        <f>'Ore-&gt;PI'!CW217</f>
        <v>5366.0434241372932</v>
      </c>
      <c r="BP112" s="250">
        <f t="shared" si="49"/>
        <v>5366.0434241372932</v>
      </c>
    </row>
    <row r="113" spans="5:68" x14ac:dyDescent="0.2">
      <c r="AI113" s="204"/>
      <c r="AJ113" s="204"/>
      <c r="AS113" s="202" t="s">
        <v>529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529</v>
      </c>
      <c r="BN113" s="242"/>
      <c r="BO113" s="242">
        <f>'Ore-&gt;PI'!CW250</f>
        <v>50611.612737094903</v>
      </c>
      <c r="BP113" s="250">
        <f t="shared" si="49"/>
        <v>50611.612737094903</v>
      </c>
    </row>
    <row r="114" spans="5:68" x14ac:dyDescent="0.2">
      <c r="AI114" s="204"/>
      <c r="AJ114" s="204"/>
      <c r="AS114" s="204" t="s">
        <v>668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'Ore-&gt;PI'!$DQ$233</f>
        <v>5944558.1059355522</v>
      </c>
      <c r="BG114" s="228"/>
      <c r="BH114" s="241"/>
      <c r="BI114" s="250">
        <f t="shared" si="46"/>
        <v>5944558.1059355522</v>
      </c>
      <c r="BM114" s="204" t="s">
        <v>668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671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'Ore-&gt;PI'!$CB$225</f>
        <v>891683.71589033271</v>
      </c>
      <c r="BE115" s="228"/>
      <c r="BF115" s="228"/>
      <c r="BG115" s="228"/>
      <c r="BH115" s="241">
        <f>'Ore-&gt;PI'!$EM$152</f>
        <v>4161190.674154886</v>
      </c>
      <c r="BI115" s="250">
        <f t="shared" si="46"/>
        <v>5052874.3900452191</v>
      </c>
      <c r="BM115" s="204" t="s">
        <v>669</v>
      </c>
      <c r="BN115" s="242">
        <f>'Ore-&gt;PI'!$FG$233</f>
        <v>891683.71589033271</v>
      </c>
      <c r="BO115" s="242"/>
      <c r="BP115" s="250">
        <f t="shared" si="49"/>
        <v>891683.71589033271</v>
      </c>
    </row>
    <row r="116" spans="5:68" x14ac:dyDescent="0.2">
      <c r="AI116" s="204"/>
      <c r="AJ116" s="204"/>
      <c r="AS116" s="204" t="s">
        <v>552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'Ore-&gt;PI'!EM126</f>
        <v>7072531.8830895294</v>
      </c>
      <c r="BI116" s="250">
        <f t="shared" si="46"/>
        <v>7072531.8830895294</v>
      </c>
      <c r="BM116" s="204" t="s">
        <v>552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553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553</v>
      </c>
      <c r="BN117" s="242">
        <f>'Ore-&gt;PI'!FM126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554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554</v>
      </c>
      <c r="BN118" s="242"/>
      <c r="BO118" s="242">
        <f>'Ore-&gt;PI'!FM141</f>
        <v>432711.9695416363</v>
      </c>
      <c r="BP118" s="250">
        <f t="shared" si="49"/>
        <v>432711.9695416363</v>
      </c>
    </row>
    <row r="119" spans="5:68" x14ac:dyDescent="0.2">
      <c r="AI119" s="204"/>
      <c r="AJ119" s="204"/>
      <c r="AS119" s="204" t="s">
        <v>565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565</v>
      </c>
      <c r="BN119" s="242"/>
      <c r="BO119" s="242">
        <f>'Ore-&gt;PI'!FM104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390" t="s">
        <v>417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467</v>
      </c>
      <c r="BN120" s="390" t="s">
        <v>419</v>
      </c>
      <c r="BO120" s="390"/>
      <c r="BP120" s="25" t="s">
        <v>482</v>
      </c>
    </row>
    <row r="121" spans="5:68" x14ac:dyDescent="0.2">
      <c r="AI121" s="204"/>
      <c r="AJ121" s="204"/>
      <c r="AS121" s="204"/>
      <c r="AT121" s="250">
        <f>SUM(AT85:AT119)</f>
        <v>203615.93865263887</v>
      </c>
      <c r="AU121" s="250">
        <f>SUM(AU85:AU119)</f>
        <v>25677.018753453132</v>
      </c>
      <c r="AV121" s="250">
        <f>SUM(AV85:AV119)</f>
        <v>8853618.6437956225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>
        <f t="shared" si="50"/>
        <v>8913973.1401357558</v>
      </c>
      <c r="AZ121" s="250">
        <f t="shared" si="50"/>
        <v>121859.81146951189</v>
      </c>
      <c r="BA121" s="250">
        <f t="shared" si="50"/>
        <v>25428.919011572762</v>
      </c>
      <c r="BB121" s="250">
        <f t="shared" si="50"/>
        <v>8782323.8646656219</v>
      </c>
      <c r="BC121" s="250">
        <f t="shared" si="50"/>
        <v>1081183306.4491639</v>
      </c>
      <c r="BD121" s="250">
        <f t="shared" si="50"/>
        <v>10529304.246781096</v>
      </c>
      <c r="BE121" s="250">
        <f t="shared" si="50"/>
        <v>5985507.580323359</v>
      </c>
      <c r="BF121" s="250">
        <f t="shared" si="50"/>
        <v>5944558.1059355522</v>
      </c>
      <c r="BG121" s="250">
        <f t="shared" si="50"/>
        <v>7122321.2109242482</v>
      </c>
      <c r="BH121" s="250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0" t="s">
        <v>466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38"/>
      <c r="F123" s="205" t="s">
        <v>422</v>
      </c>
      <c r="G123" s="205" t="s">
        <v>424</v>
      </c>
      <c r="H123" s="205" t="s">
        <v>425</v>
      </c>
      <c r="I123" s="205" t="s">
        <v>445</v>
      </c>
      <c r="J123" s="205" t="s">
        <v>475</v>
      </c>
      <c r="K123" s="205" t="s">
        <v>574</v>
      </c>
      <c r="L123" s="205" t="s">
        <v>575</v>
      </c>
      <c r="M123" s="205" t="s">
        <v>517</v>
      </c>
      <c r="N123" s="205" t="s">
        <v>567</v>
      </c>
      <c r="O123" s="207" t="s">
        <v>549</v>
      </c>
      <c r="P123" s="205" t="s">
        <v>515</v>
      </c>
      <c r="Q123" s="207" t="s">
        <v>518</v>
      </c>
      <c r="R123" s="205" t="s">
        <v>544</v>
      </c>
      <c r="S123" s="208" t="s">
        <v>536</v>
      </c>
      <c r="T123" s="205" t="s">
        <v>522</v>
      </c>
      <c r="U123" s="207" t="s">
        <v>548</v>
      </c>
      <c r="V123" s="207" t="s">
        <v>543</v>
      </c>
      <c r="W123" s="207" t="s">
        <v>540</v>
      </c>
      <c r="X123" s="207" t="s">
        <v>546</v>
      </c>
      <c r="Y123" s="208" t="s">
        <v>545</v>
      </c>
      <c r="Z123" s="208" t="s">
        <v>530</v>
      </c>
      <c r="AA123" s="208" t="s">
        <v>564</v>
      </c>
      <c r="AB123" s="208" t="s">
        <v>531</v>
      </c>
      <c r="AC123" s="208" t="s">
        <v>533</v>
      </c>
      <c r="AD123" s="208" t="s">
        <v>532</v>
      </c>
      <c r="AE123" s="208" t="s">
        <v>629</v>
      </c>
      <c r="AF123" s="230" t="s">
        <v>528</v>
      </c>
      <c r="AG123" s="208" t="s">
        <v>527</v>
      </c>
      <c r="AH123" s="205" t="s">
        <v>529</v>
      </c>
      <c r="AI123" s="208" t="s">
        <v>668</v>
      </c>
      <c r="AJ123" s="208" t="s">
        <v>671</v>
      </c>
      <c r="AK123" s="208" t="s">
        <v>552</v>
      </c>
      <c r="AL123" s="208" t="s">
        <v>553</v>
      </c>
      <c r="AM123" s="208" t="s">
        <v>554</v>
      </c>
      <c r="AN123" s="208" t="s">
        <v>565</v>
      </c>
    </row>
    <row r="124" spans="5:68" x14ac:dyDescent="0.2">
      <c r="E124" s="202" t="s">
        <v>414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'Ore-&gt;PI'!AO42</f>
        <v>109233.7126431732</v>
      </c>
      <c r="P124" s="228">
        <f>'Ore-&gt;PI'!AO63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415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'Ore-&gt;PI'!AP126</f>
        <v>25394.240916408646</v>
      </c>
      <c r="R125" s="228">
        <f>'Ore-&gt;PI'!AP142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416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>
        <f>'Ore-&gt;PI'!AP206</f>
        <v>8753719.7068998404</v>
      </c>
      <c r="T126" s="228">
        <f>'Ore-&gt;PI'!AP227</f>
        <v>575.29559740969785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563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542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'Ore-&gt;PI'!BI126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541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>
        <f>'Ore-&gt;PI'!BI206</f>
        <v>8753719.7068998404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441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'Ore-&gt;PI'!CA42</f>
        <v>88965.799815334409</v>
      </c>
      <c r="Y130" s="228">
        <f>'Ore-&gt;PI'!CA55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438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'Ore-&gt;PI'!CB126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456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>
        <f>'Ore-&gt;PI'!CB206</f>
        <v>8753719.7068998404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439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'Ore-&gt;PI'!CW126</f>
        <v>242016.07607977447</v>
      </c>
      <c r="AC133" s="228">
        <f>'Ore-&gt;PI'!CW114</f>
        <v>7739.2511800711582</v>
      </c>
      <c r="AD133" s="228">
        <f>'Ore-&gt;PI'!CW138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434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'Ore-&gt;PI'!CW206</f>
        <v>6791339.3350291392</v>
      </c>
      <c r="AF134" s="228">
        <f>'Ore-&gt;PI'!CW233</f>
        <v>5935408.0537775028</v>
      </c>
      <c r="AG134" s="228">
        <f>'Ore-&gt;PI'!CW217</f>
        <v>5366.0434241372932</v>
      </c>
      <c r="AH134" s="228">
        <f>'Ore-&gt;PI'!CW250</f>
        <v>50611.612737094903</v>
      </c>
      <c r="AI134" s="228"/>
      <c r="AJ134" s="228"/>
      <c r="AK134" s="228"/>
      <c r="AL134" s="228"/>
      <c r="AM134" s="228"/>
      <c r="AN134" s="228"/>
      <c r="AO134" s="250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667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'Ore-&gt;PI'!DQ233</f>
        <v>5944558.1059355522</v>
      </c>
      <c r="AJ135" s="228"/>
      <c r="AK135" s="228"/>
      <c r="AL135" s="228"/>
      <c r="AM135" s="228"/>
      <c r="AN135" s="228"/>
      <c r="AO135" s="250">
        <f t="shared" si="51"/>
        <v>5944558.1059355522</v>
      </c>
    </row>
    <row r="136" spans="5:67" x14ac:dyDescent="0.2">
      <c r="E136" s="202" t="s">
        <v>670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'Ore-&gt;PI'!$EL$233</f>
        <v>5944558.1059355522</v>
      </c>
      <c r="AK136" s="228"/>
      <c r="AL136" s="228"/>
      <c r="AM136" s="228"/>
      <c r="AN136" s="228"/>
      <c r="AO136" s="250">
        <f t="shared" si="51"/>
        <v>5944558.1059355522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'Ore-&gt;PI'!EM126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426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'Ore-&gt;PI'!FM126</f>
        <v>4157895.2984628798</v>
      </c>
      <c r="AM138" s="228">
        <f>'Ore-&gt;PI'!FM141</f>
        <v>432711.9695416363</v>
      </c>
      <c r="AN138" s="228">
        <f>'Ore-&gt;PI'!FM104</f>
        <v>67875.356217847453</v>
      </c>
      <c r="AO138" s="250">
        <f t="shared" si="51"/>
        <v>4658482.6242223633</v>
      </c>
    </row>
    <row r="139" spans="5:67" x14ac:dyDescent="0.2">
      <c r="E139" s="202"/>
      <c r="F139" s="390" t="s">
        <v>418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463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>
        <f t="shared" si="52"/>
        <v>8753719.7068998404</v>
      </c>
      <c r="T140" s="250">
        <f t="shared" si="52"/>
        <v>575.29559740969785</v>
      </c>
      <c r="U140" s="250">
        <f t="shared" si="52"/>
        <v>109233.7126431732</v>
      </c>
      <c r="V140" s="250">
        <f t="shared" si="52"/>
        <v>25394.240916408646</v>
      </c>
      <c r="W140" s="250">
        <f t="shared" si="52"/>
        <v>8753719.7068998404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>
        <f t="shared" si="52"/>
        <v>8753719.7068998404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6791339.3350291392</v>
      </c>
      <c r="AF140" s="250">
        <f t="shared" si="52"/>
        <v>5935408.0537775028</v>
      </c>
      <c r="AG140" s="250">
        <f t="shared" si="52"/>
        <v>5366.0434241372932</v>
      </c>
      <c r="AH140" s="250">
        <f t="shared" si="52"/>
        <v>50611.612737094903</v>
      </c>
      <c r="AI140" s="250">
        <f t="shared" si="52"/>
        <v>5944558.1059355522</v>
      </c>
      <c r="AJ140" s="250">
        <f t="shared" si="52"/>
        <v>5944558.1059355522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432711.9695416363</v>
      </c>
      <c r="AN140" s="250">
        <f t="shared" si="52"/>
        <v>67875.356217847453</v>
      </c>
    </row>
    <row r="141" spans="5:67" x14ac:dyDescent="0.2">
      <c r="E141" s="202"/>
      <c r="F141" s="390" t="s">
        <v>464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422</v>
      </c>
      <c r="G152" s="205" t="s">
        <v>424</v>
      </c>
      <c r="H152" s="205" t="s">
        <v>425</v>
      </c>
      <c r="I152" s="205" t="s">
        <v>445</v>
      </c>
      <c r="J152" s="205" t="s">
        <v>475</v>
      </c>
      <c r="K152" s="205" t="s">
        <v>574</v>
      </c>
      <c r="L152" s="205" t="s">
        <v>575</v>
      </c>
      <c r="M152" s="205" t="s">
        <v>517</v>
      </c>
      <c r="N152" s="205" t="s">
        <v>567</v>
      </c>
      <c r="O152" s="207" t="s">
        <v>549</v>
      </c>
      <c r="P152" s="205" t="s">
        <v>515</v>
      </c>
      <c r="Q152" s="207" t="s">
        <v>518</v>
      </c>
      <c r="R152" s="205" t="s">
        <v>544</v>
      </c>
      <c r="S152" s="208" t="s">
        <v>536</v>
      </c>
      <c r="T152" s="205" t="s">
        <v>522</v>
      </c>
      <c r="U152" s="207" t="s">
        <v>548</v>
      </c>
      <c r="V152" s="207" t="s">
        <v>543</v>
      </c>
      <c r="W152" s="207" t="s">
        <v>540</v>
      </c>
      <c r="X152" s="207" t="s">
        <v>546</v>
      </c>
      <c r="Y152" s="208" t="s">
        <v>545</v>
      </c>
      <c r="Z152" s="208" t="s">
        <v>530</v>
      </c>
      <c r="AA152" s="208" t="s">
        <v>564</v>
      </c>
      <c r="AB152" s="208" t="s">
        <v>531</v>
      </c>
      <c r="AC152" s="208" t="s">
        <v>533</v>
      </c>
      <c r="AD152" s="208" t="s">
        <v>532</v>
      </c>
      <c r="AE152" s="208" t="s">
        <v>629</v>
      </c>
      <c r="AF152" s="230" t="s">
        <v>528</v>
      </c>
      <c r="AG152" s="208" t="s">
        <v>527</v>
      </c>
      <c r="AH152" s="205" t="s">
        <v>529</v>
      </c>
      <c r="AI152" s="208" t="s">
        <v>668</v>
      </c>
      <c r="AJ152" s="208" t="s">
        <v>671</v>
      </c>
      <c r="AK152" s="208" t="s">
        <v>552</v>
      </c>
      <c r="AL152" s="208" t="s">
        <v>553</v>
      </c>
      <c r="AM152" s="208" t="s">
        <v>554</v>
      </c>
      <c r="AN152" s="208" t="s">
        <v>565</v>
      </c>
      <c r="AO152" s="208"/>
      <c r="AP152" s="208"/>
    </row>
    <row r="153" spans="5:46" x14ac:dyDescent="0.2">
      <c r="E153" s="202" t="s">
        <v>421</v>
      </c>
      <c r="F153" s="242">
        <f>'Ore-&gt;PI'!V42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423</v>
      </c>
      <c r="F154" s="242"/>
      <c r="G154" s="242">
        <f>'Ore-&gt;PI'!V126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446</v>
      </c>
      <c r="F155" s="242"/>
      <c r="G155" s="242"/>
      <c r="H155" s="242">
        <f>'Ore-&gt;PI'!V206</f>
        <v>8753719.7068998404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481</v>
      </c>
      <c r="F156" s="242"/>
      <c r="G156" s="242"/>
      <c r="H156" s="242"/>
      <c r="I156" s="248">
        <f>'Ore-&gt;PI'!V236+'Ore-&gt;PI'!V163+'Ore-&gt;PI'!V72+'Ore-&gt;PI'!CB242+'Ore-&gt;PI'!CB140+'Ore-&gt;PI'!EM140</f>
        <v>2815643.7957677315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474</v>
      </c>
      <c r="F157" s="242"/>
      <c r="G157" s="242"/>
      <c r="H157" s="242"/>
      <c r="I157" s="242"/>
      <c r="J157" s="242">
        <f>'Ore-&gt;PI'!EM114+'Ore-&gt;PI'!CB152+'Ore-&gt;PI'!CB254</f>
        <v>1081571592.2511754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577</v>
      </c>
      <c r="F158" s="242"/>
      <c r="G158" s="242"/>
      <c r="H158" s="242"/>
      <c r="I158" s="242"/>
      <c r="J158" s="242"/>
      <c r="K158" s="242">
        <f>'Ore-&gt;PI'!V59+'Ore-&gt;PI'!V140+'Ore-&gt;PI'!V222</f>
        <v>116797.57129876292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576</v>
      </c>
      <c r="F159" s="242"/>
      <c r="G159" s="242"/>
      <c r="H159" s="242"/>
      <c r="I159" s="242"/>
      <c r="J159" s="242"/>
      <c r="K159" s="242"/>
      <c r="L159" s="242">
        <f>'Ore-&gt;PI'!V151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516</v>
      </c>
      <c r="F160" s="242"/>
      <c r="G160" s="242"/>
      <c r="H160" s="242"/>
      <c r="I160" s="242"/>
      <c r="J160" s="242"/>
      <c r="K160" s="242"/>
      <c r="L160" s="242"/>
      <c r="M160" s="242">
        <f>'Ore-&gt;PI'!EM101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566</v>
      </c>
      <c r="F161" s="242"/>
      <c r="G161" s="242"/>
      <c r="H161" s="242"/>
      <c r="I161" s="242"/>
      <c r="J161" s="242"/>
      <c r="K161" s="242"/>
      <c r="L161" s="242"/>
      <c r="M161" s="242"/>
      <c r="N161" s="242">
        <f>'Ore-&gt;PI'!EU117+'Ore-&gt;PI'!BM116+'Ore-&gt;PI'!AU113+'Ore-&gt;PI'!AC195+'Ore-&gt;PI'!AU190+'Ore-&gt;PI'!BM195+'Ore-&gt;PI'!DD229+'Ore-&gt;PI'!BN35+'Ore-&gt;PI'!AU28</f>
        <v>1259529.3337336415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>
        <f t="shared" si="53"/>
        <v>8753719.7068998404</v>
      </c>
      <c r="I163" s="250">
        <f t="shared" si="53"/>
        <v>2815643.7957677315</v>
      </c>
      <c r="J163" s="250">
        <f t="shared" si="53"/>
        <v>1081571592.2511754</v>
      </c>
      <c r="K163" s="250">
        <f t="shared" si="53"/>
        <v>116797.57129876292</v>
      </c>
      <c r="L163" s="250">
        <f t="shared" si="53"/>
        <v>24.076233417548465</v>
      </c>
      <c r="M163" s="250">
        <f t="shared" si="53"/>
        <v>206840.02835429934</v>
      </c>
      <c r="N163" s="250">
        <f t="shared" si="53"/>
        <v>1259529.3337336415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390" t="s">
        <v>465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569</v>
      </c>
      <c r="G168" s="390"/>
      <c r="H168" s="390"/>
      <c r="I168" s="390"/>
      <c r="J168" s="390"/>
      <c r="K168" s="390"/>
      <c r="L168" s="390"/>
      <c r="M168" s="390"/>
      <c r="N168" s="390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422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424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425</v>
      </c>
      <c r="F173" s="250">
        <v>8753719.7068998404</v>
      </c>
      <c r="H173" s="250">
        <v>0</v>
      </c>
      <c r="J173" s="250">
        <f t="shared" si="54"/>
        <v>8753719.7068998404</v>
      </c>
      <c r="L173" s="250">
        <v>0</v>
      </c>
      <c r="N173" s="297">
        <f>F173+H173-J173-L173</f>
        <v>0</v>
      </c>
    </row>
    <row r="174" spans="5:42" x14ac:dyDescent="0.2">
      <c r="E174" s="202" t="s">
        <v>445</v>
      </c>
      <c r="F174" s="250">
        <v>2815643.7957677315</v>
      </c>
      <c r="H174" s="250">
        <v>0</v>
      </c>
      <c r="J174" s="250">
        <f t="shared" si="54"/>
        <v>2815643.795767732</v>
      </c>
      <c r="L174" s="250">
        <v>0</v>
      </c>
      <c r="N174" s="297">
        <f>ROUND(F174+H174-J174-L174, 10)</f>
        <v>-5.0000000000000003E-10</v>
      </c>
    </row>
    <row r="175" spans="5:42" x14ac:dyDescent="0.2">
      <c r="E175" s="202" t="s">
        <v>475</v>
      </c>
      <c r="F175" s="250">
        <v>1081571592.2511754</v>
      </c>
      <c r="H175" s="250">
        <v>0</v>
      </c>
      <c r="J175" s="250">
        <f t="shared" si="54"/>
        <v>1081571592.2511754</v>
      </c>
      <c r="L175" s="250">
        <v>0</v>
      </c>
      <c r="N175" s="297">
        <f t="shared" ref="N175:N190" si="55">F175+H175-J175-L175</f>
        <v>0</v>
      </c>
    </row>
    <row r="176" spans="5:42" x14ac:dyDescent="0.2">
      <c r="E176" s="202" t="s">
        <v>574</v>
      </c>
      <c r="F176" s="250">
        <v>116797.57129876292</v>
      </c>
      <c r="H176" s="250">
        <v>0</v>
      </c>
      <c r="J176" s="250">
        <f t="shared" si="54"/>
        <v>116797.57129876292</v>
      </c>
      <c r="L176" s="250">
        <v>0</v>
      </c>
      <c r="N176" s="297">
        <f t="shared" si="55"/>
        <v>0</v>
      </c>
    </row>
    <row r="177" spans="5:21" x14ac:dyDescent="0.2">
      <c r="E177" s="202" t="s">
        <v>575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517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567</v>
      </c>
      <c r="F179" s="250">
        <v>1259529.3337336415</v>
      </c>
      <c r="H179" s="250">
        <v>0</v>
      </c>
      <c r="J179" s="250">
        <f t="shared" si="54"/>
        <v>1259529.3337336415</v>
      </c>
      <c r="L179" s="250">
        <v>0</v>
      </c>
      <c r="N179" s="297">
        <f t="shared" si="55"/>
        <v>0</v>
      </c>
    </row>
    <row r="180" spans="5:21" ht="16" x14ac:dyDescent="0.2">
      <c r="E180" s="203" t="s">
        <v>549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515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518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544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536</v>
      </c>
      <c r="F184" s="250">
        <v>0</v>
      </c>
      <c r="G184" s="257" t="s">
        <v>469</v>
      </c>
      <c r="H184" s="250">
        <v>8753719.7068998404</v>
      </c>
      <c r="I184" s="169" t="s">
        <v>471</v>
      </c>
      <c r="J184" s="250">
        <f t="shared" si="54"/>
        <v>8753719.7068998404</v>
      </c>
      <c r="K184" s="169" t="s">
        <v>471</v>
      </c>
      <c r="L184" s="250">
        <v>0</v>
      </c>
      <c r="M184" s="257" t="s">
        <v>472</v>
      </c>
      <c r="N184" s="297">
        <f t="shared" si="55"/>
        <v>0</v>
      </c>
    </row>
    <row r="185" spans="5:21" x14ac:dyDescent="0.2">
      <c r="E185" s="202" t="s">
        <v>522</v>
      </c>
      <c r="F185" s="250">
        <v>0</v>
      </c>
      <c r="H185" s="250">
        <v>575.29559740969785</v>
      </c>
      <c r="J185" s="250">
        <f t="shared" si="54"/>
        <v>0</v>
      </c>
      <c r="L185" s="250">
        <v>575.29559740969785</v>
      </c>
      <c r="N185" s="297">
        <f t="shared" si="55"/>
        <v>0</v>
      </c>
    </row>
    <row r="186" spans="5:21" ht="16" x14ac:dyDescent="0.2">
      <c r="E186" s="203" t="s">
        <v>548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543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540</v>
      </c>
      <c r="F188" s="250">
        <v>0</v>
      </c>
      <c r="H188" s="250">
        <v>8753719.7068998404</v>
      </c>
      <c r="J188" s="250">
        <f t="shared" si="54"/>
        <v>8753719.7068998404</v>
      </c>
      <c r="L188" s="250">
        <v>0</v>
      </c>
      <c r="N188" s="297">
        <f t="shared" si="55"/>
        <v>0</v>
      </c>
    </row>
    <row r="189" spans="5:21" ht="16" x14ac:dyDescent="0.2">
      <c r="E189" s="203" t="s">
        <v>546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545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530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564</v>
      </c>
      <c r="F192" s="250">
        <v>0</v>
      </c>
      <c r="H192" s="250">
        <v>8753719.7068998404</v>
      </c>
      <c r="J192" s="250">
        <f t="shared" si="54"/>
        <v>8753719.7068998404</v>
      </c>
      <c r="L192" s="250">
        <v>0</v>
      </c>
      <c r="N192" s="297">
        <f t="shared" si="56"/>
        <v>0</v>
      </c>
      <c r="Q192" s="25"/>
      <c r="S192" s="25"/>
      <c r="T192" s="25"/>
      <c r="U192" s="25"/>
    </row>
    <row r="193" spans="5:22" x14ac:dyDescent="0.2">
      <c r="E193" s="204" t="s">
        <v>531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533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532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629</v>
      </c>
      <c r="F196" s="250">
        <v>0</v>
      </c>
      <c r="H196" s="250">
        <v>6791339.3350291392</v>
      </c>
      <c r="J196" s="250">
        <f t="shared" si="54"/>
        <v>6791339.3350291392</v>
      </c>
      <c r="L196" s="250">
        <v>0</v>
      </c>
      <c r="N196" s="297">
        <f t="shared" si="56"/>
        <v>0</v>
      </c>
    </row>
    <row r="197" spans="5:22" ht="16" x14ac:dyDescent="0.2">
      <c r="E197" s="251" t="s">
        <v>528</v>
      </c>
      <c r="F197" s="250">
        <v>0</v>
      </c>
      <c r="H197" s="250">
        <v>5935408.0537775028</v>
      </c>
      <c r="J197" s="250">
        <f t="shared" si="54"/>
        <v>5935408.0537775028</v>
      </c>
      <c r="L197" s="250">
        <v>0</v>
      </c>
      <c r="N197" s="297">
        <f t="shared" si="56"/>
        <v>0</v>
      </c>
    </row>
    <row r="198" spans="5:22" x14ac:dyDescent="0.2">
      <c r="E198" s="204" t="s">
        <v>527</v>
      </c>
      <c r="F198" s="250">
        <v>0</v>
      </c>
      <c r="H198" s="250">
        <v>5366.0434241372932</v>
      </c>
      <c r="J198" s="250">
        <f t="shared" si="54"/>
        <v>0</v>
      </c>
      <c r="L198" s="250">
        <v>5366.0434241372932</v>
      </c>
      <c r="N198" s="297">
        <f t="shared" ref="N198:N205" si="57">F198+H198-J198-L198</f>
        <v>0</v>
      </c>
      <c r="O198" s="25"/>
    </row>
    <row r="199" spans="5:22" x14ac:dyDescent="0.2">
      <c r="E199" s="202" t="s">
        <v>529</v>
      </c>
      <c r="F199" s="250">
        <v>0</v>
      </c>
      <c r="H199" s="250">
        <v>50611.612737094903</v>
      </c>
      <c r="J199" s="250">
        <f t="shared" si="54"/>
        <v>0</v>
      </c>
      <c r="L199" s="250">
        <v>50611.612737094903</v>
      </c>
      <c r="N199" s="297">
        <f t="shared" si="57"/>
        <v>0</v>
      </c>
    </row>
    <row r="200" spans="5:22" x14ac:dyDescent="0.2">
      <c r="E200" s="204" t="s">
        <v>668</v>
      </c>
      <c r="F200" s="250">
        <v>0</v>
      </c>
      <c r="H200" s="250">
        <v>5944558.1059355522</v>
      </c>
      <c r="J200" s="250">
        <f t="shared" si="54"/>
        <v>5944558.1059355522</v>
      </c>
      <c r="L200" s="250">
        <v>0</v>
      </c>
      <c r="N200" s="297">
        <f t="shared" si="57"/>
        <v>0</v>
      </c>
    </row>
    <row r="201" spans="5:22" x14ac:dyDescent="0.2">
      <c r="E201" s="204" t="s">
        <v>671</v>
      </c>
      <c r="F201" s="250">
        <v>0</v>
      </c>
      <c r="H201" s="250">
        <v>5944558.1059355522</v>
      </c>
      <c r="J201" s="250">
        <f t="shared" ref="J201:J205" si="58">BI115</f>
        <v>5052874.3900452191</v>
      </c>
      <c r="L201" s="250">
        <v>891683.71589033271</v>
      </c>
      <c r="N201" s="297">
        <f t="shared" si="57"/>
        <v>0</v>
      </c>
    </row>
    <row r="202" spans="5:22" x14ac:dyDescent="0.2">
      <c r="E202" s="204" t="s">
        <v>552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553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554</v>
      </c>
      <c r="F204" s="250">
        <v>0</v>
      </c>
      <c r="H204" s="250">
        <v>432711.9695416363</v>
      </c>
      <c r="J204" s="250">
        <f t="shared" si="58"/>
        <v>0</v>
      </c>
      <c r="L204" s="250">
        <v>432711.9695416363</v>
      </c>
      <c r="N204" s="297">
        <f t="shared" si="57"/>
        <v>0</v>
      </c>
    </row>
    <row r="205" spans="5:22" x14ac:dyDescent="0.2">
      <c r="E205" s="204" t="s">
        <v>565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468</v>
      </c>
      <c r="H206" s="3" t="s">
        <v>470</v>
      </c>
      <c r="J206" s="25" t="s">
        <v>467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390" t="s">
        <v>635</v>
      </c>
      <c r="G209" s="390"/>
      <c r="H209" s="390"/>
      <c r="I209" s="390"/>
      <c r="J209" s="390"/>
      <c r="O209" s="243"/>
      <c r="P209" s="243"/>
    </row>
    <row r="212" spans="5:18" x14ac:dyDescent="0.2">
      <c r="E212" s="202" t="s">
        <v>414</v>
      </c>
      <c r="F212" s="250" cm="1">
        <f t="array" ref="F212:F226">TRANSPOSE((AT121:BH121))</f>
        <v>203615.93865263887</v>
      </c>
      <c r="H212" s="250">
        <f>AO124</f>
        <v>111652.37040135259</v>
      </c>
      <c r="J212" s="250">
        <f>F212-H212</f>
        <v>91963.568251286284</v>
      </c>
    </row>
    <row r="213" spans="5:18" x14ac:dyDescent="0.2">
      <c r="E213" s="202" t="s">
        <v>415</v>
      </c>
      <c r="F213" s="250">
        <v>25677.018753453132</v>
      </c>
      <c r="H213" s="250">
        <f t="shared" ref="H213:H226" si="59">AO125</f>
        <v>25401.480836203737</v>
      </c>
      <c r="J213" s="250">
        <f t="shared" ref="J213:J226" si="60">F213-H213</f>
        <v>275.53791724939583</v>
      </c>
      <c r="Q213" s="243"/>
      <c r="R213" s="243"/>
    </row>
    <row r="214" spans="5:18" x14ac:dyDescent="0.2">
      <c r="E214" s="202" t="s">
        <v>416</v>
      </c>
      <c r="F214" s="250">
        <v>8853618.6437956225</v>
      </c>
      <c r="H214" s="250">
        <f t="shared" si="59"/>
        <v>8754295.0024972502</v>
      </c>
      <c r="J214" s="250">
        <f t="shared" si="60"/>
        <v>99323.641298372298</v>
      </c>
    </row>
    <row r="215" spans="5:18" x14ac:dyDescent="0.2">
      <c r="E215" s="202" t="s">
        <v>563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542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541</v>
      </c>
      <c r="F217" s="250">
        <v>8913973.1401357558</v>
      </c>
      <c r="H217" s="250">
        <f t="shared" si="59"/>
        <v>8753719.7068998404</v>
      </c>
      <c r="J217" s="250">
        <f t="shared" si="60"/>
        <v>160253.43323591538</v>
      </c>
    </row>
    <row r="218" spans="5:18" x14ac:dyDescent="0.2">
      <c r="E218" s="202" t="s">
        <v>441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438</v>
      </c>
      <c r="F219" s="250">
        <v>25428.919011572762</v>
      </c>
      <c r="G219" s="169" t="s">
        <v>476</v>
      </c>
      <c r="H219" s="250">
        <f t="shared" si="59"/>
        <v>25394.240916408646</v>
      </c>
      <c r="I219" s="169" t="s">
        <v>472</v>
      </c>
      <c r="J219" s="250">
        <f t="shared" si="60"/>
        <v>34.678095164115803</v>
      </c>
    </row>
    <row r="220" spans="5:18" x14ac:dyDescent="0.2">
      <c r="E220" s="202" t="s">
        <v>456</v>
      </c>
      <c r="F220" s="250">
        <v>8782323.8646656219</v>
      </c>
      <c r="H220" s="250">
        <f t="shared" si="59"/>
        <v>8753719.7068998404</v>
      </c>
      <c r="J220" s="250">
        <f t="shared" si="60"/>
        <v>28604.157765781507</v>
      </c>
    </row>
    <row r="221" spans="5:18" x14ac:dyDescent="0.2">
      <c r="E221" s="202" t="s">
        <v>439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434</v>
      </c>
      <c r="F222" s="250">
        <v>10529304.246781096</v>
      </c>
      <c r="H222" s="250">
        <f t="shared" si="59"/>
        <v>12782725.044967873</v>
      </c>
      <c r="J222" s="250">
        <f t="shared" si="60"/>
        <v>-2253420.7981867772</v>
      </c>
    </row>
    <row r="223" spans="5:18" x14ac:dyDescent="0.2">
      <c r="E223" s="202" t="s">
        <v>667</v>
      </c>
      <c r="F223" s="250">
        <v>5985507.580323359</v>
      </c>
      <c r="H223" s="250">
        <f t="shared" si="59"/>
        <v>5944558.1059355522</v>
      </c>
      <c r="J223" s="250">
        <f t="shared" si="60"/>
        <v>40949.47438780684</v>
      </c>
    </row>
    <row r="224" spans="5:18" x14ac:dyDescent="0.2">
      <c r="E224" s="202" t="s">
        <v>670</v>
      </c>
      <c r="F224" s="250">
        <v>5944558.1059355522</v>
      </c>
      <c r="H224" s="250">
        <f t="shared" si="59"/>
        <v>5944558.1059355522</v>
      </c>
      <c r="J224" s="250">
        <f t="shared" si="60"/>
        <v>0</v>
      </c>
    </row>
    <row r="225" spans="5:14" x14ac:dyDescent="0.2">
      <c r="E225" s="202" t="s">
        <v>81</v>
      </c>
      <c r="F225" s="250">
        <v>7122321.2109242482</v>
      </c>
      <c r="H225" s="250">
        <f t="shared" si="59"/>
        <v>7072531.8830895294</v>
      </c>
      <c r="J225" s="250">
        <f t="shared" si="60"/>
        <v>49789.327834718861</v>
      </c>
    </row>
    <row r="226" spans="5:14" x14ac:dyDescent="0.2">
      <c r="E226" s="202" t="s">
        <v>426</v>
      </c>
      <c r="F226" s="250">
        <v>14103537.608950807</v>
      </c>
      <c r="G226" s="169"/>
      <c r="H226" s="250">
        <f t="shared" si="59"/>
        <v>4658482.6242223633</v>
      </c>
      <c r="J226" s="250">
        <f t="shared" si="60"/>
        <v>9445054.9847284444</v>
      </c>
    </row>
    <row r="227" spans="5:14" x14ac:dyDescent="0.2">
      <c r="E227" s="204"/>
      <c r="F227" s="169" t="s">
        <v>466</v>
      </c>
      <c r="G227" s="169"/>
      <c r="H227" s="169" t="s">
        <v>463</v>
      </c>
      <c r="I227" s="169"/>
      <c r="J227" s="169" t="s">
        <v>477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586</v>
      </c>
      <c r="AP1" s="258"/>
      <c r="AQ1" s="205" t="s">
        <v>414</v>
      </c>
      <c r="AR1" s="205" t="s">
        <v>415</v>
      </c>
      <c r="AS1" s="205" t="s">
        <v>416</v>
      </c>
      <c r="AT1" s="205" t="s">
        <v>563</v>
      </c>
      <c r="AU1" s="205" t="s">
        <v>542</v>
      </c>
      <c r="AV1" s="205" t="s">
        <v>541</v>
      </c>
      <c r="AW1" s="205" t="s">
        <v>441</v>
      </c>
      <c r="AX1" s="205" t="s">
        <v>438</v>
      </c>
      <c r="AY1" s="205" t="s">
        <v>456</v>
      </c>
      <c r="AZ1" s="205" t="s">
        <v>439</v>
      </c>
      <c r="BA1" s="205" t="s">
        <v>434</v>
      </c>
      <c r="BB1" s="205" t="s">
        <v>454</v>
      </c>
      <c r="BC1" s="205" t="s">
        <v>670</v>
      </c>
      <c r="BD1" s="205" t="s">
        <v>81</v>
      </c>
      <c r="BE1" s="205" t="s">
        <v>426</v>
      </c>
      <c r="BJ1" s="258"/>
      <c r="BK1" s="205" t="s">
        <v>414</v>
      </c>
      <c r="BL1" s="205" t="s">
        <v>415</v>
      </c>
      <c r="BM1" s="205" t="s">
        <v>416</v>
      </c>
      <c r="BN1" s="205" t="s">
        <v>563</v>
      </c>
      <c r="BO1" s="205" t="s">
        <v>542</v>
      </c>
      <c r="BP1" s="205" t="s">
        <v>541</v>
      </c>
      <c r="BQ1" s="205" t="s">
        <v>441</v>
      </c>
      <c r="BR1" s="205" t="s">
        <v>438</v>
      </c>
      <c r="BS1" s="205" t="s">
        <v>456</v>
      </c>
      <c r="BT1" s="205" t="s">
        <v>439</v>
      </c>
      <c r="BU1" s="205" t="s">
        <v>434</v>
      </c>
      <c r="BV1" s="205" t="s">
        <v>670</v>
      </c>
      <c r="BW1" s="205" t="s">
        <v>81</v>
      </c>
      <c r="BX1" s="205" t="s">
        <v>426</v>
      </c>
    </row>
    <row r="2" spans="2:76" x14ac:dyDescent="0.2">
      <c r="B2" s="202" t="s">
        <v>422</v>
      </c>
      <c r="C2" s="282">
        <v>1</v>
      </c>
      <c r="AP2" s="202" t="s">
        <v>422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422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424</v>
      </c>
      <c r="C3" s="282">
        <v>1</v>
      </c>
      <c r="AP3" s="202" t="s">
        <v>424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424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425</v>
      </c>
      <c r="C4" s="282">
        <v>1</v>
      </c>
      <c r="AP4" s="202" t="s">
        <v>425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425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445</v>
      </c>
      <c r="C5" s="282">
        <v>1</v>
      </c>
      <c r="AP5" s="202" t="s">
        <v>445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445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475</v>
      </c>
      <c r="C6" s="282">
        <v>1</v>
      </c>
      <c r="AP6" s="202" t="s">
        <v>475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475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574</v>
      </c>
      <c r="C7" s="282">
        <v>1</v>
      </c>
      <c r="AP7" s="202" t="s">
        <v>574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574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575</v>
      </c>
      <c r="C8" s="282">
        <v>1</v>
      </c>
      <c r="AP8" s="202" t="s">
        <v>575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575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517</v>
      </c>
      <c r="C9" s="282">
        <v>1</v>
      </c>
      <c r="AP9" s="202" t="s">
        <v>517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517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567</v>
      </c>
      <c r="C10" s="282">
        <v>1</v>
      </c>
      <c r="AP10" s="202" t="s">
        <v>567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567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549</v>
      </c>
      <c r="C11" s="282">
        <v>1</v>
      </c>
      <c r="AP11" s="203" t="s">
        <v>549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549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515</v>
      </c>
      <c r="C12" s="282">
        <v>1</v>
      </c>
      <c r="AP12" s="202" t="s">
        <v>515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515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518</v>
      </c>
      <c r="C13" s="282">
        <v>1</v>
      </c>
      <c r="AP13" s="203" t="s">
        <v>518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518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544</v>
      </c>
      <c r="C14" s="282">
        <v>1</v>
      </c>
      <c r="AP14" s="202" t="s">
        <v>544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544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536</v>
      </c>
      <c r="C15" s="282">
        <v>1</v>
      </c>
      <c r="AP15" s="204" t="s">
        <v>536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536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522</v>
      </c>
      <c r="C16" s="282">
        <v>1</v>
      </c>
      <c r="AP16" s="202" t="s">
        <v>522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522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548</v>
      </c>
      <c r="C17" s="282">
        <v>1</v>
      </c>
      <c r="AP17" s="203" t="s">
        <v>548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548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543</v>
      </c>
      <c r="C18" s="282">
        <v>1</v>
      </c>
      <c r="AP18" s="203" t="s">
        <v>543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543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540</v>
      </c>
      <c r="C19" s="282">
        <v>1</v>
      </c>
      <c r="AP19" s="203" t="s">
        <v>540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540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546</v>
      </c>
      <c r="C20" s="282">
        <v>1</v>
      </c>
      <c r="AP20" s="203" t="s">
        <v>546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546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545</v>
      </c>
      <c r="C21" s="282">
        <v>1</v>
      </c>
      <c r="AP21" s="204" t="s">
        <v>545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545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530</v>
      </c>
      <c r="C22" s="282">
        <v>1</v>
      </c>
      <c r="AP22" s="204" t="s">
        <v>530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530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564</v>
      </c>
      <c r="C23" s="282">
        <v>1</v>
      </c>
      <c r="AP23" s="204" t="s">
        <v>564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564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531</v>
      </c>
      <c r="C24" s="282">
        <v>1</v>
      </c>
      <c r="AP24" s="204" t="s">
        <v>531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531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533</v>
      </c>
      <c r="C25" s="282">
        <v>1</v>
      </c>
      <c r="AP25" s="204" t="s">
        <v>533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533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532</v>
      </c>
      <c r="C26" s="282">
        <v>1</v>
      </c>
      <c r="AP26" s="204" t="s">
        <v>532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532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629</v>
      </c>
      <c r="C27" s="282">
        <v>1</v>
      </c>
      <c r="AP27" s="204" t="s">
        <v>629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629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528</v>
      </c>
      <c r="C28" s="282">
        <v>1</v>
      </c>
      <c r="AP28" s="251" t="s">
        <v>528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528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527</v>
      </c>
      <c r="C29" s="282">
        <v>1</v>
      </c>
      <c r="AP29" s="204" t="s">
        <v>527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527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529</v>
      </c>
      <c r="C30" s="282">
        <v>1</v>
      </c>
      <c r="AP30" s="202" t="s">
        <v>529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529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525</v>
      </c>
      <c r="C31" s="282">
        <v>1</v>
      </c>
      <c r="AP31" s="204" t="s">
        <v>668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668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552</v>
      </c>
      <c r="C32" s="282">
        <v>1</v>
      </c>
      <c r="AP32" s="204" t="s">
        <v>671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671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553</v>
      </c>
      <c r="C33" s="282">
        <v>1</v>
      </c>
      <c r="AP33" s="204" t="s">
        <v>552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552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554</v>
      </c>
      <c r="C34" s="282">
        <v>1</v>
      </c>
      <c r="AP34" s="204" t="s">
        <v>553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553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565</v>
      </c>
      <c r="C35" s="282">
        <v>1</v>
      </c>
      <c r="AP35" s="204" t="s">
        <v>554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554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581</v>
      </c>
      <c r="AP36" s="204" t="s">
        <v>565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565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390" t="s">
        <v>578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4"/>
      <c r="BK37" s="390" t="s">
        <v>579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414</v>
      </c>
      <c r="AR40" s="205" t="s">
        <v>415</v>
      </c>
      <c r="AS40" s="205" t="s">
        <v>416</v>
      </c>
      <c r="AT40" s="205" t="s">
        <v>563</v>
      </c>
      <c r="AU40" s="205" t="s">
        <v>542</v>
      </c>
      <c r="AV40" s="205" t="s">
        <v>541</v>
      </c>
      <c r="AW40" s="205" t="s">
        <v>441</v>
      </c>
      <c r="AX40" s="205" t="s">
        <v>438</v>
      </c>
      <c r="AY40" s="205" t="s">
        <v>456</v>
      </c>
      <c r="AZ40" s="205" t="s">
        <v>439</v>
      </c>
      <c r="BA40" s="205" t="s">
        <v>434</v>
      </c>
      <c r="BB40" s="205" t="s">
        <v>667</v>
      </c>
      <c r="BC40" s="205" t="s">
        <v>670</v>
      </c>
      <c r="BD40" s="205" t="s">
        <v>81</v>
      </c>
      <c r="BE40" s="205" t="s">
        <v>426</v>
      </c>
    </row>
    <row r="41" spans="2:76" x14ac:dyDescent="0.2">
      <c r="AP41" s="202" t="s">
        <v>422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424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425</v>
      </c>
      <c r="AQ43" s="282">
        <f t="shared" si="1"/>
        <v>0</v>
      </c>
      <c r="AR43" s="282">
        <f t="shared" si="1"/>
        <v>0</v>
      </c>
      <c r="AS43" s="282">
        <f t="shared" si="1"/>
        <v>286.88405520213911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445</v>
      </c>
      <c r="AQ44" s="282">
        <f t="shared" si="1"/>
        <v>30.150427560669065</v>
      </c>
      <c r="AR44" s="282">
        <f t="shared" si="1"/>
        <v>9.0394269236644703E-2</v>
      </c>
      <c r="AS44" s="282">
        <f t="shared" si="1"/>
        <v>7.1715017046188141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>
        <f t="shared" si="6"/>
        <v>556.96479760636817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2870.841834451006</v>
      </c>
    </row>
    <row r="45" spans="2:76" x14ac:dyDescent="0.2">
      <c r="AP45" s="202" t="s">
        <v>475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>
        <f t="shared" si="8"/>
        <v>16.963528773956838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574</v>
      </c>
      <c r="AQ46" s="282">
        <f t="shared" si="1"/>
        <v>2.0694989883749622</v>
      </c>
      <c r="AR46" s="282">
        <f t="shared" si="1"/>
        <v>5.671161105764883E-3</v>
      </c>
      <c r="AS46" s="282">
        <f t="shared" si="1"/>
        <v>0.49224560722974403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575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517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567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549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515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518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544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536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>
        <f t="shared" si="1"/>
        <v>286.88405520213911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522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548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543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540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>
        <f t="shared" ref="AY58:BB58" si="34">AY98</f>
        <v>286.88405520213911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546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545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530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564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>
        <f t="shared" si="42"/>
        <v>286.88405520213911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531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533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532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629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198.80764502323905</v>
      </c>
      <c r="BE66" s="282">
        <f t="shared" si="52"/>
        <v>0</v>
      </c>
    </row>
    <row r="67" spans="32:64" ht="16" x14ac:dyDescent="0.2">
      <c r="AP67" s="251" t="s">
        <v>528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>
        <f t="shared" si="53"/>
        <v>69.582675758133661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527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529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668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671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10.437401363720047</v>
      </c>
      <c r="BB71" s="282">
        <f t="shared" si="61"/>
        <v>0</v>
      </c>
      <c r="BC71" s="282">
        <f t="shared" ref="BC71" si="62">BC110</f>
        <v>69.582675758133661</v>
      </c>
      <c r="BD71" s="282">
        <f t="shared" ref="BD71:BE71" si="63">BD111</f>
        <v>0</v>
      </c>
      <c r="BE71" s="282">
        <f t="shared" si="63"/>
        <v>48.707873030693563</v>
      </c>
    </row>
    <row r="72" spans="32:64" x14ac:dyDescent="0.2">
      <c r="AP72" s="204" t="s">
        <v>552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553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554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565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390" t="s">
        <v>580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2"/>
      <c r="AG80" s="202"/>
      <c r="AP80" s="258"/>
      <c r="AQ80" s="205" t="s">
        <v>414</v>
      </c>
      <c r="AR80" s="205" t="s">
        <v>415</v>
      </c>
      <c r="AS80" s="205" t="s">
        <v>416</v>
      </c>
      <c r="AT80" s="205" t="s">
        <v>563</v>
      </c>
      <c r="AU80" s="205" t="s">
        <v>542</v>
      </c>
      <c r="AV80" s="205" t="s">
        <v>541</v>
      </c>
      <c r="AW80" s="205" t="s">
        <v>441</v>
      </c>
      <c r="AX80" s="205" t="s">
        <v>438</v>
      </c>
      <c r="AY80" s="205" t="s">
        <v>456</v>
      </c>
      <c r="AZ80" s="205" t="s">
        <v>439</v>
      </c>
      <c r="BA80" s="205" t="s">
        <v>434</v>
      </c>
      <c r="BB80" s="205" t="s">
        <v>667</v>
      </c>
      <c r="BC80" s="205" t="s">
        <v>670</v>
      </c>
      <c r="BD80" s="205" t="s">
        <v>81</v>
      </c>
      <c r="BE80" s="205" t="s">
        <v>426</v>
      </c>
      <c r="BJ80" s="205"/>
      <c r="BK80" s="205" t="s">
        <v>420</v>
      </c>
      <c r="BL80" s="205" t="s">
        <v>356</v>
      </c>
    </row>
    <row r="81" spans="32:70" x14ac:dyDescent="0.2">
      <c r="AF81" s="202"/>
      <c r="AG81" s="202"/>
      <c r="AP81" s="202" t="s">
        <v>422</v>
      </c>
      <c r="AQ81" s="228">
        <f>'Ore-&gt;PI'!AN42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422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424</v>
      </c>
      <c r="AQ82" s="228"/>
      <c r="AR82" s="228">
        <f>'Ore-&gt;PI'!U126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424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425</v>
      </c>
      <c r="AQ83" s="228"/>
      <c r="AR83" s="228"/>
      <c r="AS83" s="228">
        <f>'Ore-&gt;PI'!U206</f>
        <v>286.88405520213911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>
        <f t="shared" si="76"/>
        <v>286.88405520213911</v>
      </c>
      <c r="BJ83" s="202" t="s">
        <v>425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445</v>
      </c>
      <c r="AQ84" s="228">
        <f>'Ore-&gt;PI'!U72</f>
        <v>30.150427560669065</v>
      </c>
      <c r="AR84" s="228">
        <f>'Ore-&gt;PI'!U163</f>
        <v>9.0394269236644703E-2</v>
      </c>
      <c r="AS84" s="228">
        <f>'Ore-&gt;PI'!U236</f>
        <v>7.1715017046188141</v>
      </c>
      <c r="AT84" s="228"/>
      <c r="AU84" s="228"/>
      <c r="AV84" s="228"/>
      <c r="AW84" s="228"/>
      <c r="AX84" s="228"/>
      <c r="AY84" s="228"/>
      <c r="AZ84" s="228">
        <f>'Ore-&gt;PI'!CA140</f>
        <v>356076.147280448</v>
      </c>
      <c r="BA84" s="228">
        <f>'Ore-&gt;PI'!CA242</f>
        <v>556.96479760636817</v>
      </c>
      <c r="BB84" s="228"/>
      <c r="BC84" s="228"/>
      <c r="BD84" s="228"/>
      <c r="BE84" s="241">
        <f>'Ore-&gt;PI'!EL140</f>
        <v>2870.841834451006</v>
      </c>
      <c r="BF84" s="250">
        <f t="shared" si="76"/>
        <v>359541.3662360399</v>
      </c>
      <c r="BJ84" s="202" t="s">
        <v>445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475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'Ore-&gt;PI'!CA152</f>
        <v>20798.316475388398</v>
      </c>
      <c r="BA85" s="228">
        <f>'Ore-&gt;PI'!CA254</f>
        <v>16.963528773956838</v>
      </c>
      <c r="BB85" s="228"/>
      <c r="BC85" s="228"/>
      <c r="BD85" s="228"/>
      <c r="BE85" s="228">
        <f>'Ore-&gt;PI'!EL114</f>
        <v>44.774669200794314</v>
      </c>
      <c r="BF85" s="250">
        <f t="shared" si="76"/>
        <v>20860.054673363149</v>
      </c>
      <c r="BJ85" s="202" t="s">
        <v>475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574</v>
      </c>
      <c r="AQ86" s="228">
        <f>'Ore-&gt;PI'!U59</f>
        <v>2.0694989883749622</v>
      </c>
      <c r="AR86" s="228">
        <f>'Ore-&gt;PI'!U140</f>
        <v>5.671161105764883E-3</v>
      </c>
      <c r="AS86" s="228">
        <f>'Ore-&gt;PI'!U222</f>
        <v>0.49224560722974403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76"/>
        <v>2.5674157567104707</v>
      </c>
      <c r="BJ86" s="202" t="s">
        <v>574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575</v>
      </c>
      <c r="AQ87" s="228"/>
      <c r="AR87" s="228">
        <f>'Ore-&gt;PI'!U151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575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517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'Ore-&gt;PI'!EL101</f>
        <v>4.8979947555174279</v>
      </c>
      <c r="BF88" s="250">
        <f t="shared" si="76"/>
        <v>4.8979947555174279</v>
      </c>
      <c r="BJ88" s="202" t="s">
        <v>517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567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567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549</v>
      </c>
      <c r="AQ90" s="228"/>
      <c r="AR90" s="228"/>
      <c r="AS90" s="228"/>
      <c r="AT90" s="228">
        <f>'Ore-&gt;PI'!AN42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549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515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515</v>
      </c>
      <c r="BK91" s="242"/>
      <c r="BL91" s="242">
        <f>'Ore-&gt;PI'!AN63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518</v>
      </c>
      <c r="AQ92" s="228"/>
      <c r="AR92" s="228"/>
      <c r="AS92" s="228"/>
      <c r="AT92" s="228"/>
      <c r="AU92" s="228">
        <f>'Ore-&gt;PI'!AO126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518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544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544</v>
      </c>
      <c r="BK93" s="242"/>
      <c r="BL93" s="242">
        <f>'Ore-&gt;PI'!AO142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536</v>
      </c>
      <c r="AQ94" s="228"/>
      <c r="AR94" s="228"/>
      <c r="AS94" s="228"/>
      <c r="AT94" s="228"/>
      <c r="AU94" s="228"/>
      <c r="AV94" s="228">
        <f>'Ore-&gt;PI'!AO206</f>
        <v>286.88405520213911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>
        <f t="shared" si="76"/>
        <v>286.88405520213911</v>
      </c>
      <c r="BJ94" s="204" t="s">
        <v>536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522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522</v>
      </c>
      <c r="BK95" s="242"/>
      <c r="BL95" s="242">
        <f>'Ore-&gt;PI'!AO227</f>
        <v>7.6637473118485584</v>
      </c>
      <c r="BM95" s="250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548</v>
      </c>
      <c r="AQ96" s="228"/>
      <c r="AR96" s="228"/>
      <c r="AS96" s="228"/>
      <c r="AT96" s="228"/>
      <c r="AU96" s="228"/>
      <c r="AV96" s="228"/>
      <c r="AW96" s="228">
        <f>'Ore-&gt;PI'!BG42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548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543</v>
      </c>
      <c r="AQ97" s="228"/>
      <c r="AR97" s="228"/>
      <c r="AS97" s="228"/>
      <c r="AT97" s="228"/>
      <c r="AU97" s="228"/>
      <c r="AV97" s="228"/>
      <c r="AW97" s="228"/>
      <c r="AX97" s="228">
        <f>'Ore-&gt;PI'!BH126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543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540</v>
      </c>
      <c r="AQ98" s="228"/>
      <c r="AR98" s="228"/>
      <c r="AS98" s="228"/>
      <c r="AT98" s="228"/>
      <c r="AU98" s="228"/>
      <c r="AV98" s="228"/>
      <c r="AW98" s="228"/>
      <c r="AX98" s="228"/>
      <c r="AY98" s="228">
        <f>'Ore-&gt;PI'!BH206</f>
        <v>286.88405520213911</v>
      </c>
      <c r="AZ98" s="228"/>
      <c r="BA98" s="228"/>
      <c r="BB98" s="228"/>
      <c r="BC98" s="228"/>
      <c r="BD98" s="228"/>
      <c r="BE98" s="228"/>
      <c r="BF98" s="250">
        <f t="shared" si="76"/>
        <v>286.88405520213911</v>
      </c>
      <c r="BJ98" s="203" t="s">
        <v>540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546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546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545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545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530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530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564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'Ore-&gt;PI'!CA206</f>
        <v>286.88405520213911</v>
      </c>
      <c r="BB102" s="228"/>
      <c r="BC102" s="228"/>
      <c r="BD102" s="228"/>
      <c r="BE102" s="228"/>
      <c r="BF102" s="250">
        <f t="shared" si="76"/>
        <v>286.88405520213911</v>
      </c>
      <c r="BJ102" s="204" t="s">
        <v>564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531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'Ore-&gt;PI'!CV126</f>
        <v>111.00813284002646</v>
      </c>
      <c r="BE103" s="228"/>
      <c r="BF103" s="250">
        <f t="shared" si="76"/>
        <v>111.00813284002646</v>
      </c>
      <c r="BJ103" s="204" t="s">
        <v>531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533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533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532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532</v>
      </c>
      <c r="BK105" s="242"/>
      <c r="BL105" s="242">
        <f>'Ore-&gt;PI'!CV138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629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'Ore-&gt;PI'!CV206</f>
        <v>198.80764502323905</v>
      </c>
      <c r="BE106" s="228"/>
      <c r="BF106" s="250">
        <f t="shared" si="76"/>
        <v>198.80764502323905</v>
      </c>
      <c r="BJ106" s="204" t="s">
        <v>629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528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'Ore-&gt;PI'!CV233</f>
        <v>69.582675758133661</v>
      </c>
      <c r="BC107" s="228"/>
      <c r="BD107" s="228"/>
      <c r="BE107" s="228"/>
      <c r="BF107" s="250">
        <f t="shared" si="76"/>
        <v>69.582675758133661</v>
      </c>
      <c r="BJ107" s="251" t="s">
        <v>528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527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527</v>
      </c>
      <c r="BK108" s="242"/>
      <c r="BL108" s="242">
        <f>Beneficiation_CoalWaste</f>
        <v>18.493734420766422</v>
      </c>
      <c r="BM108" s="250">
        <f t="shared" si="79"/>
        <v>18.493734420766422</v>
      </c>
    </row>
    <row r="109" spans="32:65" x14ac:dyDescent="0.2">
      <c r="AF109" s="204"/>
      <c r="AG109" s="204"/>
      <c r="AP109" s="202" t="s">
        <v>529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529</v>
      </c>
      <c r="BK109" s="242"/>
      <c r="BL109" s="242">
        <f>'Ore-&gt;PI'!CV250</f>
        <v>584.3657277440451</v>
      </c>
      <c r="BM109" s="250">
        <f t="shared" si="79"/>
        <v>584.3657277440451</v>
      </c>
    </row>
    <row r="110" spans="32:65" x14ac:dyDescent="0.2">
      <c r="AF110" s="204"/>
      <c r="AG110" s="204"/>
      <c r="AP110" s="204" t="s">
        <v>525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'Ore-&gt;PI'!$DP$233</f>
        <v>69.582675758133661</v>
      </c>
      <c r="BD110" s="228"/>
      <c r="BE110" s="241"/>
      <c r="BF110" s="250">
        <f t="shared" si="76"/>
        <v>69.582675758133661</v>
      </c>
      <c r="BJ110" s="204" t="s">
        <v>668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671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'Ore-&gt;PI'!$CA$225</f>
        <v>10.437401363720047</v>
      </c>
      <c r="BB111" s="228"/>
      <c r="BC111" s="228"/>
      <c r="BD111" s="228"/>
      <c r="BE111" s="241">
        <f>'Ore-&gt;PI'!$EL$152</f>
        <v>48.707873030693563</v>
      </c>
      <c r="BF111" s="250">
        <f t="shared" si="76"/>
        <v>59.145274394413612</v>
      </c>
      <c r="BJ111" s="204" t="s">
        <v>671</v>
      </c>
      <c r="BK111" s="242">
        <f>'Ore-&gt;PI'!$FF$233</f>
        <v>10.437401363720047</v>
      </c>
      <c r="BL111" s="242"/>
      <c r="BM111" s="250">
        <f t="shared" si="79"/>
        <v>10.437401363720047</v>
      </c>
    </row>
    <row r="112" spans="32:65" x14ac:dyDescent="0.2">
      <c r="AF112" s="204"/>
      <c r="AG112" s="204"/>
      <c r="AP112" s="204" t="s">
        <v>552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'Ore-&gt;PI'!EL126</f>
        <v>1309.8157778632656</v>
      </c>
      <c r="BF112" s="250">
        <f t="shared" si="76"/>
        <v>1309.8157778632656</v>
      </c>
      <c r="BJ112" s="204" t="s">
        <v>552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553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553</v>
      </c>
      <c r="BK113" s="242">
        <f>'Ore-&gt;PI'!FL126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554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554</v>
      </c>
      <c r="BK114" s="242"/>
      <c r="BL114" s="242">
        <f>'Ore-&gt;PI'!FL141</f>
        <v>3432.8541806261665</v>
      </c>
      <c r="BM114" s="250">
        <f t="shared" si="79"/>
        <v>3432.8541806261665</v>
      </c>
    </row>
    <row r="115" spans="2:65" x14ac:dyDescent="0.2">
      <c r="AF115" s="204"/>
      <c r="AG115" s="204"/>
      <c r="AP115" s="204" t="s">
        <v>565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565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390" t="s">
        <v>417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467</v>
      </c>
      <c r="BK116" s="390" t="s">
        <v>419</v>
      </c>
      <c r="BL116" s="390"/>
      <c r="BM116" s="25" t="s">
        <v>482</v>
      </c>
    </row>
    <row r="117" spans="2:65" x14ac:dyDescent="0.2">
      <c r="AF117" s="204"/>
      <c r="AG117" s="204"/>
      <c r="AP117" s="204"/>
      <c r="AQ117" s="250">
        <f t="shared" ref="AQ117:BE117" si="80">SUM(AQ81:AQ115)</f>
        <v>1043.9873925509492</v>
      </c>
      <c r="AR117" s="250">
        <f t="shared" si="80"/>
        <v>208.65218594918355</v>
      </c>
      <c r="AS117" s="250">
        <f t="shared" si="80"/>
        <v>294.54780251398768</v>
      </c>
      <c r="AT117" s="250">
        <f t="shared" si="80"/>
        <v>1011.7674660019052</v>
      </c>
      <c r="AU117" s="250">
        <f t="shared" si="80"/>
        <v>208.55560337725498</v>
      </c>
      <c r="AV117" s="250">
        <f t="shared" si="80"/>
        <v>286.88405520213911</v>
      </c>
      <c r="AW117" s="250">
        <f t="shared" si="80"/>
        <v>1011.7674660019052</v>
      </c>
      <c r="AX117" s="250">
        <f t="shared" si="80"/>
        <v>208.55560337725498</v>
      </c>
      <c r="AY117" s="250">
        <f t="shared" si="80"/>
        <v>286.88405520213911</v>
      </c>
      <c r="AZ117" s="250">
        <f t="shared" si="80"/>
        <v>377083.01935921365</v>
      </c>
      <c r="BA117" s="250">
        <f t="shared" si="80"/>
        <v>871.24978294618404</v>
      </c>
      <c r="BB117" s="250">
        <f t="shared" si="80"/>
        <v>69.582675758133661</v>
      </c>
      <c r="BC117" s="250">
        <f t="shared" si="80"/>
        <v>69.582675758133661</v>
      </c>
      <c r="BD117" s="250">
        <f t="shared" si="80"/>
        <v>1309.8157778632656</v>
      </c>
      <c r="BE117" s="250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390" t="s">
        <v>466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422</v>
      </c>
      <c r="D120" s="205" t="s">
        <v>424</v>
      </c>
      <c r="E120" s="205" t="s">
        <v>425</v>
      </c>
      <c r="F120" s="205" t="s">
        <v>445</v>
      </c>
      <c r="G120" s="205" t="s">
        <v>475</v>
      </c>
      <c r="H120" s="205" t="s">
        <v>513</v>
      </c>
      <c r="I120" s="205" t="s">
        <v>574</v>
      </c>
      <c r="J120" s="205" t="s">
        <v>575</v>
      </c>
      <c r="K120" s="205" t="s">
        <v>567</v>
      </c>
      <c r="L120" s="207" t="s">
        <v>549</v>
      </c>
      <c r="M120" s="205" t="s">
        <v>515</v>
      </c>
      <c r="N120" s="207" t="s">
        <v>518</v>
      </c>
      <c r="O120" s="205" t="s">
        <v>544</v>
      </c>
      <c r="P120" s="208" t="s">
        <v>536</v>
      </c>
      <c r="Q120" s="205" t="s">
        <v>522</v>
      </c>
      <c r="R120" s="207" t="s">
        <v>548</v>
      </c>
      <c r="S120" s="207" t="s">
        <v>543</v>
      </c>
      <c r="T120" s="207" t="s">
        <v>540</v>
      </c>
      <c r="U120" s="207" t="s">
        <v>546</v>
      </c>
      <c r="V120" s="208" t="s">
        <v>545</v>
      </c>
      <c r="W120" s="208" t="s">
        <v>530</v>
      </c>
      <c r="X120" s="208" t="s">
        <v>564</v>
      </c>
      <c r="Y120" s="208" t="s">
        <v>531</v>
      </c>
      <c r="Z120" s="208" t="s">
        <v>533</v>
      </c>
      <c r="AA120" s="208" t="s">
        <v>532</v>
      </c>
      <c r="AB120" s="208" t="s">
        <v>629</v>
      </c>
      <c r="AC120" s="230" t="s">
        <v>528</v>
      </c>
      <c r="AD120" s="208" t="s">
        <v>527</v>
      </c>
      <c r="AE120" s="205" t="s">
        <v>529</v>
      </c>
      <c r="AF120" s="208" t="s">
        <v>668</v>
      </c>
      <c r="AG120" s="208" t="s">
        <v>671</v>
      </c>
      <c r="AH120" s="208" t="s">
        <v>552</v>
      </c>
      <c r="AI120" s="208" t="s">
        <v>553</v>
      </c>
      <c r="AJ120" s="208" t="s">
        <v>554</v>
      </c>
      <c r="AK120" s="208" t="s">
        <v>565</v>
      </c>
      <c r="AP120" s="204"/>
      <c r="BK120" s="25"/>
      <c r="BL120" s="25"/>
    </row>
    <row r="121" spans="2:65" x14ac:dyDescent="0.2">
      <c r="B121" s="202" t="s">
        <v>414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'Ore-&gt;PI'!U42</f>
        <v>1011.7674660019052</v>
      </c>
      <c r="M121" s="228">
        <f>'Ore-&gt;PI'!$AN$63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415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'Ore-&gt;PI'!AO126</f>
        <v>208.55560337725498</v>
      </c>
      <c r="O122" s="228">
        <f>'Ore-&gt;PI'!$AO$142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416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>
        <f>'Ore-&gt;PI'!$AO$206</f>
        <v>286.88405520213911</v>
      </c>
      <c r="Q123" s="228">
        <f>'Ore-&gt;PI'!$AO$227</f>
        <v>7.6637473118485584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ref="AL123:AL135" si="81">SUM(C123:AK123)</f>
        <v>294.54780251398768</v>
      </c>
    </row>
    <row r="124" spans="2:65" x14ac:dyDescent="0.2">
      <c r="B124" s="202" t="s">
        <v>563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'Ore-&gt;PI'!$BG$42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542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'Ore-&gt;PI'!$BH$126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541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>
        <f>'Ore-&gt;PI'!$BH$206</f>
        <v>286.88405520213911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441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438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'Ore-&gt;PI'!$CA$126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456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>
        <f>'Ore-&gt;PI'!$CA$206</f>
        <v>286.88405520213911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439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'Ore-&gt;PI'!$CV$126</f>
        <v>111.00813284002646</v>
      </c>
      <c r="Z130" s="228">
        <f>Kiln_SolidWaste</f>
        <v>4.9847525450981189</v>
      </c>
      <c r="AA130" s="228">
        <f>'Ore-&gt;PI'!$CV$138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434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'Ore-&gt;PI'!$CV$206</f>
        <v>198.80764502323905</v>
      </c>
      <c r="AC131" s="228">
        <f>'Ore-&gt;PI'!$CV$233</f>
        <v>69.582675758133661</v>
      </c>
      <c r="AD131" s="228">
        <f>Beneficiation_CoalWaste</f>
        <v>18.493734420766422</v>
      </c>
      <c r="AE131" s="228">
        <f>'Ore-&gt;PI'!$CV$250</f>
        <v>584.3657277440451</v>
      </c>
      <c r="AF131" s="228"/>
      <c r="AG131" s="228"/>
      <c r="AH131" s="228"/>
      <c r="AI131" s="228"/>
      <c r="AJ131" s="228"/>
      <c r="AK131" s="228"/>
      <c r="AL131" s="250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667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'Ore-&gt;PI'!$DP$233</f>
        <v>69.582675758133661</v>
      </c>
      <c r="AG132" s="228"/>
      <c r="AH132" s="228"/>
      <c r="AI132" s="228"/>
      <c r="AJ132" s="228"/>
      <c r="AK132" s="228"/>
      <c r="AL132" s="250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670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'Ore-&gt;PI'!$EK$233</f>
        <v>69.582675758133661</v>
      </c>
      <c r="AH133" s="228"/>
      <c r="AI133" s="228"/>
      <c r="AJ133" s="228"/>
      <c r="AK133" s="228"/>
      <c r="AL133" s="250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'Ore-&gt;PI'!$EL$126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426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'Ore-&gt;PI'!$FL$126</f>
        <v>616.23583583508366</v>
      </c>
      <c r="AJ135" s="228">
        <f>'Ore-&gt;PI'!$FL$141</f>
        <v>3432.8541806261665</v>
      </c>
      <c r="AK135" s="228">
        <f>BF_SolidWaste</f>
        <v>229.94813284002646</v>
      </c>
      <c r="AL135" s="250">
        <f t="shared" si="81"/>
        <v>4279.0381493012765</v>
      </c>
    </row>
    <row r="136" spans="2:64" x14ac:dyDescent="0.2">
      <c r="B136" s="202"/>
      <c r="C136" s="390" t="s">
        <v>418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463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>
        <f t="shared" si="82"/>
        <v>286.88405520213911</v>
      </c>
      <c r="Q137" s="250">
        <f t="shared" si="82"/>
        <v>7.6637473118485584</v>
      </c>
      <c r="R137" s="250">
        <f t="shared" si="82"/>
        <v>1011.7674660019052</v>
      </c>
      <c r="S137" s="250">
        <f t="shared" si="82"/>
        <v>208.55560337725498</v>
      </c>
      <c r="T137" s="250">
        <f t="shared" si="82"/>
        <v>286.88405520213911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>
        <f t="shared" si="82"/>
        <v>286.88405520213911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198.80764502323905</v>
      </c>
      <c r="AC137" s="250">
        <f t="shared" si="82"/>
        <v>69.582675758133661</v>
      </c>
      <c r="AD137" s="250">
        <f t="shared" si="82"/>
        <v>18.493734420766422</v>
      </c>
      <c r="AE137" s="250">
        <f t="shared" si="82"/>
        <v>584.3657277440451</v>
      </c>
      <c r="AF137" s="250">
        <f t="shared" si="82"/>
        <v>69.582675758133661</v>
      </c>
      <c r="AG137" s="250">
        <f t="shared" si="82"/>
        <v>69.582675758133661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3432.8541806261665</v>
      </c>
      <c r="AK137" s="250">
        <f t="shared" si="82"/>
        <v>229.94813284002646</v>
      </c>
    </row>
    <row r="138" spans="2:64" x14ac:dyDescent="0.2">
      <c r="B138" s="202"/>
      <c r="C138" s="390" t="s">
        <v>464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422</v>
      </c>
      <c r="D149" s="205" t="s">
        <v>424</v>
      </c>
      <c r="E149" s="205" t="s">
        <v>425</v>
      </c>
      <c r="F149" s="205" t="s">
        <v>445</v>
      </c>
      <c r="G149" s="205" t="s">
        <v>475</v>
      </c>
      <c r="H149" s="205" t="s">
        <v>513</v>
      </c>
      <c r="I149" s="205" t="s">
        <v>574</v>
      </c>
      <c r="J149" s="205" t="s">
        <v>575</v>
      </c>
      <c r="K149" s="205" t="s">
        <v>567</v>
      </c>
      <c r="L149" s="207" t="s">
        <v>549</v>
      </c>
      <c r="M149" s="205" t="s">
        <v>515</v>
      </c>
      <c r="N149" s="207" t="s">
        <v>518</v>
      </c>
      <c r="O149" s="205" t="s">
        <v>544</v>
      </c>
      <c r="P149" s="208" t="s">
        <v>536</v>
      </c>
      <c r="Q149" s="205" t="s">
        <v>522</v>
      </c>
      <c r="R149" s="207" t="s">
        <v>548</v>
      </c>
      <c r="S149" s="207" t="s">
        <v>543</v>
      </c>
      <c r="T149" s="207" t="s">
        <v>540</v>
      </c>
      <c r="U149" s="207" t="s">
        <v>546</v>
      </c>
      <c r="V149" s="208" t="s">
        <v>545</v>
      </c>
      <c r="W149" s="208" t="s">
        <v>530</v>
      </c>
      <c r="X149" s="208" t="s">
        <v>564</v>
      </c>
      <c r="Y149" s="208" t="s">
        <v>531</v>
      </c>
      <c r="Z149" s="208" t="s">
        <v>533</v>
      </c>
      <c r="AA149" s="208" t="s">
        <v>532</v>
      </c>
      <c r="AB149" s="208" t="s">
        <v>629</v>
      </c>
      <c r="AC149" s="230" t="s">
        <v>528</v>
      </c>
      <c r="AD149" s="208" t="s">
        <v>527</v>
      </c>
      <c r="AE149" s="205" t="s">
        <v>529</v>
      </c>
      <c r="AF149" s="208" t="s">
        <v>668</v>
      </c>
      <c r="AG149" s="208" t="s">
        <v>671</v>
      </c>
      <c r="AH149" s="208" t="s">
        <v>552</v>
      </c>
      <c r="AI149" s="208" t="s">
        <v>553</v>
      </c>
      <c r="AJ149" s="208" t="s">
        <v>554</v>
      </c>
      <c r="AK149" s="208" t="s">
        <v>565</v>
      </c>
      <c r="AL149" s="208"/>
      <c r="AM149" s="208"/>
    </row>
    <row r="150" spans="2:43" x14ac:dyDescent="0.2">
      <c r="B150" s="202" t="s">
        <v>421</v>
      </c>
      <c r="C150" s="242">
        <f>'Ore-&gt;PI'!U42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423</v>
      </c>
      <c r="C151" s="242"/>
      <c r="D151" s="242">
        <f>'Ore-&gt;PI'!U126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446</v>
      </c>
      <c r="C152" s="242"/>
      <c r="D152" s="242"/>
      <c r="E152" s="242">
        <f>'Ore-&gt;PI'!U206</f>
        <v>286.88405520213911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481</v>
      </c>
      <c r="C153" s="242"/>
      <c r="D153" s="242"/>
      <c r="E153" s="242"/>
      <c r="F153" s="248">
        <f>'Ore-&gt;PI'!EL140+'Ore-&gt;PI'!CA140+'Ore-&gt;PI'!U163+'Ore-&gt;PI'!U72+'Ore-&gt;PI'!CA242+'Ore-&gt;PI'!U236</f>
        <v>359541.36623603984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474</v>
      </c>
      <c r="C154" s="242"/>
      <c r="D154" s="242"/>
      <c r="E154" s="242"/>
      <c r="F154" s="242"/>
      <c r="G154" s="242">
        <f>'Ore-&gt;PI'!EL114+'Ore-&gt;PI'!CA152+'Ore-&gt;PI'!CA254</f>
        <v>20860.054673363149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577</v>
      </c>
      <c r="C155" s="242"/>
      <c r="D155" s="242"/>
      <c r="E155" s="242"/>
      <c r="F155" s="242"/>
      <c r="G155" s="242"/>
      <c r="H155" s="242">
        <f>'Ore-&gt;PI'!U222+'Ore-&gt;PI'!U140+'Ore-&gt;PI'!U59</f>
        <v>2.5674157567104712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576</v>
      </c>
      <c r="C156" s="242"/>
      <c r="D156" s="242"/>
      <c r="E156" s="242"/>
      <c r="F156" s="242"/>
      <c r="G156" s="242"/>
      <c r="H156" s="242"/>
      <c r="I156" s="242">
        <f>'Ore-&gt;PI'!U151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516</v>
      </c>
      <c r="C157" s="242"/>
      <c r="D157" s="242"/>
      <c r="E157" s="242"/>
      <c r="F157" s="242"/>
      <c r="G157" s="242"/>
      <c r="H157" s="242"/>
      <c r="I157" s="242"/>
      <c r="J157" s="242">
        <f>'Ore-&gt;PI'!$EL$101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566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>
        <f t="shared" si="83"/>
        <v>286.88405520213911</v>
      </c>
      <c r="F160" s="250">
        <f t="shared" si="83"/>
        <v>359541.36623603984</v>
      </c>
      <c r="G160" s="250">
        <f t="shared" si="83"/>
        <v>20860.054673363149</v>
      </c>
      <c r="H160" s="250">
        <f t="shared" si="83"/>
        <v>2.5674157567104712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390" t="s">
        <v>465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462</v>
      </c>
      <c r="D165" s="390"/>
      <c r="E165" s="390"/>
      <c r="F165" s="390"/>
      <c r="G165" s="390"/>
      <c r="H165" s="390"/>
      <c r="I165" s="390"/>
      <c r="J165" s="390"/>
      <c r="K165" s="390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422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424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425</v>
      </c>
      <c r="C170" s="250">
        <v>286.88405520213911</v>
      </c>
      <c r="E170" s="250">
        <v>0</v>
      </c>
      <c r="G170" s="250">
        <f t="shared" si="84"/>
        <v>286.88405520213911</v>
      </c>
      <c r="I170" s="250">
        <v>0</v>
      </c>
      <c r="K170" s="297">
        <f>C170+E170-G170-I170</f>
        <v>0</v>
      </c>
    </row>
    <row r="171" spans="2:39" x14ac:dyDescent="0.2">
      <c r="B171" s="202" t="s">
        <v>445</v>
      </c>
      <c r="C171" s="250">
        <v>359541.36623603984</v>
      </c>
      <c r="E171" s="250">
        <v>0</v>
      </c>
      <c r="G171" s="250">
        <f t="shared" si="84"/>
        <v>359541.3662360399</v>
      </c>
      <c r="I171" s="250">
        <v>0</v>
      </c>
      <c r="K171" s="297">
        <f>ROUND(C171+E171-G171-I171, 10)</f>
        <v>-1E-10</v>
      </c>
    </row>
    <row r="172" spans="2:39" x14ac:dyDescent="0.2">
      <c r="B172" s="202" t="s">
        <v>475</v>
      </c>
      <c r="C172" s="250">
        <v>20860.054673363149</v>
      </c>
      <c r="E172" s="250">
        <v>0</v>
      </c>
      <c r="G172" s="250">
        <f t="shared" si="84"/>
        <v>20860.054673363149</v>
      </c>
      <c r="I172" s="250">
        <v>0</v>
      </c>
      <c r="K172" s="297">
        <f t="shared" ref="K172:K187" si="85">C172+E172-G172-I172</f>
        <v>0</v>
      </c>
    </row>
    <row r="173" spans="2:39" x14ac:dyDescent="0.2">
      <c r="B173" s="202" t="s">
        <v>513</v>
      </c>
      <c r="C173" s="250">
        <v>2.5674157567104712</v>
      </c>
      <c r="E173" s="250">
        <v>0</v>
      </c>
      <c r="G173" s="250">
        <f t="shared" si="84"/>
        <v>2.5674157567104707</v>
      </c>
      <c r="I173" s="250">
        <v>0</v>
      </c>
      <c r="K173" s="297">
        <f t="shared" si="85"/>
        <v>4.4408920985006262E-16</v>
      </c>
    </row>
    <row r="174" spans="2:39" x14ac:dyDescent="0.2">
      <c r="B174" s="202" t="s">
        <v>514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517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567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549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515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518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544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536</v>
      </c>
      <c r="C181" s="250">
        <v>0</v>
      </c>
      <c r="D181" s="257" t="s">
        <v>469</v>
      </c>
      <c r="E181" s="250">
        <v>286.88405520213911</v>
      </c>
      <c r="F181" s="169" t="s">
        <v>471</v>
      </c>
      <c r="G181" s="250">
        <f t="shared" si="84"/>
        <v>286.88405520213911</v>
      </c>
      <c r="H181" s="169" t="s">
        <v>471</v>
      </c>
      <c r="I181" s="250">
        <v>0</v>
      </c>
      <c r="J181" s="257" t="s">
        <v>472</v>
      </c>
      <c r="K181" s="297">
        <f t="shared" si="85"/>
        <v>0</v>
      </c>
    </row>
    <row r="182" spans="2:18" x14ac:dyDescent="0.2">
      <c r="B182" s="202" t="s">
        <v>522</v>
      </c>
      <c r="C182" s="250">
        <v>0</v>
      </c>
      <c r="E182" s="250">
        <v>7.6637473118485584</v>
      </c>
      <c r="G182" s="250">
        <f t="shared" si="84"/>
        <v>0</v>
      </c>
      <c r="I182" s="250">
        <v>7.6637473118485584</v>
      </c>
      <c r="K182" s="297">
        <f t="shared" si="85"/>
        <v>0</v>
      </c>
    </row>
    <row r="183" spans="2:18" ht="16" x14ac:dyDescent="0.2">
      <c r="B183" s="203" t="s">
        <v>548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543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540</v>
      </c>
      <c r="C185" s="250">
        <v>0</v>
      </c>
      <c r="E185" s="250">
        <v>286.88405520213911</v>
      </c>
      <c r="G185" s="250">
        <f t="shared" si="84"/>
        <v>286.88405520213911</v>
      </c>
      <c r="I185" s="250">
        <v>0</v>
      </c>
      <c r="K185" s="297">
        <f t="shared" si="85"/>
        <v>0</v>
      </c>
    </row>
    <row r="186" spans="2:18" ht="16" x14ac:dyDescent="0.2">
      <c r="B186" s="203" t="s">
        <v>546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545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530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564</v>
      </c>
      <c r="C189" s="250">
        <v>0</v>
      </c>
      <c r="E189" s="250">
        <v>286.88405520213911</v>
      </c>
      <c r="G189" s="250">
        <f t="shared" si="84"/>
        <v>286.88405520213911</v>
      </c>
      <c r="I189" s="250">
        <v>0</v>
      </c>
      <c r="K189" s="297">
        <f t="shared" si="86"/>
        <v>0</v>
      </c>
      <c r="N189" s="25"/>
      <c r="P189" s="25"/>
      <c r="Q189" s="25"/>
      <c r="R189" s="25"/>
    </row>
    <row r="190" spans="2:18" x14ac:dyDescent="0.2">
      <c r="B190" s="204" t="s">
        <v>531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533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532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629</v>
      </c>
      <c r="C193" s="250">
        <v>0</v>
      </c>
      <c r="E193" s="250">
        <v>198.80764502323905</v>
      </c>
      <c r="G193" s="250">
        <f t="shared" si="84"/>
        <v>198.80764502323905</v>
      </c>
      <c r="I193" s="250">
        <v>0</v>
      </c>
      <c r="K193" s="297">
        <f t="shared" si="86"/>
        <v>0</v>
      </c>
    </row>
    <row r="194" spans="2:19" ht="16" x14ac:dyDescent="0.2">
      <c r="B194" s="251" t="s">
        <v>528</v>
      </c>
      <c r="C194" s="250">
        <v>0</v>
      </c>
      <c r="E194" s="250">
        <v>69.582675758133661</v>
      </c>
      <c r="G194" s="250">
        <f t="shared" si="84"/>
        <v>69.582675758133661</v>
      </c>
      <c r="I194" s="250">
        <v>0</v>
      </c>
      <c r="K194" s="297">
        <f t="shared" si="86"/>
        <v>0</v>
      </c>
    </row>
    <row r="195" spans="2:19" x14ac:dyDescent="0.2">
      <c r="B195" s="204" t="s">
        <v>527</v>
      </c>
      <c r="C195" s="250">
        <v>0</v>
      </c>
      <c r="E195" s="250">
        <v>18.493734420766422</v>
      </c>
      <c r="G195" s="250">
        <f t="shared" si="84"/>
        <v>0</v>
      </c>
      <c r="I195" s="250">
        <v>18.493734420766422</v>
      </c>
      <c r="K195" s="297">
        <f t="shared" ref="K195:K202" si="87">C195+E195-G195-I195</f>
        <v>0</v>
      </c>
      <c r="L195" s="25"/>
    </row>
    <row r="196" spans="2:19" x14ac:dyDescent="0.2">
      <c r="B196" s="202" t="s">
        <v>529</v>
      </c>
      <c r="C196" s="250">
        <v>0</v>
      </c>
      <c r="E196" s="250">
        <v>584.3657277440451</v>
      </c>
      <c r="G196" s="250">
        <f t="shared" si="84"/>
        <v>0</v>
      </c>
      <c r="I196" s="250">
        <v>584.3657277440451</v>
      </c>
      <c r="K196" s="297">
        <f t="shared" si="87"/>
        <v>0</v>
      </c>
    </row>
    <row r="197" spans="2:19" x14ac:dyDescent="0.2">
      <c r="B197" s="204" t="s">
        <v>668</v>
      </c>
      <c r="C197" s="250">
        <v>0</v>
      </c>
      <c r="E197" s="250">
        <v>69.582675758133661</v>
      </c>
      <c r="G197" s="250">
        <f t="shared" si="84"/>
        <v>69.582675758133661</v>
      </c>
      <c r="I197" s="250">
        <v>0</v>
      </c>
      <c r="K197" s="297">
        <f t="shared" si="87"/>
        <v>0</v>
      </c>
    </row>
    <row r="198" spans="2:19" x14ac:dyDescent="0.2">
      <c r="B198" s="204" t="s">
        <v>671</v>
      </c>
      <c r="C198" s="250">
        <v>0</v>
      </c>
      <c r="E198" s="250">
        <v>69.582675758133661</v>
      </c>
      <c r="G198" s="250">
        <f t="shared" si="84"/>
        <v>59.145274394413612</v>
      </c>
      <c r="I198" s="250">
        <v>10.437401363720047</v>
      </c>
      <c r="K198" s="297"/>
    </row>
    <row r="199" spans="2:19" x14ac:dyDescent="0.2">
      <c r="B199" s="204" t="s">
        <v>552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553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554</v>
      </c>
      <c r="C201" s="250">
        <v>0</v>
      </c>
      <c r="E201" s="250">
        <v>3432.8541806261665</v>
      </c>
      <c r="G201" s="250">
        <f t="shared" si="84"/>
        <v>0</v>
      </c>
      <c r="I201" s="250">
        <v>3432.8541806261665</v>
      </c>
      <c r="K201" s="297">
        <f t="shared" si="87"/>
        <v>0</v>
      </c>
    </row>
    <row r="202" spans="2:19" x14ac:dyDescent="0.2">
      <c r="B202" s="204" t="s">
        <v>565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468</v>
      </c>
      <c r="E203" s="3" t="s">
        <v>470</v>
      </c>
      <c r="G203" s="25" t="s">
        <v>467</v>
      </c>
      <c r="I203" s="25" t="s">
        <v>39</v>
      </c>
      <c r="K203" s="25">
        <f>SUM(K168:K202)</f>
        <v>-9.9999555910790154E-11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390" t="s">
        <v>473</v>
      </c>
      <c r="D206" s="390"/>
      <c r="E206" s="390"/>
      <c r="F206" s="390"/>
      <c r="G206" s="390"/>
      <c r="L206" s="243"/>
      <c r="M206" s="243"/>
    </row>
    <row r="209" spans="2:15" x14ac:dyDescent="0.2">
      <c r="B209" s="202" t="s">
        <v>414</v>
      </c>
      <c r="C209" s="250" cm="1">
        <f t="array" ref="C209:C223">TRANSPOSE((AQ117:BE117))</f>
        <v>1043.9873925509492</v>
      </c>
      <c r="E209" s="250">
        <f>AL121</f>
        <v>1043.9873925509492</v>
      </c>
      <c r="G209" s="297">
        <f>C209-E209</f>
        <v>0</v>
      </c>
    </row>
    <row r="210" spans="2:15" x14ac:dyDescent="0.2">
      <c r="B210" s="202" t="s">
        <v>415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416</v>
      </c>
      <c r="C211" s="250">
        <v>294.54780251398768</v>
      </c>
      <c r="E211" s="250">
        <f t="shared" si="88"/>
        <v>294.54780251398768</v>
      </c>
      <c r="G211" s="297">
        <f t="shared" si="89"/>
        <v>0</v>
      </c>
    </row>
    <row r="212" spans="2:15" x14ac:dyDescent="0.2">
      <c r="B212" s="202" t="s">
        <v>563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542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541</v>
      </c>
      <c r="C214" s="250">
        <v>286.88405520213911</v>
      </c>
      <c r="E214" s="250">
        <f t="shared" si="88"/>
        <v>286.88405520213911</v>
      </c>
      <c r="G214" s="297">
        <f t="shared" si="89"/>
        <v>0</v>
      </c>
    </row>
    <row r="215" spans="2:15" x14ac:dyDescent="0.2">
      <c r="B215" s="202" t="s">
        <v>441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438</v>
      </c>
      <c r="C216" s="250">
        <v>208.55560337725498</v>
      </c>
      <c r="D216" s="169" t="s">
        <v>476</v>
      </c>
      <c r="E216" s="250">
        <f t="shared" si="88"/>
        <v>208.55560337725498</v>
      </c>
      <c r="F216" s="169" t="s">
        <v>472</v>
      </c>
      <c r="G216" s="297">
        <f t="shared" si="89"/>
        <v>0</v>
      </c>
    </row>
    <row r="217" spans="2:15" x14ac:dyDescent="0.2">
      <c r="B217" s="202" t="s">
        <v>456</v>
      </c>
      <c r="C217" s="250">
        <v>286.88405520213911</v>
      </c>
      <c r="E217" s="250">
        <f t="shared" si="88"/>
        <v>286.88405520213911</v>
      </c>
      <c r="G217" s="297">
        <f t="shared" si="89"/>
        <v>0</v>
      </c>
    </row>
    <row r="218" spans="2:15" x14ac:dyDescent="0.2">
      <c r="B218" s="202" t="s">
        <v>439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434</v>
      </c>
      <c r="C219" s="250">
        <v>871.24978294618404</v>
      </c>
      <c r="E219" s="250">
        <f t="shared" si="88"/>
        <v>871.24978294618427</v>
      </c>
      <c r="G219" s="297">
        <f t="shared" si="89"/>
        <v>0</v>
      </c>
    </row>
    <row r="220" spans="2:15" x14ac:dyDescent="0.2">
      <c r="B220" s="202" t="s">
        <v>667</v>
      </c>
      <c r="C220" s="250">
        <v>69.582675758133661</v>
      </c>
      <c r="E220" s="250">
        <f t="shared" si="88"/>
        <v>69.582675758133661</v>
      </c>
      <c r="G220" s="297">
        <f t="shared" si="89"/>
        <v>0</v>
      </c>
    </row>
    <row r="221" spans="2:15" x14ac:dyDescent="0.2">
      <c r="B221" s="202" t="s">
        <v>670</v>
      </c>
      <c r="C221" s="250">
        <v>69.582675758133661</v>
      </c>
      <c r="E221" s="250">
        <f t="shared" si="88"/>
        <v>69.582675758133661</v>
      </c>
      <c r="G221" s="297"/>
    </row>
    <row r="222" spans="2:15" x14ac:dyDescent="0.2">
      <c r="B222" s="202" t="s">
        <v>81</v>
      </c>
      <c r="C222" s="250">
        <v>1309.8157778632656</v>
      </c>
      <c r="E222" s="250">
        <f t="shared" si="88"/>
        <v>1309.8157778632656</v>
      </c>
      <c r="G222" s="297">
        <f t="shared" si="89"/>
        <v>0</v>
      </c>
    </row>
    <row r="223" spans="2:15" x14ac:dyDescent="0.2">
      <c r="B223" s="202" t="s">
        <v>426</v>
      </c>
      <c r="C223" s="250">
        <v>4279.0381493012774</v>
      </c>
      <c r="D223" s="169"/>
      <c r="E223" s="250">
        <f t="shared" si="88"/>
        <v>4279.0381493012765</v>
      </c>
      <c r="G223" s="297">
        <f t="shared" si="89"/>
        <v>0</v>
      </c>
    </row>
    <row r="224" spans="2:15" x14ac:dyDescent="0.2">
      <c r="B224" s="204"/>
      <c r="C224" s="169" t="s">
        <v>466</v>
      </c>
      <c r="D224" s="169"/>
      <c r="E224" s="169" t="s">
        <v>463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662</v>
      </c>
      <c r="AP1" s="258"/>
      <c r="AQ1" s="205" t="s">
        <v>414</v>
      </c>
      <c r="AR1" s="205" t="s">
        <v>415</v>
      </c>
      <c r="AS1" s="205" t="s">
        <v>416</v>
      </c>
      <c r="AT1" s="205" t="s">
        <v>563</v>
      </c>
      <c r="AU1" s="205" t="s">
        <v>542</v>
      </c>
      <c r="AV1" s="205" t="s">
        <v>541</v>
      </c>
      <c r="AW1" s="205" t="s">
        <v>441</v>
      </c>
      <c r="AX1" s="205" t="s">
        <v>438</v>
      </c>
      <c r="AY1" s="205" t="s">
        <v>456</v>
      </c>
      <c r="AZ1" s="205" t="s">
        <v>439</v>
      </c>
      <c r="BA1" s="205" t="s">
        <v>434</v>
      </c>
      <c r="BB1" s="205" t="s">
        <v>667</v>
      </c>
      <c r="BC1" s="205" t="s">
        <v>670</v>
      </c>
      <c r="BD1" s="205" t="s">
        <v>81</v>
      </c>
      <c r="BE1" s="205" t="s">
        <v>426</v>
      </c>
      <c r="BJ1" s="258"/>
      <c r="BK1" s="205" t="s">
        <v>414</v>
      </c>
      <c r="BL1" s="205" t="s">
        <v>415</v>
      </c>
      <c r="BM1" s="205" t="s">
        <v>416</v>
      </c>
      <c r="BN1" s="205" t="s">
        <v>563</v>
      </c>
      <c r="BO1" s="205" t="s">
        <v>542</v>
      </c>
      <c r="BP1" s="205" t="s">
        <v>541</v>
      </c>
      <c r="BQ1" s="205" t="s">
        <v>441</v>
      </c>
      <c r="BR1" s="205" t="s">
        <v>438</v>
      </c>
      <c r="BS1" s="205" t="s">
        <v>456</v>
      </c>
      <c r="BT1" s="205" t="s">
        <v>439</v>
      </c>
      <c r="BU1" s="205" t="s">
        <v>434</v>
      </c>
      <c r="BV1" s="205" t="s">
        <v>667</v>
      </c>
      <c r="BW1" s="205" t="s">
        <v>670</v>
      </c>
      <c r="BX1" s="205" t="s">
        <v>81</v>
      </c>
      <c r="BY1" s="205" t="s">
        <v>426</v>
      </c>
    </row>
    <row r="2" spans="2:77" x14ac:dyDescent="0.2">
      <c r="B2" s="202" t="s">
        <v>422</v>
      </c>
      <c r="C2" s="282">
        <v>1</v>
      </c>
      <c r="AP2" s="202" t="s">
        <v>422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422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424</v>
      </c>
      <c r="C3" s="282">
        <v>1</v>
      </c>
      <c r="AP3" s="202" t="s">
        <v>424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424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425</v>
      </c>
      <c r="C4" s="282">
        <v>1</v>
      </c>
      <c r="AP4" s="202" t="s">
        <v>425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425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445</v>
      </c>
      <c r="C5" s="282">
        <v>1</v>
      </c>
      <c r="AP5" s="202" t="s">
        <v>445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445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475</v>
      </c>
      <c r="C6" s="282">
        <v>1</v>
      </c>
      <c r="AP6" s="202" t="s">
        <v>475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475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574</v>
      </c>
      <c r="C7" s="282">
        <v>1</v>
      </c>
      <c r="AP7" s="202" t="s">
        <v>574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574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575</v>
      </c>
      <c r="C8" s="282">
        <v>1</v>
      </c>
      <c r="AP8" s="202" t="s">
        <v>575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575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517</v>
      </c>
      <c r="C9" s="282">
        <v>1</v>
      </c>
      <c r="AP9" s="202" t="s">
        <v>517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517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567</v>
      </c>
      <c r="C10" s="282">
        <v>1</v>
      </c>
      <c r="AP10" s="202" t="s">
        <v>567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567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549</v>
      </c>
      <c r="C11" s="282">
        <v>1</v>
      </c>
      <c r="AP11" s="203" t="s">
        <v>549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549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515</v>
      </c>
      <c r="C12" s="282">
        <v>1</v>
      </c>
      <c r="AP12" s="202" t="s">
        <v>515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515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518</v>
      </c>
      <c r="C13" s="282">
        <v>1</v>
      </c>
      <c r="AP13" s="203" t="s">
        <v>518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518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544</v>
      </c>
      <c r="C14" s="282">
        <v>1</v>
      </c>
      <c r="AP14" s="202" t="s">
        <v>544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544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536</v>
      </c>
      <c r="C15" s="282">
        <v>1</v>
      </c>
      <c r="AP15" s="204" t="s">
        <v>536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536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522</v>
      </c>
      <c r="C16" s="282">
        <v>1</v>
      </c>
      <c r="AP16" s="202" t="s">
        <v>522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522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548</v>
      </c>
      <c r="C17" s="282">
        <v>1</v>
      </c>
      <c r="AP17" s="203" t="s">
        <v>548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548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543</v>
      </c>
      <c r="C18" s="282">
        <v>1</v>
      </c>
      <c r="AP18" s="203" t="s">
        <v>543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543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540</v>
      </c>
      <c r="C19" s="282">
        <v>1</v>
      </c>
      <c r="AP19" s="203" t="s">
        <v>540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540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546</v>
      </c>
      <c r="C20" s="282">
        <v>1</v>
      </c>
      <c r="AP20" s="203" t="s">
        <v>546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546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545</v>
      </c>
      <c r="C21" s="282">
        <v>1</v>
      </c>
      <c r="AP21" s="204" t="s">
        <v>545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545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530</v>
      </c>
      <c r="C22" s="282">
        <v>1</v>
      </c>
      <c r="AP22" s="204" t="s">
        <v>530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530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564</v>
      </c>
      <c r="C23" s="282">
        <v>1</v>
      </c>
      <c r="AP23" s="204" t="s">
        <v>564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564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531</v>
      </c>
      <c r="C24" s="282">
        <v>1</v>
      </c>
      <c r="AP24" s="204" t="s">
        <v>531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531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533</v>
      </c>
      <c r="C25" s="282">
        <v>1</v>
      </c>
      <c r="AP25" s="204" t="s">
        <v>533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533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532</v>
      </c>
      <c r="C26" s="282">
        <v>1</v>
      </c>
      <c r="AP26" s="204" t="s">
        <v>532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532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629</v>
      </c>
      <c r="C27" s="282">
        <v>1</v>
      </c>
      <c r="AP27" s="204" t="s">
        <v>629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629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528</v>
      </c>
      <c r="C28" s="282">
        <v>1</v>
      </c>
      <c r="AP28" s="251" t="s">
        <v>528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528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527</v>
      </c>
      <c r="C29" s="282">
        <v>1</v>
      </c>
      <c r="AP29" s="204" t="s">
        <v>527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527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529</v>
      </c>
      <c r="C30" s="282">
        <v>1</v>
      </c>
      <c r="AP30" s="202" t="s">
        <v>529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529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525</v>
      </c>
      <c r="C31" s="282">
        <v>1</v>
      </c>
      <c r="AP31" s="204" t="s">
        <v>668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668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671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671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552</v>
      </c>
      <c r="C33" s="282">
        <v>1</v>
      </c>
      <c r="AP33" s="204" t="s">
        <v>552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552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553</v>
      </c>
      <c r="C34" s="282">
        <v>1</v>
      </c>
      <c r="AP34" s="204" t="s">
        <v>553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553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554</v>
      </c>
      <c r="C35" s="282">
        <v>1</v>
      </c>
      <c r="AP35" s="204" t="s">
        <v>554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554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565</v>
      </c>
      <c r="C36" s="282">
        <v>1</v>
      </c>
      <c r="AP36" s="204" t="s">
        <v>565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565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581</v>
      </c>
      <c r="AP37" s="204"/>
      <c r="AQ37" s="390" t="s">
        <v>578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4"/>
      <c r="BK37" s="390" t="s">
        <v>579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414</v>
      </c>
      <c r="AR40" s="205" t="s">
        <v>415</v>
      </c>
      <c r="AS40" s="205" t="s">
        <v>416</v>
      </c>
      <c r="AT40" s="205" t="s">
        <v>563</v>
      </c>
      <c r="AU40" s="205" t="s">
        <v>542</v>
      </c>
      <c r="AV40" s="205" t="s">
        <v>541</v>
      </c>
      <c r="AW40" s="205" t="s">
        <v>441</v>
      </c>
      <c r="AX40" s="205" t="s">
        <v>438</v>
      </c>
      <c r="AY40" s="205" t="s">
        <v>456</v>
      </c>
      <c r="AZ40" s="205" t="s">
        <v>439</v>
      </c>
      <c r="BA40" s="205" t="s">
        <v>434</v>
      </c>
      <c r="BB40" s="205" t="s">
        <v>667</v>
      </c>
      <c r="BC40" s="205" t="s">
        <v>670</v>
      </c>
      <c r="BD40" s="205" t="s">
        <v>81</v>
      </c>
      <c r="BE40" s="205" t="s">
        <v>426</v>
      </c>
    </row>
    <row r="41" spans="2:77" x14ac:dyDescent="0.2">
      <c r="AP41" s="202" t="s">
        <v>422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424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425</v>
      </c>
      <c r="AQ43" s="282">
        <f t="shared" si="1"/>
        <v>0</v>
      </c>
      <c r="AR43" s="282">
        <f t="shared" si="1"/>
        <v>0</v>
      </c>
      <c r="AS43" s="282">
        <f t="shared" si="1"/>
        <v>27180.660725538582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445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475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574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575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517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567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549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515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518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544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536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>
        <f t="shared" si="1"/>
        <v>27180.660725538582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522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548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543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540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>
        <f t="shared" si="2"/>
        <v>27180.660725538582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546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545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530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564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>
        <f t="shared" si="2"/>
        <v>27180.660725538582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531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533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532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629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>
        <f t="shared" si="2"/>
        <v>0</v>
      </c>
      <c r="BE66" s="282">
        <f t="shared" si="2"/>
        <v>0</v>
      </c>
    </row>
    <row r="67" spans="42:64" ht="16" x14ac:dyDescent="0.2">
      <c r="AP67" s="251" t="s">
        <v>528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>
        <f t="shared" si="2"/>
        <v>-265.33787327335835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527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529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668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6.1564271489094446E-3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671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>
        <f t="shared" si="2"/>
        <v>6.1564271489094446E-3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6.1564271489094437E-3</v>
      </c>
    </row>
    <row r="72" spans="42:64" x14ac:dyDescent="0.2">
      <c r="AP72" s="204" t="s">
        <v>552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553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554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565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390" t="s">
        <v>580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58"/>
      <c r="AQ80" s="205" t="s">
        <v>414</v>
      </c>
      <c r="AR80" s="205" t="s">
        <v>415</v>
      </c>
      <c r="AS80" s="205" t="s">
        <v>416</v>
      </c>
      <c r="AT80" s="205" t="s">
        <v>563</v>
      </c>
      <c r="AU80" s="205" t="s">
        <v>542</v>
      </c>
      <c r="AV80" s="205" t="s">
        <v>541</v>
      </c>
      <c r="AW80" s="205" t="s">
        <v>441</v>
      </c>
      <c r="AX80" s="205" t="s">
        <v>438</v>
      </c>
      <c r="AY80" s="205" t="s">
        <v>456</v>
      </c>
      <c r="AZ80" s="205" t="s">
        <v>439</v>
      </c>
      <c r="BA80" s="205" t="s">
        <v>434</v>
      </c>
      <c r="BB80" s="205" t="s">
        <v>667</v>
      </c>
      <c r="BC80" s="205" t="s">
        <v>670</v>
      </c>
      <c r="BD80" s="205" t="s">
        <v>81</v>
      </c>
      <c r="BE80" s="205" t="s">
        <v>426</v>
      </c>
      <c r="BJ80" s="205"/>
      <c r="BK80" s="205" t="s">
        <v>420</v>
      </c>
      <c r="BL80" s="205" t="s">
        <v>356</v>
      </c>
    </row>
    <row r="81" spans="32:70" x14ac:dyDescent="0.2">
      <c r="AF81" s="202"/>
      <c r="AG81" s="202"/>
      <c r="AP81" s="202" t="s">
        <v>422</v>
      </c>
      <c r="AQ81" s="228">
        <f>'Ore-&gt;PI'!O52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422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424</v>
      </c>
      <c r="AQ82" s="228"/>
      <c r="AR82" s="228">
        <f>'Ore-&gt;PI'!O132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424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425</v>
      </c>
      <c r="AQ83" s="228"/>
      <c r="AR83" s="228"/>
      <c r="AS83" s="228">
        <f>'Ore-&gt;PI'!O217</f>
        <v>27180.660725538582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>
        <f t="shared" ref="BF83:BF115" si="4">SUM(AQ83:BE83)</f>
        <v>27180.660725538582</v>
      </c>
      <c r="BJ83" s="202" t="s">
        <v>425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445</v>
      </c>
      <c r="AQ84" s="228">
        <f>'Ore-&gt;PI'!O78</f>
        <v>0</v>
      </c>
      <c r="AR84" s="228">
        <f>'Ore-&gt;PI'!O169</f>
        <v>0</v>
      </c>
      <c r="AS84" s="228">
        <f>'Ore-&gt;PI'!O242</f>
        <v>0</v>
      </c>
      <c r="AT84" s="228"/>
      <c r="AU84" s="228"/>
      <c r="AV84" s="228"/>
      <c r="AW84" s="228"/>
      <c r="AX84" s="228"/>
      <c r="AY84" s="228"/>
      <c r="AZ84" s="228">
        <f>'Ore-&gt;PI'!BU146</f>
        <v>0</v>
      </c>
      <c r="BA84" s="228">
        <f>'Ore-&gt;PI'!BU248</f>
        <v>0</v>
      </c>
      <c r="BB84" s="228"/>
      <c r="BC84" s="228"/>
      <c r="BD84" s="228"/>
      <c r="BE84" s="241">
        <f>'Ore-&gt;PI'!EF146</f>
        <v>0</v>
      </c>
      <c r="BF84" s="250">
        <f t="shared" si="4"/>
        <v>0</v>
      </c>
      <c r="BJ84" s="202" t="s">
        <v>445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475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'Ore-&gt;PI'!BU157</f>
        <v>1.604276E-2</v>
      </c>
      <c r="BA85" s="228">
        <f>'Ore-&gt;PI'!BU259</f>
        <v>1.604276E-2</v>
      </c>
      <c r="BB85" s="228"/>
      <c r="BC85" s="228"/>
      <c r="BD85" s="228"/>
      <c r="BE85" s="228">
        <f>'Ore-&gt;PI'!EF119</f>
        <v>1.604276E-2</v>
      </c>
      <c r="BF85" s="250">
        <f t="shared" si="4"/>
        <v>4.8128279999999996E-2</v>
      </c>
      <c r="BJ85" s="202" t="s">
        <v>475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574</v>
      </c>
      <c r="AQ86" s="228">
        <f>'Ore-&gt;PI'!O64</f>
        <v>42600</v>
      </c>
      <c r="AR86" s="228">
        <f>'Ore-&gt;PI'!O145</f>
        <v>42600</v>
      </c>
      <c r="AS86" s="228">
        <f>'Ore-&gt;PI'!O227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574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575</v>
      </c>
      <c r="AQ87" s="228"/>
      <c r="AR87" s="228">
        <f>'Ore-&gt;PI'!O156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575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517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'Ore-&gt;PI'!EF106</f>
        <v>39500</v>
      </c>
      <c r="BF88" s="250">
        <f t="shared" si="4"/>
        <v>39500</v>
      </c>
      <c r="BJ88" s="202" t="s">
        <v>517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567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567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549</v>
      </c>
      <c r="AQ90" s="228"/>
      <c r="AR90" s="228"/>
      <c r="AS90" s="228"/>
      <c r="AT90" s="228">
        <f>'Ore-&gt;PI'!AH52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549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515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515</v>
      </c>
      <c r="BK91" s="242"/>
      <c r="BL91" s="242">
        <f>'Ore-&gt;PI'!AH70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518</v>
      </c>
      <c r="AQ92" s="228"/>
      <c r="AR92" s="228"/>
      <c r="AS92" s="228"/>
      <c r="AT92" s="228"/>
      <c r="AU92" s="228">
        <f>'Ore-&gt;PI'!AI132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518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544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544</v>
      </c>
      <c r="BK93" s="242"/>
      <c r="BL93" s="242">
        <f>'Ore-&gt;PI'!AI149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536</v>
      </c>
      <c r="AQ94" s="228"/>
      <c r="AR94" s="228"/>
      <c r="AS94" s="228"/>
      <c r="AT94" s="228"/>
      <c r="AU94" s="228"/>
      <c r="AV94" s="228">
        <f>'Ore-&gt;PI'!AI217</f>
        <v>27180.660725538582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>
        <f t="shared" si="4"/>
        <v>27180.660725538582</v>
      </c>
      <c r="BJ94" s="204" t="s">
        <v>536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522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522</v>
      </c>
      <c r="BK95" s="242"/>
      <c r="BL95" s="242">
        <f>'Ore-&gt;PI'!AI234</f>
        <v>-2880.2113818884714</v>
      </c>
      <c r="BM95" s="250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548</v>
      </c>
      <c r="AQ96" s="228"/>
      <c r="AR96" s="228"/>
      <c r="AS96" s="228"/>
      <c r="AT96" s="228"/>
      <c r="AU96" s="228"/>
      <c r="AV96" s="228"/>
      <c r="AW96" s="228">
        <f>'Ore-&gt;PI'!BA52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548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543</v>
      </c>
      <c r="AQ97" s="228"/>
      <c r="AR97" s="228"/>
      <c r="AS97" s="228"/>
      <c r="AT97" s="228"/>
      <c r="AU97" s="228"/>
      <c r="AV97" s="228"/>
      <c r="AW97" s="228"/>
      <c r="AX97" s="228">
        <f>'Ore-&gt;PI'!BB132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543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540</v>
      </c>
      <c r="AQ98" s="228"/>
      <c r="AR98" s="228"/>
      <c r="AS98" s="228"/>
      <c r="AT98" s="228"/>
      <c r="AU98" s="228"/>
      <c r="AV98" s="228"/>
      <c r="AW98" s="228"/>
      <c r="AX98" s="228"/>
      <c r="AY98" s="228">
        <f>'Ore-&gt;PI'!BB217</f>
        <v>27180.660725538582</v>
      </c>
      <c r="AZ98" s="228"/>
      <c r="BA98" s="228"/>
      <c r="BB98" s="228"/>
      <c r="BC98" s="228"/>
      <c r="BD98" s="228"/>
      <c r="BE98" s="228"/>
      <c r="BF98" s="250">
        <f t="shared" si="4"/>
        <v>27180.660725538582</v>
      </c>
      <c r="BJ98" s="203" t="s">
        <v>540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546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'Ore-&gt;PI'!BT48</f>
        <v>-6350.2001773318216</v>
      </c>
      <c r="BE99" s="228"/>
      <c r="BF99" s="250">
        <f t="shared" si="4"/>
        <v>-6350.2001773318216</v>
      </c>
      <c r="BJ99" s="203" t="s">
        <v>546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545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545</v>
      </c>
      <c r="BK100" s="242"/>
      <c r="BL100" s="242">
        <f>'Ore-&gt;PI'!BT63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530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530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564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'Ore-&gt;PI'!BU217</f>
        <v>27180.660725538582</v>
      </c>
      <c r="BB102" s="228"/>
      <c r="BC102" s="228"/>
      <c r="BD102" s="228"/>
      <c r="BE102" s="228"/>
      <c r="BF102" s="250">
        <f t="shared" si="4"/>
        <v>27180.660725538582</v>
      </c>
      <c r="BJ102" s="204" t="s">
        <v>564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531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'Ore-&gt;PI'!CP131</f>
        <v>-11321.85158370395</v>
      </c>
      <c r="BE103" s="228"/>
      <c r="BF103" s="250">
        <f t="shared" si="4"/>
        <v>-11321.85158370395</v>
      </c>
      <c r="BJ103" s="204" t="s">
        <v>531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533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533</v>
      </c>
      <c r="BK104" s="242"/>
      <c r="BL104" s="242">
        <f>'Ore-&gt;PI'!CP119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532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532</v>
      </c>
      <c r="BK105" s="242"/>
      <c r="BL105" s="242">
        <f>'Ore-&gt;PI'!CP145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629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'Ore-&gt;PI'!CP211</f>
        <v>0</v>
      </c>
      <c r="BE106" s="228"/>
      <c r="BF106" s="250">
        <f t="shared" si="4"/>
        <v>0</v>
      </c>
      <c r="BJ106" s="204" t="s">
        <v>629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528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'Ore-&gt;PI'!CP243</f>
        <v>-265.33787327335835</v>
      </c>
      <c r="BC107" s="228"/>
      <c r="BD107" s="228"/>
      <c r="BE107" s="228"/>
      <c r="BF107" s="250">
        <f t="shared" si="4"/>
        <v>-265.33787327335835</v>
      </c>
      <c r="BJ107" s="251" t="s">
        <v>528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527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527</v>
      </c>
      <c r="BK108" s="242"/>
      <c r="BL108" s="242">
        <f>'Ore-&gt;PI'!CP227</f>
        <v>-14896.000495082701</v>
      </c>
      <c r="BM108" s="250">
        <f t="shared" si="5"/>
        <v>-14896.000495082701</v>
      </c>
    </row>
    <row r="109" spans="32:65" x14ac:dyDescent="0.2">
      <c r="AF109" s="204"/>
      <c r="AG109" s="204"/>
      <c r="AP109" s="202" t="s">
        <v>529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529</v>
      </c>
      <c r="BK109" s="242"/>
      <c r="BL109" s="242">
        <f>'Ore-&gt;PI'!CP257</f>
        <v>-3164.4942013988057</v>
      </c>
      <c r="BM109" s="250">
        <f t="shared" si="5"/>
        <v>-3164.4942013988057</v>
      </c>
    </row>
    <row r="110" spans="32:65" x14ac:dyDescent="0.2">
      <c r="AF110" s="204"/>
      <c r="AG110" s="204"/>
      <c r="AP110" s="204" t="s">
        <v>668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'Ore-&gt;PI'!DJ241</f>
        <v>6.1564271489094446E-3</v>
      </c>
      <c r="BD110" s="228"/>
      <c r="BE110" s="241"/>
      <c r="BF110" s="250">
        <f t="shared" si="4"/>
        <v>6.1564271489094446E-3</v>
      </c>
      <c r="BJ110" s="204" t="s">
        <v>668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671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'Ore-&gt;PI'!BU233</f>
        <v>6.1564271489094446E-3</v>
      </c>
      <c r="BB111" s="228"/>
      <c r="BC111" s="228"/>
      <c r="BD111" s="228"/>
      <c r="BE111" s="241">
        <f>'Ore-&gt;PI'!EF160</f>
        <v>6.1564271489094437E-3</v>
      </c>
      <c r="BF111" s="250">
        <f t="shared" si="4"/>
        <v>1.2312854297818889E-2</v>
      </c>
      <c r="BJ111" s="204" t="s">
        <v>671</v>
      </c>
      <c r="BK111" s="242">
        <f>'Ore-&gt;PI'!EZ241</f>
        <v>6.1564271489094446E-3</v>
      </c>
      <c r="BL111" s="242"/>
      <c r="BM111" s="250">
        <f t="shared" si="5"/>
        <v>6.1564271489094446E-3</v>
      </c>
    </row>
    <row r="112" spans="32:65" x14ac:dyDescent="0.2">
      <c r="AF112" s="204"/>
      <c r="AG112" s="204"/>
      <c r="AP112" s="204" t="s">
        <v>552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'Ore-&gt;PI'!EF134</f>
        <v>-5807.700525901595</v>
      </c>
      <c r="BF112" s="250">
        <f t="shared" si="4"/>
        <v>-5807.700525901595</v>
      </c>
      <c r="BJ112" s="204" t="s">
        <v>552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553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553</v>
      </c>
      <c r="BK113" s="242">
        <f>'Ore-&gt;PI'!FF131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554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554</v>
      </c>
      <c r="BK114" s="242"/>
      <c r="BL114" s="242">
        <f>'Ore-&gt;PI'!FF148</f>
        <v>-3928.1295638135666</v>
      </c>
      <c r="BM114" s="250">
        <f t="shared" si="5"/>
        <v>-3928.1295638135666</v>
      </c>
    </row>
    <row r="115" spans="2:65" x14ac:dyDescent="0.2">
      <c r="AF115" s="204"/>
      <c r="AG115" s="204"/>
      <c r="AP115" s="204" t="s">
        <v>565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565</v>
      </c>
      <c r="BK115" s="242"/>
      <c r="BL115" s="242">
        <f>'Ore-&gt;PI'!FF109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390" t="s">
        <v>417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467</v>
      </c>
      <c r="BK116" s="390" t="s">
        <v>419</v>
      </c>
      <c r="BL116" s="390"/>
      <c r="BM116" s="25" t="s">
        <v>482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>
        <f>SUM(AS81:AS115)</f>
        <v>69780.66072553859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>
        <f t="shared" si="6"/>
        <v>27180.660725538582</v>
      </c>
      <c r="AW117" s="250">
        <f t="shared" si="6"/>
        <v>-6442.5099571670216</v>
      </c>
      <c r="AX117" s="250">
        <f t="shared" si="6"/>
        <v>-12112.03618380849</v>
      </c>
      <c r="AY117" s="250">
        <f t="shared" si="6"/>
        <v>27180.660725538582</v>
      </c>
      <c r="AZ117" s="250">
        <f t="shared" si="6"/>
        <v>-12112.02014104849</v>
      </c>
      <c r="BA117" s="250">
        <f t="shared" si="6"/>
        <v>27180.68292472573</v>
      </c>
      <c r="BB117" s="250">
        <f t="shared" si="6"/>
        <v>-265.33787327335835</v>
      </c>
      <c r="BC117" s="250">
        <f t="shared" si="6"/>
        <v>6.1564271489094446E-3</v>
      </c>
      <c r="BD117" s="250">
        <f t="shared" si="6"/>
        <v>-17672.051761035771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0" t="s">
        <v>466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38"/>
      <c r="C119" s="205" t="s">
        <v>422</v>
      </c>
      <c r="D119" s="205" t="s">
        <v>424</v>
      </c>
      <c r="E119" s="205" t="s">
        <v>425</v>
      </c>
      <c r="F119" s="205" t="s">
        <v>445</v>
      </c>
      <c r="G119" s="205" t="s">
        <v>475</v>
      </c>
      <c r="H119" s="205" t="s">
        <v>513</v>
      </c>
      <c r="I119" s="205" t="s">
        <v>574</v>
      </c>
      <c r="J119" s="205" t="s">
        <v>575</v>
      </c>
      <c r="K119" s="205" t="s">
        <v>567</v>
      </c>
      <c r="L119" s="207" t="s">
        <v>549</v>
      </c>
      <c r="M119" s="205" t="s">
        <v>515</v>
      </c>
      <c r="N119" s="207" t="s">
        <v>518</v>
      </c>
      <c r="O119" s="205" t="s">
        <v>544</v>
      </c>
      <c r="P119" s="208" t="s">
        <v>536</v>
      </c>
      <c r="Q119" s="205" t="s">
        <v>522</v>
      </c>
      <c r="R119" s="207" t="s">
        <v>548</v>
      </c>
      <c r="S119" s="207" t="s">
        <v>543</v>
      </c>
      <c r="T119" s="207" t="s">
        <v>540</v>
      </c>
      <c r="U119" s="207" t="s">
        <v>546</v>
      </c>
      <c r="V119" s="208" t="s">
        <v>545</v>
      </c>
      <c r="W119" s="208" t="s">
        <v>530</v>
      </c>
      <c r="X119" s="208" t="s">
        <v>564</v>
      </c>
      <c r="Y119" s="208" t="s">
        <v>531</v>
      </c>
      <c r="Z119" s="208" t="s">
        <v>533</v>
      </c>
      <c r="AA119" s="208" t="s">
        <v>532</v>
      </c>
      <c r="AB119" s="208" t="s">
        <v>629</v>
      </c>
      <c r="AC119" s="230" t="s">
        <v>528</v>
      </c>
      <c r="AD119" s="208" t="s">
        <v>527</v>
      </c>
      <c r="AE119" s="205" t="s">
        <v>529</v>
      </c>
      <c r="AF119" s="208" t="s">
        <v>668</v>
      </c>
      <c r="AG119" s="208" t="s">
        <v>671</v>
      </c>
      <c r="AH119" s="208" t="s">
        <v>552</v>
      </c>
      <c r="AI119" s="208" t="s">
        <v>553</v>
      </c>
      <c r="AJ119" s="208" t="s">
        <v>554</v>
      </c>
      <c r="AK119" s="208" t="s">
        <v>565</v>
      </c>
    </row>
    <row r="120" spans="2:65" x14ac:dyDescent="0.2">
      <c r="B120" s="202" t="s">
        <v>414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'Ore-&gt;PI'!AH52</f>
        <v>-6442.5099571670216</v>
      </c>
      <c r="M120" s="228">
        <f>'Ore-&gt;PI'!AH70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415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'Ore-&gt;PI'!AI132</f>
        <v>-12112.03618380849</v>
      </c>
      <c r="O121" s="228">
        <f>'Ore-&gt;PI'!AI149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416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>
        <f>'Ore-&gt;PI'!AI217</f>
        <v>27180.660725538582</v>
      </c>
      <c r="Q122" s="228">
        <f>'Ore-&gt;PI'!AI234</f>
        <v>-2880.2113818884714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563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'Ore-&gt;PI'!BA52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542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'Ore-&gt;PI'!BB132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541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>
        <f>'Ore-&gt;PI'!BB217</f>
        <v>27180.660725538582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441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'Ore-&gt;PI'!BT48</f>
        <v>-6350.2001773318216</v>
      </c>
      <c r="V126" s="228">
        <f>'Ore-&gt;PI'!BT63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438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'Ore-&gt;PI'!BU132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>
        <f>'Ore-&gt;PI'!BU217</f>
        <v>27180.660725538582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439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'Ore-&gt;PI'!CP131</f>
        <v>-11321.85158370395</v>
      </c>
      <c r="Z129" s="228">
        <f>'Ore-&gt;PI'!CP119</f>
        <v>-14926.410019749705</v>
      </c>
      <c r="AA129" s="228">
        <f>'Ore-&gt;PI'!CP145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434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>
        <f>'Ore-&gt;PI'!CP211</f>
        <v>0</v>
      </c>
      <c r="AC130" s="228">
        <f>'Ore-&gt;PI'!CP243</f>
        <v>-265.33787327335835</v>
      </c>
      <c r="AD130" s="228">
        <f>'Ore-&gt;PI'!CP227</f>
        <v>-14896.000495082701</v>
      </c>
      <c r="AE130" s="228">
        <f>'Ore-&gt;PI'!CP257</f>
        <v>-3164.4942013988057</v>
      </c>
      <c r="AF130" s="228"/>
      <c r="AG130" s="228"/>
      <c r="AH130" s="228"/>
      <c r="AI130" s="228"/>
      <c r="AJ130" s="228"/>
      <c r="AK130" s="228"/>
      <c r="AL130" s="250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667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'Ore-&gt;PI'!DJ241</f>
        <v>6.1564271489094446E-3</v>
      </c>
      <c r="AG131" s="228"/>
      <c r="AH131" s="228"/>
      <c r="AI131" s="228"/>
      <c r="AJ131" s="228"/>
      <c r="AK131" s="228"/>
      <c r="AL131" s="250">
        <f t="shared" si="7"/>
        <v>6.1564271489094446E-3</v>
      </c>
    </row>
    <row r="132" spans="2:64" x14ac:dyDescent="0.2">
      <c r="B132" s="202" t="s">
        <v>670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'Ore-&gt;PI'!$EE$241</f>
        <v>6.1564271489094446E-3</v>
      </c>
      <c r="AH132" s="228"/>
      <c r="AI132" s="228"/>
      <c r="AJ132" s="228"/>
      <c r="AK132" s="228"/>
      <c r="AL132" s="250">
        <f t="shared" si="7"/>
        <v>6.1564271489094446E-3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'Ore-&gt;PI'!EF134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426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'Ore-&gt;PI'!FF131</f>
        <v>0</v>
      </c>
      <c r="AJ134" s="228">
        <f>'Ore-&gt;PI'!FF148</f>
        <v>-3928.1295638135666</v>
      </c>
      <c r="AK134" s="228">
        <f>'Ore-&gt;PI'!FF109</f>
        <v>-771.42466062394067</v>
      </c>
      <c r="AL134" s="250">
        <f t="shared" si="7"/>
        <v>-4699.5542244375074</v>
      </c>
    </row>
    <row r="135" spans="2:64" x14ac:dyDescent="0.2">
      <c r="B135" s="202"/>
      <c r="C135" s="390" t="s">
        <v>418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463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>
        <f t="shared" si="8"/>
        <v>27180.660725538582</v>
      </c>
      <c r="Q136" s="250">
        <f t="shared" si="8"/>
        <v>-2880.2113818884714</v>
      </c>
      <c r="R136" s="250">
        <f t="shared" si="8"/>
        <v>-6442.5099571670216</v>
      </c>
      <c r="S136" s="250">
        <f t="shared" si="8"/>
        <v>-12112.03618380849</v>
      </c>
      <c r="T136" s="250">
        <f t="shared" si="8"/>
        <v>27180.660725538582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>
        <f t="shared" si="8"/>
        <v>27180.660725538582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>
        <f t="shared" si="8"/>
        <v>0</v>
      </c>
      <c r="AC136" s="250">
        <f t="shared" si="8"/>
        <v>-265.33787327335835</v>
      </c>
      <c r="AD136" s="250">
        <f t="shared" si="8"/>
        <v>-14896.000495082701</v>
      </c>
      <c r="AE136" s="250">
        <f t="shared" si="8"/>
        <v>-3164.4942013988057</v>
      </c>
      <c r="AF136" s="250">
        <f t="shared" si="8"/>
        <v>6.1564271489094446E-3</v>
      </c>
      <c r="AG136" s="250">
        <f t="shared" si="8"/>
        <v>6.1564271489094446E-3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-3928.1295638135666</v>
      </c>
      <c r="AK136" s="250">
        <f t="shared" si="8"/>
        <v>-771.42466062394067</v>
      </c>
    </row>
    <row r="137" spans="2:64" x14ac:dyDescent="0.2">
      <c r="B137" s="202"/>
      <c r="C137" s="390" t="s">
        <v>464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422</v>
      </c>
      <c r="D148" s="205" t="s">
        <v>424</v>
      </c>
      <c r="E148" s="205" t="s">
        <v>425</v>
      </c>
      <c r="F148" s="205" t="s">
        <v>445</v>
      </c>
      <c r="G148" s="205" t="s">
        <v>475</v>
      </c>
      <c r="H148" s="205" t="s">
        <v>513</v>
      </c>
      <c r="I148" s="205" t="s">
        <v>574</v>
      </c>
      <c r="J148" s="205" t="s">
        <v>575</v>
      </c>
      <c r="K148" s="205" t="s">
        <v>567</v>
      </c>
      <c r="L148" s="207" t="s">
        <v>549</v>
      </c>
      <c r="M148" s="205" t="s">
        <v>515</v>
      </c>
      <c r="N148" s="207" t="s">
        <v>518</v>
      </c>
      <c r="O148" s="205" t="s">
        <v>544</v>
      </c>
      <c r="P148" s="208" t="s">
        <v>536</v>
      </c>
      <c r="Q148" s="205" t="s">
        <v>522</v>
      </c>
      <c r="R148" s="207" t="s">
        <v>548</v>
      </c>
      <c r="S148" s="207" t="s">
        <v>543</v>
      </c>
      <c r="T148" s="207" t="s">
        <v>540</v>
      </c>
      <c r="U148" s="207" t="s">
        <v>546</v>
      </c>
      <c r="V148" s="208" t="s">
        <v>545</v>
      </c>
      <c r="W148" s="208" t="s">
        <v>530</v>
      </c>
      <c r="X148" s="208" t="s">
        <v>564</v>
      </c>
      <c r="Y148" s="208" t="s">
        <v>531</v>
      </c>
      <c r="Z148" s="208" t="s">
        <v>533</v>
      </c>
      <c r="AA148" s="208" t="s">
        <v>532</v>
      </c>
      <c r="AB148" s="208" t="s">
        <v>629</v>
      </c>
      <c r="AC148" s="230" t="s">
        <v>528</v>
      </c>
      <c r="AD148" s="208" t="s">
        <v>527</v>
      </c>
      <c r="AE148" s="205" t="s">
        <v>529</v>
      </c>
      <c r="AF148" s="208" t="s">
        <v>668</v>
      </c>
      <c r="AG148" s="208" t="s">
        <v>671</v>
      </c>
      <c r="AH148" s="208" t="s">
        <v>552</v>
      </c>
      <c r="AI148" s="208" t="s">
        <v>553</v>
      </c>
      <c r="AJ148" s="208" t="s">
        <v>554</v>
      </c>
      <c r="AK148" s="208" t="s">
        <v>565</v>
      </c>
      <c r="AL148" s="208"/>
      <c r="AM148" s="208"/>
    </row>
    <row r="149" spans="2:43" x14ac:dyDescent="0.2">
      <c r="B149" s="202" t="s">
        <v>421</v>
      </c>
      <c r="C149" s="242">
        <f>'Ore-&gt;PI'!O52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423</v>
      </c>
      <c r="C150" s="242"/>
      <c r="D150" s="242">
        <f>'Ore-&gt;PI'!O132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446</v>
      </c>
      <c r="C151" s="242"/>
      <c r="D151" s="242"/>
      <c r="E151" s="242">
        <f>'Ore-&gt;PI'!O217</f>
        <v>27180.660725538582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481</v>
      </c>
      <c r="C152" s="242"/>
      <c r="D152" s="242"/>
      <c r="E152" s="242"/>
      <c r="F152" s="248">
        <f>'Ore-&gt;PI'!O242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474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577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576</v>
      </c>
      <c r="C155" s="242"/>
      <c r="D155" s="242"/>
      <c r="E155" s="242"/>
      <c r="F155" s="242"/>
      <c r="G155" s="242"/>
      <c r="H155" s="242"/>
      <c r="I155" s="242">
        <f>'Ore-&gt;PI'!O156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516</v>
      </c>
      <c r="C156" s="242"/>
      <c r="D156" s="242"/>
      <c r="E156" s="242"/>
      <c r="F156" s="242"/>
      <c r="G156" s="242"/>
      <c r="H156" s="242"/>
      <c r="I156" s="242"/>
      <c r="J156" s="242">
        <f>'Ore-&gt;PI'!EF106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566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>
        <f t="shared" si="9"/>
        <v>27180.660725538582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390" t="s">
        <v>465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665</v>
      </c>
      <c r="D164" s="390"/>
      <c r="E164" s="390"/>
      <c r="F164" s="390"/>
      <c r="G164" s="390"/>
      <c r="H164" s="390"/>
      <c r="I164" s="390"/>
      <c r="J164" s="390"/>
      <c r="K164" s="390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422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424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425</v>
      </c>
      <c r="C169" s="250">
        <v>27180.660725538582</v>
      </c>
      <c r="E169" s="250">
        <v>0</v>
      </c>
      <c r="G169" s="250">
        <f t="shared" si="10"/>
        <v>27180.660725538582</v>
      </c>
      <c r="I169" s="250">
        <v>0</v>
      </c>
      <c r="K169" s="297">
        <f t="shared" si="11"/>
        <v>0</v>
      </c>
    </row>
    <row r="170" spans="2:22" x14ac:dyDescent="0.2">
      <c r="B170" s="202" t="s">
        <v>445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475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672</v>
      </c>
    </row>
    <row r="172" spans="2:22" x14ac:dyDescent="0.2">
      <c r="B172" s="202" t="s">
        <v>513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672</v>
      </c>
    </row>
    <row r="173" spans="2:22" x14ac:dyDescent="0.2">
      <c r="B173" s="202" t="s">
        <v>514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517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567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549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515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518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544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536</v>
      </c>
      <c r="C180" s="250">
        <v>0</v>
      </c>
      <c r="D180" s="257" t="s">
        <v>469</v>
      </c>
      <c r="E180" s="250">
        <v>27180.660725538582</v>
      </c>
      <c r="F180" s="169" t="s">
        <v>471</v>
      </c>
      <c r="G180" s="250">
        <f t="shared" si="10"/>
        <v>27180.660725538582</v>
      </c>
      <c r="H180" s="169" t="s">
        <v>471</v>
      </c>
      <c r="I180" s="250">
        <v>0</v>
      </c>
      <c r="J180" s="257" t="s">
        <v>472</v>
      </c>
      <c r="K180" s="297">
        <f t="shared" si="11"/>
        <v>0</v>
      </c>
    </row>
    <row r="181" spans="2:18" x14ac:dyDescent="0.2">
      <c r="B181" s="202" t="s">
        <v>522</v>
      </c>
      <c r="C181" s="250">
        <v>0</v>
      </c>
      <c r="E181" s="250">
        <v>-2880.2113818884714</v>
      </c>
      <c r="G181" s="250">
        <f t="shared" si="10"/>
        <v>0</v>
      </c>
      <c r="I181" s="250">
        <v>-2880.2113818884714</v>
      </c>
      <c r="K181" s="297">
        <f t="shared" si="11"/>
        <v>0</v>
      </c>
    </row>
    <row r="182" spans="2:18" ht="16" x14ac:dyDescent="0.2">
      <c r="B182" s="203" t="s">
        <v>548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543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540</v>
      </c>
      <c r="C184" s="250">
        <v>0</v>
      </c>
      <c r="E184" s="250">
        <v>27180.660725538582</v>
      </c>
      <c r="G184" s="250">
        <f t="shared" si="10"/>
        <v>27180.660725538582</v>
      </c>
      <c r="I184" s="250">
        <v>0</v>
      </c>
      <c r="K184" s="297">
        <f t="shared" si="11"/>
        <v>0</v>
      </c>
    </row>
    <row r="185" spans="2:18" ht="16" x14ac:dyDescent="0.2">
      <c r="B185" s="203" t="s">
        <v>546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545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530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564</v>
      </c>
      <c r="C188" s="250">
        <v>0</v>
      </c>
      <c r="E188" s="250">
        <v>27180.660725538582</v>
      </c>
      <c r="G188" s="250">
        <f t="shared" si="10"/>
        <v>27180.660725538582</v>
      </c>
      <c r="I188" s="250">
        <v>0</v>
      </c>
      <c r="K188" s="297">
        <f t="shared" si="11"/>
        <v>0</v>
      </c>
      <c r="N188" s="25"/>
      <c r="P188" s="25"/>
      <c r="Q188" s="25"/>
      <c r="R188" s="25"/>
    </row>
    <row r="189" spans="2:18" x14ac:dyDescent="0.2">
      <c r="B189" s="204" t="s">
        <v>531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533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532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629</v>
      </c>
      <c r="C192" s="250">
        <v>0</v>
      </c>
      <c r="E192" s="250">
        <v>0</v>
      </c>
      <c r="G192" s="250">
        <f t="shared" si="10"/>
        <v>0</v>
      </c>
      <c r="I192" s="250">
        <v>0</v>
      </c>
      <c r="K192" s="297">
        <f t="shared" si="11"/>
        <v>0</v>
      </c>
    </row>
    <row r="193" spans="2:19" ht="16" x14ac:dyDescent="0.2">
      <c r="B193" s="251" t="s">
        <v>528</v>
      </c>
      <c r="C193" s="250">
        <v>0</v>
      </c>
      <c r="E193" s="250">
        <v>-265.33787327335835</v>
      </c>
      <c r="G193" s="250">
        <f t="shared" si="10"/>
        <v>-265.33787327335835</v>
      </c>
      <c r="I193" s="250">
        <v>0</v>
      </c>
      <c r="K193" s="297">
        <f t="shared" si="11"/>
        <v>0</v>
      </c>
    </row>
    <row r="194" spans="2:19" x14ac:dyDescent="0.2">
      <c r="B194" s="204" t="s">
        <v>527</v>
      </c>
      <c r="C194" s="250">
        <v>0</v>
      </c>
      <c r="E194" s="250">
        <v>-14896.000495082701</v>
      </c>
      <c r="G194" s="250">
        <f t="shared" si="10"/>
        <v>0</v>
      </c>
      <c r="I194" s="250">
        <v>-14896.000495082701</v>
      </c>
      <c r="K194" s="297">
        <f t="shared" si="11"/>
        <v>0</v>
      </c>
      <c r="L194" s="25"/>
    </row>
    <row r="195" spans="2:19" x14ac:dyDescent="0.2">
      <c r="B195" s="202" t="s">
        <v>529</v>
      </c>
      <c r="C195" s="250">
        <v>0</v>
      </c>
      <c r="E195" s="250">
        <v>-3164.4942013988057</v>
      </c>
      <c r="G195" s="250">
        <f t="shared" si="10"/>
        <v>0</v>
      </c>
      <c r="I195" s="250">
        <v>-3164.4942013988057</v>
      </c>
      <c r="K195" s="297">
        <f t="shared" si="11"/>
        <v>0</v>
      </c>
    </row>
    <row r="196" spans="2:19" x14ac:dyDescent="0.2">
      <c r="B196" s="204" t="s">
        <v>668</v>
      </c>
      <c r="C196" s="250">
        <v>0</v>
      </c>
      <c r="E196" s="250">
        <v>6.1564271489094446E-3</v>
      </c>
      <c r="G196" s="250">
        <f t="shared" si="10"/>
        <v>6.1564271489094446E-3</v>
      </c>
      <c r="I196" s="250">
        <v>0</v>
      </c>
      <c r="K196" s="297">
        <f t="shared" si="11"/>
        <v>0</v>
      </c>
    </row>
    <row r="197" spans="2:19" x14ac:dyDescent="0.2">
      <c r="B197" s="204" t="s">
        <v>671</v>
      </c>
      <c r="C197" s="250">
        <v>0</v>
      </c>
      <c r="E197" s="250">
        <v>6.1564271489094446E-3</v>
      </c>
      <c r="G197" s="250">
        <f t="shared" si="10"/>
        <v>1.2312854297818889E-2</v>
      </c>
      <c r="I197" s="250">
        <v>6.1564271489094446E-3</v>
      </c>
      <c r="K197" s="297" t="s">
        <v>672</v>
      </c>
    </row>
    <row r="198" spans="2:19" x14ac:dyDescent="0.2">
      <c r="B198" s="204" t="s">
        <v>552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553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554</v>
      </c>
      <c r="C200" s="250">
        <v>0</v>
      </c>
      <c r="E200" s="250">
        <v>-3928.1295638135666</v>
      </c>
      <c r="G200" s="250">
        <f t="shared" si="10"/>
        <v>0</v>
      </c>
      <c r="I200" s="250">
        <v>-3928.1295638135666</v>
      </c>
      <c r="K200" s="297">
        <f t="shared" si="11"/>
        <v>0</v>
      </c>
    </row>
    <row r="201" spans="2:19" x14ac:dyDescent="0.2">
      <c r="B201" s="204" t="s">
        <v>565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468</v>
      </c>
      <c r="E202" s="3" t="s">
        <v>470</v>
      </c>
      <c r="G202" s="25" t="s">
        <v>467</v>
      </c>
      <c r="I202" s="25" t="s">
        <v>39</v>
      </c>
      <c r="K202" s="25">
        <f>SUM(K167:K201)</f>
        <v>0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414</v>
      </c>
      <c r="C209" s="303">
        <v>0</v>
      </c>
      <c r="N209" s="243"/>
      <c r="O209" s="243"/>
    </row>
    <row r="210" spans="2:15" x14ac:dyDescent="0.2">
      <c r="B210" s="302" t="s">
        <v>415</v>
      </c>
      <c r="C210" s="303">
        <v>0</v>
      </c>
    </row>
    <row r="211" spans="2:15" x14ac:dyDescent="0.2">
      <c r="B211" s="302" t="s">
        <v>416</v>
      </c>
      <c r="C211" s="303">
        <f>'Ore-&gt;PI'!AA195</f>
        <v>77449.427901236573</v>
      </c>
    </row>
    <row r="212" spans="2:15" x14ac:dyDescent="0.2">
      <c r="B212" s="302" t="s">
        <v>563</v>
      </c>
      <c r="C212" s="303">
        <f>'Ore-&gt;PI'!AS28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542</v>
      </c>
      <c r="C213" s="303">
        <f>'Ore-&gt;PI'!AS113</f>
        <v>2824.8856477449194</v>
      </c>
    </row>
    <row r="214" spans="2:15" x14ac:dyDescent="0.2">
      <c r="B214" s="302" t="s">
        <v>541</v>
      </c>
      <c r="C214" s="303">
        <f>'Ore-&gt;PI'!AS190</f>
        <v>160253.43323591491</v>
      </c>
    </row>
    <row r="215" spans="2:15" x14ac:dyDescent="0.2">
      <c r="B215" s="302" t="s">
        <v>441</v>
      </c>
      <c r="C215" s="303">
        <f>'Ore-&gt;PI'!BL35</f>
        <v>12479.249680000003</v>
      </c>
    </row>
    <row r="216" spans="2:15" x14ac:dyDescent="0.2">
      <c r="B216" s="302" t="s">
        <v>438</v>
      </c>
      <c r="C216" s="303">
        <f>'Ore-&gt;PI'!BK116</f>
        <v>34.678095164114971</v>
      </c>
    </row>
    <row r="217" spans="2:15" x14ac:dyDescent="0.2">
      <c r="B217" s="302" t="s">
        <v>456</v>
      </c>
      <c r="C217" s="303">
        <f>'Ore-&gt;PI'!BK195</f>
        <v>28604.157765782104</v>
      </c>
    </row>
    <row r="218" spans="2:15" x14ac:dyDescent="0.2">
      <c r="B218" s="302" t="s">
        <v>439</v>
      </c>
      <c r="C218" s="303">
        <v>0</v>
      </c>
    </row>
    <row r="219" spans="2:15" x14ac:dyDescent="0.2">
      <c r="B219" s="302" t="s">
        <v>434</v>
      </c>
      <c r="C219" s="303">
        <v>0</v>
      </c>
    </row>
    <row r="220" spans="2:15" x14ac:dyDescent="0.2">
      <c r="B220" s="202" t="s">
        <v>667</v>
      </c>
      <c r="C220" s="303">
        <f>'Ore-&gt;PI'!DB229</f>
        <v>50099.526545856235</v>
      </c>
    </row>
    <row r="221" spans="2:15" x14ac:dyDescent="0.2">
      <c r="B221" s="202" t="s">
        <v>670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426</v>
      </c>
      <c r="C223" s="305">
        <f>'Ore-&gt;PI'!ES117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0" t="s">
        <v>419</v>
      </c>
      <c r="AD50" s="390"/>
      <c r="AE50" s="390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390" t="s">
        <v>417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390" t="s">
        <v>418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432</v>
      </c>
      <c r="C88" s="206"/>
      <c r="D88" s="206"/>
      <c r="E88" s="206"/>
      <c r="F88" s="206"/>
      <c r="G88" s="206"/>
    </row>
    <row r="89" spans="2:7" x14ac:dyDescent="0.2">
      <c r="B89" s="202" t="s">
        <v>433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4"/>
    </row>
    <row r="3" spans="2:22" x14ac:dyDescent="0.2">
      <c r="B3" s="3"/>
      <c r="C3" s="3"/>
      <c r="D3" s="393" t="s">
        <v>82</v>
      </c>
      <c r="E3" s="393"/>
      <c r="F3" s="393"/>
      <c r="G3" s="393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398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395" t="s">
        <v>355</v>
      </c>
      <c r="S4" s="395"/>
      <c r="T4" s="395"/>
      <c r="U4" s="395"/>
      <c r="V4" s="164"/>
    </row>
    <row r="5" spans="2:22" ht="14.5" customHeight="1" x14ac:dyDescent="0.2">
      <c r="B5" s="398"/>
      <c r="C5" s="145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395"/>
      <c r="S5" s="395"/>
      <c r="T5" s="395"/>
      <c r="U5" s="395"/>
      <c r="V5" s="164"/>
    </row>
    <row r="6" spans="2:22" x14ac:dyDescent="0.2">
      <c r="B6" s="398"/>
      <c r="C6" s="147" t="s">
        <v>634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395"/>
      <c r="S6" s="395"/>
      <c r="T6" s="395"/>
      <c r="U6" s="395"/>
      <c r="V6" s="164"/>
    </row>
    <row r="7" spans="2:22" ht="16" thickBot="1" x14ac:dyDescent="0.25">
      <c r="B7" s="398"/>
      <c r="C7" s="146" t="s">
        <v>406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396"/>
      <c r="S7" s="396"/>
      <c r="T7" s="396"/>
      <c r="U7" s="396"/>
      <c r="V7" s="164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395" t="s">
        <v>354</v>
      </c>
      <c r="Q8" s="411"/>
      <c r="R8" s="413" t="s">
        <v>341</v>
      </c>
      <c r="S8" s="414"/>
      <c r="T8" s="399" t="s">
        <v>406</v>
      </c>
      <c r="U8" s="400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395"/>
      <c r="Q9" s="411"/>
      <c r="R9" s="415"/>
      <c r="S9" s="416"/>
      <c r="T9" s="401"/>
      <c r="U9" s="402"/>
      <c r="V9" s="164"/>
    </row>
    <row r="10" spans="2:22" x14ac:dyDescent="0.2">
      <c r="L10" s="3"/>
      <c r="M10" s="3"/>
      <c r="O10" s="164"/>
      <c r="P10" s="395"/>
      <c r="Q10" s="411"/>
      <c r="R10" s="415"/>
      <c r="S10" s="416"/>
      <c r="T10" s="401"/>
      <c r="U10" s="402"/>
      <c r="V10" s="164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4"/>
      <c r="P11" s="395"/>
      <c r="Q11" s="411"/>
      <c r="R11" s="415"/>
      <c r="S11" s="416"/>
      <c r="T11" s="401"/>
      <c r="U11" s="402"/>
      <c r="V11" s="164"/>
    </row>
    <row r="12" spans="2:22" x14ac:dyDescent="0.2">
      <c r="B12" s="3"/>
      <c r="C12" s="3"/>
      <c r="D12" s="393" t="s">
        <v>82</v>
      </c>
      <c r="E12" s="393"/>
      <c r="F12" s="393"/>
      <c r="G12" s="393"/>
      <c r="H12" s="393"/>
      <c r="L12" s="3"/>
      <c r="M12" s="3"/>
      <c r="O12" s="164"/>
      <c r="P12" s="412" t="s">
        <v>405</v>
      </c>
      <c r="Q12" s="411"/>
      <c r="R12" s="407" t="s">
        <v>316</v>
      </c>
      <c r="S12" s="408"/>
      <c r="T12" s="403" t="s">
        <v>634</v>
      </c>
      <c r="U12" s="404"/>
      <c r="V12" s="164"/>
    </row>
    <row r="13" spans="2:22" ht="14.5" customHeight="1" x14ac:dyDescent="0.2">
      <c r="B13" s="397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395"/>
      <c r="Q13" s="411"/>
      <c r="R13" s="407"/>
      <c r="S13" s="408"/>
      <c r="T13" s="403"/>
      <c r="U13" s="404"/>
      <c r="V13" s="164"/>
    </row>
    <row r="14" spans="2:22" x14ac:dyDescent="0.2">
      <c r="B14" s="397"/>
      <c r="C14" s="145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395"/>
      <c r="Q14" s="411"/>
      <c r="R14" s="407"/>
      <c r="S14" s="408"/>
      <c r="T14" s="403"/>
      <c r="U14" s="404"/>
      <c r="V14" s="164"/>
    </row>
    <row r="15" spans="2:22" ht="16" thickBot="1" x14ac:dyDescent="0.25">
      <c r="B15" s="397"/>
      <c r="C15" s="147" t="s">
        <v>634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395"/>
      <c r="Q15" s="411"/>
      <c r="R15" s="409"/>
      <c r="S15" s="410"/>
      <c r="T15" s="405"/>
      <c r="U15" s="406"/>
      <c r="V15" s="164"/>
    </row>
    <row r="16" spans="2:22" x14ac:dyDescent="0.2">
      <c r="B16" s="397"/>
      <c r="C16" s="146" t="s">
        <v>406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393" t="s">
        <v>82</v>
      </c>
      <c r="E20" s="393"/>
      <c r="F20" s="393"/>
      <c r="G20" s="393"/>
      <c r="K20" s="3"/>
      <c r="L20" s="3"/>
    </row>
    <row r="21" spans="2:13" x14ac:dyDescent="0.2">
      <c r="B21" s="394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378</v>
      </c>
      <c r="I21" s="3"/>
      <c r="K21" s="3"/>
      <c r="L21" s="3"/>
    </row>
    <row r="22" spans="2:13" x14ac:dyDescent="0.2">
      <c r="B22" s="394"/>
      <c r="C22" s="145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394"/>
      <c r="C23" s="147" t="s">
        <v>634</v>
      </c>
      <c r="D23" s="3">
        <f>Rational_MEROI_Coal</f>
        <v>113.02497570495387</v>
      </c>
      <c r="E23" s="3">
        <f>Rational_CoalExtraction</f>
        <v>0.98878157674342848</v>
      </c>
      <c r="F23" s="3">
        <f>Rational_CoalHauling</f>
        <v>0.98202222166069097</v>
      </c>
      <c r="G23" s="3">
        <f>Rational_Cokeoven</f>
        <v>1.2140142164545837</v>
      </c>
      <c r="I23" s="3"/>
      <c r="K23" s="3"/>
      <c r="L23" s="3"/>
    </row>
    <row r="24" spans="2:13" x14ac:dyDescent="0.2">
      <c r="B24" s="394"/>
      <c r="C24" s="146" t="s">
        <v>406</v>
      </c>
      <c r="D24" s="163">
        <f>Resource_MEROI_Coal</f>
        <v>112.98778938876482</v>
      </c>
      <c r="E24" s="3">
        <f>Resource_CoalExtraction</f>
        <v>0.98839130078384352</v>
      </c>
      <c r="F24" s="3">
        <f>Resource_CoalHauling</f>
        <v>0.9816991267994748</v>
      </c>
      <c r="G24" s="3">
        <f>Resource_CokeBeneficiation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2" t="s">
        <v>402</v>
      </c>
      <c r="D30" s="193" t="s">
        <v>81</v>
      </c>
      <c r="E30" s="193" t="s">
        <v>352</v>
      </c>
    </row>
    <row r="31" spans="2:13" x14ac:dyDescent="0.2">
      <c r="B31" s="392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392"/>
      <c r="C32" s="147" t="s">
        <v>634</v>
      </c>
      <c r="D32" s="3">
        <f>Rational_mixer</f>
        <v>0.99300939590335358</v>
      </c>
      <c r="E32" s="3">
        <f>Rational_BF</f>
        <v>0.33030596672893314</v>
      </c>
    </row>
    <row r="33" spans="2:5" x14ac:dyDescent="0.2">
      <c r="B33" s="392"/>
      <c r="C33" s="146" t="s">
        <v>406</v>
      </c>
      <c r="D33" s="3">
        <f>Resource_Mixer</f>
        <v>1.0717776463170951E-2</v>
      </c>
      <c r="E33" s="3">
        <f>Resource_BF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633</v>
      </c>
    </row>
    <row r="38" spans="2:5" ht="18" x14ac:dyDescent="0.25">
      <c r="B38" s="296" t="s">
        <v>632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444</v>
      </c>
      <c r="M3" s="390"/>
      <c r="N3" s="390"/>
      <c r="P3"/>
      <c r="T3" s="169" t="s">
        <v>443</v>
      </c>
    </row>
    <row r="4" spans="3:20" ht="16" thickBot="1" x14ac:dyDescent="0.25">
      <c r="E4" s="393" t="s">
        <v>11</v>
      </c>
      <c r="F4" s="393"/>
      <c r="G4" s="393"/>
      <c r="H4"/>
      <c r="I4"/>
      <c r="L4" s="393" t="s">
        <v>48</v>
      </c>
      <c r="M4" s="393"/>
      <c r="N4" s="393"/>
      <c r="P4"/>
      <c r="T4" s="3" t="s">
        <v>48</v>
      </c>
    </row>
    <row r="5" spans="3:20" ht="14.5" customHeight="1" thickBot="1" x14ac:dyDescent="0.25">
      <c r="C5" s="398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1053441151.3704872</v>
      </c>
    </row>
    <row r="6" spans="3:20" x14ac:dyDescent="0.2">
      <c r="C6" s="398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8"/>
      <c r="D7" s="153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444</v>
      </c>
      <c r="M9" s="390"/>
      <c r="N9" s="390"/>
      <c r="O9" s="390"/>
    </row>
    <row r="10" spans="3:20" x14ac:dyDescent="0.2">
      <c r="E10" s="417" t="s">
        <v>356</v>
      </c>
      <c r="F10" s="417"/>
      <c r="L10" s="393" t="s">
        <v>48</v>
      </c>
      <c r="M10" s="393"/>
      <c r="N10" s="393"/>
      <c r="O10" s="393"/>
    </row>
    <row r="11" spans="3:20" x14ac:dyDescent="0.2">
      <c r="E11" s="393" t="s">
        <v>11</v>
      </c>
      <c r="F11" s="393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397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397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7"/>
      <c r="D14" s="153" t="s">
        <v>23</v>
      </c>
      <c r="E14" s="3" t="s">
        <v>98</v>
      </c>
      <c r="F14" s="3">
        <f>Kiln_H2OWaste</f>
        <v>46711.101435505501</v>
      </c>
      <c r="L14" s="390" t="s">
        <v>444</v>
      </c>
      <c r="M14" s="390"/>
      <c r="N14" s="390"/>
    </row>
    <row r="15" spans="3:20" x14ac:dyDescent="0.2">
      <c r="C15" s="397"/>
      <c r="D15" s="3" t="s">
        <v>19</v>
      </c>
      <c r="E15" s="17">
        <f>SUM(E13:E14)</f>
        <v>0</v>
      </c>
      <c r="F15" s="17">
        <f>SUM(F13:F14)</f>
        <v>46716.086188050598</v>
      </c>
      <c r="L15" s="393" t="s">
        <v>48</v>
      </c>
      <c r="M15" s="393"/>
      <c r="N15" s="393"/>
    </row>
    <row r="16" spans="3:20" x14ac:dyDescent="0.2">
      <c r="L16" s="154" t="s">
        <v>189</v>
      </c>
      <c r="M16" s="154" t="s">
        <v>176</v>
      </c>
      <c r="N16" s="154" t="s">
        <v>378</v>
      </c>
    </row>
    <row r="17" spans="3:16" x14ac:dyDescent="0.2">
      <c r="K17" s="225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390" t="s">
        <v>444</v>
      </c>
      <c r="M19" s="390"/>
    </row>
    <row r="20" spans="3:16" x14ac:dyDescent="0.2">
      <c r="C20" s="394" t="s">
        <v>353</v>
      </c>
      <c r="E20" s="154" t="s">
        <v>350</v>
      </c>
      <c r="L20" s="393" t="s">
        <v>48</v>
      </c>
      <c r="M20" s="393"/>
    </row>
    <row r="21" spans="3:16" ht="14.5" customHeight="1" x14ac:dyDescent="0.2">
      <c r="C21" s="394"/>
      <c r="D21" s="153" t="s">
        <v>357</v>
      </c>
      <c r="E21" s="3">
        <f>Beneficiation_CoalWaste</f>
        <v>18.493734420766422</v>
      </c>
      <c r="L21" s="193" t="s">
        <v>81</v>
      </c>
      <c r="M21" s="193" t="s">
        <v>352</v>
      </c>
      <c r="P21"/>
    </row>
    <row r="22" spans="3:16" ht="17" customHeight="1" x14ac:dyDescent="0.25">
      <c r="C22" s="394"/>
      <c r="D22" s="153" t="s">
        <v>23</v>
      </c>
      <c r="E22" s="3" t="s">
        <v>98</v>
      </c>
      <c r="K22" s="222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4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25" t="s">
        <v>75</v>
      </c>
      <c r="M3" s="325"/>
      <c r="N3" s="7"/>
      <c r="AN3" s="419" t="s">
        <v>78</v>
      </c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</row>
    <row r="4" spans="3:69" ht="17" x14ac:dyDescent="0.25">
      <c r="C4" s="13" t="s">
        <v>11</v>
      </c>
      <c r="D4" s="13" t="s">
        <v>76</v>
      </c>
      <c r="E4" s="13"/>
      <c r="F4" s="13"/>
      <c r="AN4" s="419"/>
      <c r="AO4" s="419"/>
      <c r="AP4" s="419"/>
      <c r="AQ4" s="419"/>
      <c r="AR4" s="419"/>
      <c r="AS4" s="419"/>
      <c r="AT4" s="419"/>
      <c r="AU4" s="419"/>
      <c r="AV4" s="419"/>
      <c r="AW4" s="419"/>
      <c r="AX4" s="419"/>
      <c r="AY4" s="419"/>
      <c r="AZ4" s="419"/>
      <c r="BA4" s="419"/>
      <c r="BB4" s="419"/>
      <c r="BC4" s="419"/>
      <c r="BD4" s="419"/>
      <c r="BE4" s="419"/>
      <c r="BF4" s="419"/>
      <c r="BG4" s="419"/>
      <c r="BH4" s="419"/>
      <c r="BI4" s="419"/>
      <c r="BJ4" s="419"/>
      <c r="BK4" s="41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19"/>
      <c r="AO5" s="419"/>
      <c r="AP5" s="419"/>
      <c r="AQ5" s="419"/>
      <c r="AR5" s="419"/>
      <c r="AS5" s="419"/>
      <c r="AT5" s="419"/>
      <c r="AU5" s="419"/>
      <c r="AV5" s="419"/>
      <c r="AW5" s="419"/>
      <c r="AX5" s="419"/>
      <c r="AY5" s="419"/>
      <c r="AZ5" s="419"/>
      <c r="BA5" s="419"/>
      <c r="BB5" s="419"/>
      <c r="BC5" s="419"/>
      <c r="BD5" s="419"/>
      <c r="BE5" s="419"/>
      <c r="BF5" s="419"/>
      <c r="BG5" s="419"/>
      <c r="BH5" s="419"/>
      <c r="BI5" s="419"/>
      <c r="BJ5" s="419"/>
      <c r="BK5" s="41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8">
        <v>6</v>
      </c>
      <c r="BJ10" s="418"/>
      <c r="BK10" s="418"/>
      <c r="BL10" s="418"/>
      <c r="BM10" s="418"/>
      <c r="BN10" s="418"/>
      <c r="BO10" s="418"/>
      <c r="BP10" s="418"/>
      <c r="BQ10" s="41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8"/>
      <c r="BJ11" s="418"/>
      <c r="BK11" s="418"/>
      <c r="BL11" s="418"/>
      <c r="BM11" s="418"/>
      <c r="BN11" s="418"/>
      <c r="BO11" s="418"/>
      <c r="BP11" s="418"/>
      <c r="BQ11" s="41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0" t="s">
        <v>112</v>
      </c>
    </row>
    <row r="18" spans="3:87" ht="18.5" customHeight="1" x14ac:dyDescent="0.25">
      <c r="BI18" s="420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0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4">
        <v>1</v>
      </c>
      <c r="D28" s="424"/>
      <c r="E28" s="424"/>
      <c r="F28" s="424"/>
      <c r="G28" s="424"/>
      <c r="H28" s="424"/>
      <c r="I28" s="424"/>
      <c r="J28" s="424"/>
      <c r="K28" s="424"/>
      <c r="L28" s="424"/>
      <c r="M28" s="424"/>
      <c r="N28" s="424"/>
      <c r="O28" s="424"/>
      <c r="P28" s="1"/>
      <c r="Q28" s="1"/>
      <c r="R28" s="1"/>
      <c r="S28" s="1"/>
      <c r="T28" s="1"/>
      <c r="U28" s="1"/>
      <c r="V28" s="1"/>
      <c r="W28" s="423">
        <v>3</v>
      </c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4">
        <v>4</v>
      </c>
      <c r="AU28" s="424"/>
      <c r="AV28" s="424"/>
      <c r="AW28" s="424"/>
      <c r="AX28" s="424"/>
      <c r="AY28" s="424"/>
      <c r="AZ28" s="424"/>
      <c r="BA28" s="424"/>
      <c r="BB28" s="424"/>
      <c r="BC28" s="424"/>
      <c r="BD28" s="424"/>
      <c r="BE28" s="424"/>
      <c r="BF28" s="424"/>
      <c r="BG28" s="424"/>
      <c r="BH28" s="424"/>
      <c r="BI28" s="424"/>
      <c r="BT28" s="424">
        <v>5</v>
      </c>
      <c r="BU28" s="424"/>
      <c r="BV28" s="424"/>
      <c r="BW28" s="424"/>
      <c r="BX28" s="424"/>
      <c r="BY28" s="424"/>
      <c r="BZ28" s="424"/>
      <c r="CA28" s="424"/>
      <c r="CB28" s="424"/>
      <c r="CC28" s="424"/>
      <c r="CD28" s="424"/>
      <c r="CE28" s="424"/>
      <c r="CF28" s="424"/>
      <c r="CG28" s="424"/>
      <c r="CH28" s="424"/>
      <c r="CI28" s="42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2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2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1" t="s">
        <v>80</v>
      </c>
      <c r="AK37" s="421"/>
      <c r="AL37" s="421"/>
      <c r="AM37" s="421"/>
      <c r="AN37" s="421"/>
      <c r="AO37" s="42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1" t="s">
        <v>81</v>
      </c>
      <c r="S38" s="421"/>
      <c r="T38" s="421"/>
      <c r="U38" s="42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1"/>
      <c r="AK38" s="421"/>
      <c r="AL38" s="421"/>
      <c r="AM38" s="421"/>
      <c r="AN38" s="421"/>
      <c r="AO38" s="42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1" t="s">
        <v>97</v>
      </c>
      <c r="BM38" s="421"/>
      <c r="BN38" s="421"/>
      <c r="BO38" s="42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1"/>
      <c r="S39" s="421"/>
      <c r="T39" s="421"/>
      <c r="U39" s="42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1"/>
      <c r="AK39" s="421"/>
      <c r="AL39" s="421"/>
      <c r="AM39" s="421"/>
      <c r="AN39" s="421"/>
      <c r="AO39" s="421"/>
      <c r="AP39" s="51"/>
      <c r="AQ39" s="51"/>
      <c r="AR39" s="1"/>
      <c r="AS39" s="1"/>
      <c r="AT39" s="1"/>
      <c r="AU39" s="1"/>
      <c r="AV39" s="1"/>
      <c r="AW39" s="1"/>
      <c r="AX39" s="1"/>
      <c r="BL39" s="421"/>
      <c r="BM39" s="421"/>
      <c r="BN39" s="421"/>
      <c r="BO39" s="42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1"/>
      <c r="S40" s="421"/>
      <c r="T40" s="421"/>
      <c r="U40" s="42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1"/>
      <c r="AK40" s="421"/>
      <c r="AL40" s="421"/>
      <c r="AM40" s="421"/>
      <c r="AN40" s="421"/>
      <c r="AO40" s="421"/>
      <c r="AP40" s="51"/>
      <c r="AQ40" s="51"/>
      <c r="AR40" s="1"/>
      <c r="AS40" s="56"/>
      <c r="AT40" s="1"/>
      <c r="AU40" s="1"/>
      <c r="AV40" s="1"/>
      <c r="AW40" s="1"/>
      <c r="AX40" s="1"/>
      <c r="BL40" s="421"/>
      <c r="BM40" s="421"/>
      <c r="BN40" s="421"/>
      <c r="BO40" s="421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1"/>
      <c r="AK41" s="421"/>
      <c r="AL41" s="421"/>
      <c r="AM41" s="421"/>
      <c r="AN41" s="421"/>
      <c r="AO41" s="421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46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1"/>
      <c r="AK42" s="421"/>
      <c r="AL42" s="421"/>
      <c r="AM42" s="421"/>
      <c r="AN42" s="421"/>
      <c r="AO42" s="421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4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3">
        <v>2</v>
      </c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28" zoomScale="161" workbookViewId="0">
      <selection activeCell="I52" sqref="I52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09" t="s">
        <v>317</v>
      </c>
      <c r="E4" s="309"/>
      <c r="F4" s="309"/>
      <c r="G4" s="309"/>
      <c r="H4" s="164"/>
      <c r="I4" s="164"/>
      <c r="P4" s="164"/>
      <c r="Q4" s="164"/>
      <c r="R4" s="164"/>
      <c r="S4" s="395" t="s">
        <v>355</v>
      </c>
      <c r="T4" s="395"/>
      <c r="U4" s="395"/>
      <c r="V4" s="395"/>
      <c r="W4" s="164"/>
    </row>
    <row r="5" spans="1:23" x14ac:dyDescent="0.2">
      <c r="A5" s="164"/>
      <c r="B5" s="166"/>
      <c r="C5" s="166"/>
      <c r="D5" s="393" t="s">
        <v>82</v>
      </c>
      <c r="E5" s="393"/>
      <c r="F5" s="393"/>
      <c r="G5" s="393"/>
      <c r="H5" s="164"/>
      <c r="I5" s="164"/>
      <c r="P5" s="164"/>
      <c r="Q5" s="164"/>
      <c r="R5" s="164"/>
      <c r="S5" s="395"/>
      <c r="T5" s="395"/>
      <c r="U5" s="395"/>
      <c r="V5" s="395"/>
      <c r="W5" s="164"/>
    </row>
    <row r="6" spans="1:23" ht="15" customHeight="1" x14ac:dyDescent="0.2">
      <c r="A6" s="164"/>
      <c r="B6" s="398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395"/>
      <c r="T6" s="395"/>
      <c r="U6" s="395"/>
      <c r="V6" s="395"/>
      <c r="W6" s="164"/>
    </row>
    <row r="7" spans="1:23" ht="16" thickBot="1" x14ac:dyDescent="0.25">
      <c r="A7" s="164"/>
      <c r="B7" s="398"/>
      <c r="C7" s="145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396"/>
      <c r="T7" s="396"/>
      <c r="U7" s="396"/>
      <c r="V7" s="396"/>
      <c r="W7" s="164"/>
    </row>
    <row r="8" spans="1:23" x14ac:dyDescent="0.2">
      <c r="A8" s="164"/>
      <c r="B8" s="398"/>
      <c r="C8" s="147" t="s">
        <v>342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395" t="s">
        <v>354</v>
      </c>
      <c r="R8" s="411"/>
      <c r="S8" s="413" t="s">
        <v>341</v>
      </c>
      <c r="T8" s="414"/>
      <c r="U8" s="399" t="s">
        <v>406</v>
      </c>
      <c r="V8" s="400"/>
      <c r="W8" s="164"/>
    </row>
    <row r="9" spans="1:23" x14ac:dyDescent="0.2">
      <c r="A9" s="164"/>
      <c r="B9" s="398"/>
      <c r="C9" s="146" t="s">
        <v>406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395"/>
      <c r="R9" s="411"/>
      <c r="S9" s="415"/>
      <c r="T9" s="416"/>
      <c r="U9" s="401"/>
      <c r="V9" s="402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395"/>
      <c r="R10" s="411"/>
      <c r="S10" s="415"/>
      <c r="T10" s="416"/>
      <c r="U10" s="401"/>
      <c r="V10" s="402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395"/>
      <c r="R11" s="411"/>
      <c r="S11" s="415"/>
      <c r="T11" s="416"/>
      <c r="U11" s="401"/>
      <c r="V11" s="402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26" t="s">
        <v>405</v>
      </c>
      <c r="R12" s="411"/>
      <c r="S12" s="407" t="s">
        <v>316</v>
      </c>
      <c r="T12" s="408"/>
      <c r="U12" s="403" t="s">
        <v>342</v>
      </c>
      <c r="V12" s="404"/>
      <c r="W12" s="164"/>
    </row>
    <row r="13" spans="1:23" x14ac:dyDescent="0.2">
      <c r="A13" s="164"/>
      <c r="B13" s="166"/>
      <c r="C13" s="166"/>
      <c r="D13" s="309" t="s">
        <v>317</v>
      </c>
      <c r="E13" s="309"/>
      <c r="F13" s="309"/>
      <c r="G13" s="309"/>
      <c r="H13" s="309"/>
      <c r="I13" s="164"/>
      <c r="P13" s="164"/>
      <c r="Q13" s="395"/>
      <c r="R13" s="411"/>
      <c r="S13" s="407"/>
      <c r="T13" s="408"/>
      <c r="U13" s="403"/>
      <c r="V13" s="404"/>
      <c r="W13" s="164"/>
    </row>
    <row r="14" spans="1:23" ht="15" customHeight="1" x14ac:dyDescent="0.2">
      <c r="A14" s="164"/>
      <c r="B14" s="166"/>
      <c r="C14" s="166"/>
      <c r="D14" s="393" t="s">
        <v>82</v>
      </c>
      <c r="E14" s="393"/>
      <c r="F14" s="393"/>
      <c r="G14" s="393"/>
      <c r="H14" s="393"/>
      <c r="I14" s="164"/>
      <c r="P14" s="164"/>
      <c r="Q14" s="395"/>
      <c r="R14" s="411"/>
      <c r="S14" s="407"/>
      <c r="T14" s="408"/>
      <c r="U14" s="403"/>
      <c r="V14" s="404"/>
      <c r="W14" s="164"/>
    </row>
    <row r="15" spans="1:23" ht="16" thickBot="1" x14ac:dyDescent="0.25">
      <c r="A15" s="164"/>
      <c r="B15" s="397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395"/>
      <c r="R15" s="411"/>
      <c r="S15" s="409"/>
      <c r="T15" s="410"/>
      <c r="U15" s="405"/>
      <c r="V15" s="406"/>
      <c r="W15" s="164"/>
    </row>
    <row r="16" spans="1:23" x14ac:dyDescent="0.2">
      <c r="A16" s="164"/>
      <c r="B16" s="397"/>
      <c r="C16" s="145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397"/>
      <c r="C17" s="147" t="s">
        <v>342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397"/>
      <c r="C18" s="146" t="s">
        <v>406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447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09" t="s">
        <v>317</v>
      </c>
      <c r="E21" s="309"/>
      <c r="F21" s="309"/>
      <c r="G21" s="309"/>
      <c r="H21" s="164"/>
      <c r="I21" s="164"/>
    </row>
    <row r="22" spans="1:12" ht="15" customHeight="1" x14ac:dyDescent="0.2">
      <c r="A22" s="164"/>
      <c r="B22" s="166"/>
      <c r="C22" s="166"/>
      <c r="D22" s="393" t="s">
        <v>82</v>
      </c>
      <c r="E22" s="393"/>
      <c r="F22" s="393"/>
      <c r="G22" s="393"/>
      <c r="H22" s="164"/>
      <c r="I22" s="164"/>
    </row>
    <row r="23" spans="1:12" x14ac:dyDescent="0.2">
      <c r="A23" s="164"/>
      <c r="B23" s="394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378</v>
      </c>
      <c r="H23" s="164"/>
      <c r="I23" s="164"/>
    </row>
    <row r="24" spans="1:12" x14ac:dyDescent="0.2">
      <c r="A24" s="164"/>
      <c r="B24" s="394"/>
      <c r="C24" s="145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394"/>
      <c r="C25" s="147" t="s">
        <v>342</v>
      </c>
      <c r="D25" s="3">
        <f>Rational_MEROI_Coal</f>
        <v>113.02497570495387</v>
      </c>
      <c r="E25" s="3">
        <f>Rational_CoalExtraction</f>
        <v>0.98878157674342848</v>
      </c>
      <c r="F25" s="3">
        <f>Rational_CoalHauling</f>
        <v>0.98202222166069097</v>
      </c>
      <c r="G25" s="3">
        <f>Rational_Cokeoven</f>
        <v>1.2140142164545837</v>
      </c>
      <c r="H25" s="164"/>
      <c r="I25" s="164"/>
    </row>
    <row r="26" spans="1:12" x14ac:dyDescent="0.2">
      <c r="A26" s="164"/>
      <c r="B26" s="394"/>
      <c r="C26" s="146" t="s">
        <v>406</v>
      </c>
      <c r="D26" s="163">
        <f>Resource_MEROI_Coal</f>
        <v>112.98778938876482</v>
      </c>
      <c r="E26" s="3">
        <f>Resource_CoalExtraction</f>
        <v>0.98839130078384352</v>
      </c>
      <c r="F26" s="3">
        <f>Resource_CoalHauling</f>
        <v>0.9816991267994748</v>
      </c>
      <c r="G26" s="3">
        <f>Resource_CokeBeneficiation</f>
        <v>0.64499412077538865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392" t="s">
        <v>402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392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392"/>
      <c r="C34" s="147" t="s">
        <v>342</v>
      </c>
      <c r="D34" s="3">
        <f>Rational_mixer</f>
        <v>0.99300939590335358</v>
      </c>
      <c r="E34" s="3">
        <f>Rational_BF</f>
        <v>0.33030596672893314</v>
      </c>
      <c r="F34" s="164"/>
      <c r="G34" s="164"/>
      <c r="H34" s="164"/>
      <c r="I34" s="164"/>
    </row>
    <row r="35" spans="1:9" x14ac:dyDescent="0.2">
      <c r="A35" s="164"/>
      <c r="B35" s="392"/>
      <c r="C35" s="146" t="s">
        <v>406</v>
      </c>
      <c r="D35" s="3">
        <f>Resource_Mixer</f>
        <v>1.0717776463170951E-2</v>
      </c>
      <c r="E35" s="3">
        <f>Resource_BF</f>
        <v>0.2948122246878026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50" spans="2:5" ht="18" x14ac:dyDescent="0.25">
      <c r="C50" s="296" t="s">
        <v>673</v>
      </c>
      <c r="D50" s="296" t="s">
        <v>674</v>
      </c>
      <c r="E50" s="296" t="s">
        <v>675</v>
      </c>
    </row>
    <row r="51" spans="2:5" x14ac:dyDescent="0.2">
      <c r="B51" s="202" t="s">
        <v>414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2" t="s">
        <v>415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2" t="s">
        <v>416</v>
      </c>
      <c r="C53" s="3">
        <f>Bejan_CoalExtraction</f>
        <v>0</v>
      </c>
      <c r="D53" s="3">
        <f>Rational_CoalExtraction</f>
        <v>0.98878157674342848</v>
      </c>
      <c r="E53" s="3">
        <f>Resource_CoalExtraction</f>
        <v>0.98839130078384352</v>
      </c>
    </row>
    <row r="54" spans="2:5" x14ac:dyDescent="0.2">
      <c r="B54" s="202" t="s">
        <v>563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542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541</v>
      </c>
      <c r="C56" s="3">
        <f>Bejan_CoalHauling</f>
        <v>0</v>
      </c>
      <c r="D56" s="3">
        <f>Rational_CoalHauling</f>
        <v>0.98202222166069097</v>
      </c>
      <c r="E56" s="3">
        <f>Resource_CoalHauling</f>
        <v>0.9816991267994748</v>
      </c>
    </row>
    <row r="57" spans="2:5" x14ac:dyDescent="0.2">
      <c r="B57" s="202" t="s">
        <v>441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438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456</v>
      </c>
      <c r="C59" s="3">
        <f>Bejan_CoalBeneficiation</f>
        <v>0</v>
      </c>
      <c r="D59" s="3">
        <f>Rational_Coalbeneficiation</f>
        <v>0.9967429853184</v>
      </c>
      <c r="E59" s="3">
        <f>Resource_Coalbeneficiation</f>
        <v>0.99641504718277929</v>
      </c>
    </row>
    <row r="60" spans="2:5" x14ac:dyDescent="0.2">
      <c r="B60" s="202" t="s">
        <v>439</v>
      </c>
      <c r="C60" s="3" t="s">
        <v>388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434</v>
      </c>
      <c r="C61" s="3" t="s">
        <v>388</v>
      </c>
      <c r="D61" s="3">
        <f>Rational_Cokeoven</f>
        <v>1.2140142164545837</v>
      </c>
      <c r="E61" s="3">
        <f>Resource_Cokeoven</f>
        <v>0.64499412077538865</v>
      </c>
    </row>
    <row r="62" spans="2:5" x14ac:dyDescent="0.2">
      <c r="B62" s="202" t="s">
        <v>667</v>
      </c>
      <c r="C62" s="3">
        <f>Bejan_COGtreatment</f>
        <v>0.32384219142951498</v>
      </c>
      <c r="D62" s="3">
        <f>Rational_COGtreatment</f>
        <v>0.99315856277211589</v>
      </c>
      <c r="E62" s="3">
        <f>Resource_COGtreatment</f>
        <v>0.22970156631938118</v>
      </c>
    </row>
    <row r="63" spans="2:5" x14ac:dyDescent="0.2">
      <c r="B63" s="202" t="s">
        <v>670</v>
      </c>
      <c r="C63" s="3" t="s">
        <v>388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388</v>
      </c>
      <c r="D64" s="3">
        <f>Rational_mixer</f>
        <v>0.99300939590335358</v>
      </c>
      <c r="E64" s="3">
        <f>Resource_Mixer</f>
        <v>1.0717776463170951E-2</v>
      </c>
    </row>
    <row r="65" spans="2:5" x14ac:dyDescent="0.2">
      <c r="B65" s="202" t="s">
        <v>426</v>
      </c>
      <c r="C65" s="3" t="s">
        <v>388</v>
      </c>
      <c r="D65" s="3">
        <f>Rational_BF</f>
        <v>0.33030596672893314</v>
      </c>
      <c r="E65" s="3">
        <f>Resource_BF</f>
        <v>0.2948122246878026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319</vt:i4>
      </vt:variant>
    </vt:vector>
  </HeadingPairs>
  <TitlesOfParts>
    <vt:vector size="332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2025-07-17T21:39:19Z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