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D778C687-C1C0-314E-8376-CB48B674F6FD}" xr6:coauthVersionLast="47" xr6:coauthVersionMax="47" xr10:uidLastSave="{00000000-0000-0000-0000-000000000000}"/>
  <bookViews>
    <workbookView xWindow="25940" yWindow="500" windowWidth="25140" windowHeight="27860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Constants!$V$15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Constants!$Q$19</definedName>
    <definedName name="NCV_dry_anthrocite">Constants!$R$15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3" i="3" l="1"/>
  <c r="D50" i="3"/>
  <c r="G50" i="3" s="1"/>
  <c r="E50" i="3"/>
  <c r="F50" i="3"/>
  <c r="H139" i="22" l="1"/>
  <c r="AI123" i="22"/>
  <c r="AJ123" i="22"/>
  <c r="AK124" i="22"/>
  <c r="AL124" i="22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O193" i="11"/>
  <c r="E194" i="11"/>
  <c r="E193" i="11"/>
  <c r="E192" i="11"/>
  <c r="E191" i="11"/>
  <c r="E190" i="11"/>
  <c r="E195" i="11" s="1"/>
  <c r="D190" i="11"/>
  <c r="CW199" i="11"/>
  <c r="E163" i="11"/>
  <c r="E166" i="11"/>
  <c r="FF147" i="9"/>
  <c r="M166" i="11"/>
  <c r="E49" i="3"/>
  <c r="FG147" i="9" s="1"/>
  <c r="EF133" i="9"/>
  <c r="ED159" i="9"/>
  <c r="EF159" i="9"/>
  <c r="EX240" i="9"/>
  <c r="EZ240" i="9"/>
  <c r="EE240" i="9"/>
  <c r="DJ240" i="9"/>
  <c r="EC240" i="9"/>
  <c r="DH240" i="9"/>
  <c r="DH237" i="9"/>
  <c r="AJ109" i="11"/>
  <c r="AJ106" i="11"/>
  <c r="AB109" i="11"/>
  <c r="AB106" i="11"/>
  <c r="AB91" i="11"/>
  <c r="P217" i="9"/>
  <c r="O217" i="9"/>
  <c r="M217" i="9"/>
  <c r="AJ217" i="9"/>
  <c r="AI217" i="9"/>
  <c r="AG217" i="9"/>
  <c r="AJ216" i="9"/>
  <c r="AI216" i="9"/>
  <c r="AG216" i="9"/>
  <c r="AJ215" i="9"/>
  <c r="AI215" i="9"/>
  <c r="AG215" i="9"/>
  <c r="AJ214" i="9"/>
  <c r="AI214" i="9"/>
  <c r="AG214" i="9"/>
  <c r="AJ213" i="9"/>
  <c r="AI213" i="9"/>
  <c r="AG213" i="9"/>
  <c r="AI212" i="9"/>
  <c r="AJ211" i="9"/>
  <c r="AI211" i="9"/>
  <c r="AG211" i="9"/>
  <c r="BC217" i="9"/>
  <c r="BB217" i="9"/>
  <c r="AZ217" i="9"/>
  <c r="O190" i="11"/>
  <c r="E199" i="11"/>
  <c r="CG204" i="11"/>
  <c r="AA80" i="11"/>
  <c r="AB76" i="11"/>
  <c r="AB75" i="11"/>
  <c r="CN280" i="9"/>
  <c r="CN279" i="9"/>
  <c r="CN278" i="9"/>
  <c r="CM272" i="9"/>
  <c r="CM273" i="9"/>
  <c r="CM274" i="9"/>
  <c r="CM275" i="9"/>
  <c r="CM276" i="9"/>
  <c r="CM277" i="9"/>
  <c r="CM271" i="9"/>
  <c r="D42" i="3"/>
  <c r="CN271" i="9" s="1"/>
  <c r="D89" i="11"/>
  <c r="D94" i="11" s="1"/>
  <c r="CL236" i="11"/>
  <c r="CV199" i="11" l="1"/>
  <c r="CQ281" i="9"/>
  <c r="CQ280" i="9"/>
  <c r="CQ279" i="9"/>
  <c r="CQ278" i="9"/>
  <c r="E48" i="3"/>
  <c r="E47" i="3"/>
  <c r="CQ276" i="9" s="1"/>
  <c r="E46" i="3"/>
  <c r="CQ275" i="9" s="1"/>
  <c r="E45" i="3"/>
  <c r="CQ274" i="9" s="1"/>
  <c r="E44" i="3"/>
  <c r="CQ273" i="9" s="1"/>
  <c r="E43" i="3"/>
  <c r="CQ272" i="9" s="1"/>
  <c r="E42" i="3"/>
  <c r="CQ271" i="9" s="1"/>
  <c r="BV217" i="9"/>
  <c r="BU217" i="9"/>
  <c r="BS217" i="9"/>
  <c r="CQ242" i="9"/>
  <c r="CP242" i="9"/>
  <c r="CP241" i="9"/>
  <c r="CP240" i="9"/>
  <c r="CP239" i="9"/>
  <c r="CN239" i="9"/>
  <c r="CN238" i="9"/>
  <c r="CQ228" i="9"/>
  <c r="CP228" i="9"/>
  <c r="CN228" i="9"/>
  <c r="CN222" i="9"/>
  <c r="E92" i="11"/>
  <c r="E91" i="11"/>
  <c r="E90" i="11"/>
  <c r="H98" i="11"/>
  <c r="H90" i="11"/>
  <c r="G90" i="11"/>
  <c r="D48" i="3"/>
  <c r="CN277" i="9" s="1"/>
  <c r="D47" i="3"/>
  <c r="CN276" i="9" s="1"/>
  <c r="D46" i="3"/>
  <c r="G46" i="3" s="1"/>
  <c r="D45" i="3"/>
  <c r="CN274" i="9" s="1"/>
  <c r="D44" i="3"/>
  <c r="CN273" i="9" s="1"/>
  <c r="D43" i="3"/>
  <c r="D107" i="11"/>
  <c r="G107" i="11"/>
  <c r="F114" i="11" s="1"/>
  <c r="CM278" i="9" s="1"/>
  <c r="L114" i="11"/>
  <c r="E29" i="3"/>
  <c r="G48" i="3" l="1"/>
  <c r="D109" i="11"/>
  <c r="D112" i="11"/>
  <c r="D113" i="11"/>
  <c r="CQ277" i="9"/>
  <c r="G47" i="3"/>
  <c r="G45" i="3"/>
  <c r="D110" i="11"/>
  <c r="D111" i="11"/>
  <c r="CN275" i="9"/>
  <c r="G43" i="3"/>
  <c r="CN272" i="9"/>
  <c r="F117" i="11"/>
  <c r="CM281" i="9" s="1"/>
  <c r="G44" i="3"/>
  <c r="D108" i="11"/>
  <c r="G42" i="3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G112" i="22"/>
  <c r="G199" i="22" s="1"/>
  <c r="BG111" i="22"/>
  <c r="G198" i="22" s="1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W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58" i="11" s="1"/>
  <c r="D19" i="3"/>
  <c r="D14" i="3"/>
  <c r="D13" i="3"/>
  <c r="G13" i="3" s="1"/>
  <c r="D11" i="3"/>
  <c r="D7" i="3"/>
  <c r="D5" i="3"/>
  <c r="E89" i="11" s="1"/>
  <c r="D10" i="3"/>
  <c r="D17" i="3"/>
  <c r="AG212" i="9" s="1"/>
  <c r="AG218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0" i="11" s="1"/>
  <c r="BR132" i="9"/>
  <c r="AY132" i="9"/>
  <c r="AF132" i="9"/>
  <c r="BC131" i="9"/>
  <c r="E27" i="3"/>
  <c r="AI48" i="9" s="1"/>
  <c r="C28" i="3"/>
  <c r="E28" i="3" s="1"/>
  <c r="P50" i="9" s="1"/>
  <c r="E26" i="3"/>
  <c r="E25" i="3"/>
  <c r="P213" i="9" s="1"/>
  <c r="E24" i="3"/>
  <c r="CQ222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DK240" i="9" l="1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M118" i="22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H157" i="22" s="1"/>
  <c r="E35" i="3"/>
  <c r="DK238" i="9"/>
  <c r="BV237" i="9"/>
  <c r="AB88" i="11"/>
  <c r="BS214" i="9"/>
  <c r="M212" i="9"/>
  <c r="D18" i="3"/>
  <c r="BV214" i="9"/>
  <c r="EX237" i="9"/>
  <c r="D16" i="3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G16" i="3" l="1"/>
  <c r="AB77" i="11"/>
  <c r="CN240" i="9"/>
  <c r="E165" i="11"/>
  <c r="E198" i="11"/>
  <c r="DH239" i="9"/>
  <c r="D49" i="3"/>
  <c r="CN281" i="9"/>
  <c r="CN282" i="9" s="1"/>
  <c r="AJ108" i="11"/>
  <c r="AB108" i="11"/>
  <c r="EC238" i="9"/>
  <c r="AB79" i="11"/>
  <c r="DH238" i="9"/>
  <c r="DH241" i="9" s="1"/>
  <c r="ED160" i="9" s="1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R110" i="11"/>
  <c r="ED158" i="9"/>
  <c r="EX239" i="9"/>
  <c r="BS236" i="9"/>
  <c r="CN256" i="9"/>
  <c r="Y51" i="8"/>
  <c r="E170" i="11"/>
  <c r="E172" i="11" s="1"/>
  <c r="AB90" i="11"/>
  <c r="D60" i="11"/>
  <c r="R109" i="11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M165" i="11" l="1"/>
  <c r="M167" i="11" s="1"/>
  <c r="O192" i="11"/>
  <c r="FD147" i="9"/>
  <c r="G49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O5" i="3"/>
  <c r="AT59" i="9"/>
  <c r="V130" i="15"/>
  <c r="V140" i="15" s="1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J159" i="22" l="1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AZ218" i="9" l="1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AL140" i="15" s="1"/>
  <c r="BM118" i="15"/>
  <c r="BN118" i="15" s="1"/>
  <c r="AJ138" i="15"/>
  <c r="AJ140" i="15" s="1"/>
  <c r="BL116" i="15"/>
  <c r="BN116" i="15" s="1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9" i="22" l="1"/>
  <c r="BE101" i="22"/>
  <c r="BE60" i="22" s="1"/>
  <c r="AD46" i="9"/>
  <c r="BA52" i="9" a="1"/>
  <c r="BA52" i="9" s="1"/>
  <c r="AJ139" i="22"/>
  <c r="L27" i="11"/>
  <c r="B51" i="11" s="1"/>
  <c r="C51" i="1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R156" i="9" l="1"/>
  <c r="BQ156" i="9" s="1"/>
  <c r="K130" i="9"/>
  <c r="N130" i="9" s="1"/>
  <c r="Y138" i="9" s="1"/>
  <c r="R126" i="22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BL55" i="9"/>
  <c r="F12" i="17"/>
  <c r="U130" i="15"/>
  <c r="U140" i="15" s="1"/>
  <c r="BE101" i="15"/>
  <c r="BE105" i="15"/>
  <c r="R127" i="15"/>
  <c r="AM127" i="15" s="1"/>
  <c r="E216" i="15" s="1"/>
  <c r="AX98" i="15"/>
  <c r="EB132" i="9"/>
  <c r="Y133" i="15"/>
  <c r="K131" i="9"/>
  <c r="N131" i="9" s="1"/>
  <c r="M19" i="11"/>
  <c r="BN35" i="9"/>
  <c r="BA95" i="20" s="1"/>
  <c r="BA50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D15" i="21" l="1"/>
  <c r="E15" i="21" s="1"/>
  <c r="F15" i="21" s="1"/>
  <c r="I15" i="21" s="1"/>
  <c r="K15" i="21" s="1"/>
  <c r="V5" i="21" s="1"/>
  <c r="BE64" i="15"/>
  <c r="BG105" i="15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K132" i="9"/>
  <c r="U126" i="9" s="1"/>
  <c r="AX120" i="15"/>
  <c r="AU92" i="15"/>
  <c r="G193" i="15"/>
  <c r="Y140" i="15"/>
  <c r="AR83" i="15"/>
  <c r="AU28" i="9"/>
  <c r="AX95" i="20" s="1"/>
  <c r="AX50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O132" i="9" l="1" a="1"/>
  <c r="O132" i="9" s="1"/>
  <c r="AU51" i="15"/>
  <c r="BG92" i="15"/>
  <c r="AS84" i="22"/>
  <c r="AS43" i="22" s="1"/>
  <c r="D153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D163" i="15" s="1"/>
  <c r="D162" i="22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G180" i="15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I199" i="11" l="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G7" i="14"/>
  <c r="C57" i="14"/>
  <c r="F7" i="14"/>
  <c r="C54" i="14"/>
  <c r="U52" i="9"/>
  <c r="L124" i="15"/>
  <c r="L140" i="15" s="1"/>
  <c r="C153" i="15"/>
  <c r="C163" i="15" s="1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P192" i="11" l="1"/>
  <c r="J203" i="11" s="1"/>
  <c r="I203" i="11"/>
  <c r="K203" i="11" s="1"/>
  <c r="C195" i="11"/>
  <c r="F191" i="11"/>
  <c r="K199" i="11"/>
  <c r="CL210" i="9"/>
  <c r="C94" i="11"/>
  <c r="I92" i="11"/>
  <c r="CL211" i="9"/>
  <c r="CV206" i="9" s="1"/>
  <c r="EB133" i="9" s="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I200" i="11" l="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G7" i="12"/>
  <c r="N64" i="9"/>
  <c r="Q63" i="9" s="1"/>
  <c r="R63" i="9" s="1"/>
  <c r="S63" i="9" s="1"/>
  <c r="F7" i="12"/>
  <c r="F6" i="12"/>
  <c r="G6" i="12"/>
  <c r="G198" i="11" l="1"/>
  <c r="F198" i="11" s="1"/>
  <c r="J201" i="11"/>
  <c r="J200" i="11"/>
  <c r="K200" i="1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A64" i="9"/>
  <c r="AR120" i="22"/>
  <c r="L77" i="9"/>
  <c r="L76" i="9"/>
  <c r="AD69" i="9"/>
  <c r="AG70" i="9"/>
  <c r="M193" i="11" l="1"/>
  <c r="J202" i="11"/>
  <c r="J204" i="11" s="1"/>
  <c r="P194" i="11"/>
  <c r="I204" i="11"/>
  <c r="AR45" i="15"/>
  <c r="X131" i="22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J36" i="11"/>
  <c r="AX130" i="9"/>
  <c r="AE130" i="9"/>
  <c r="K202" i="11" l="1"/>
  <c r="F8" i="17"/>
  <c r="H8" i="17" s="1"/>
  <c r="C219" i="22"/>
  <c r="M123" i="22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M124" i="15"/>
  <c r="AM124" i="15" s="1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E139" i="9"/>
  <c r="CG139" i="9" s="1"/>
  <c r="AU113" i="9"/>
  <c r="AY95" i="20" s="1"/>
  <c r="AY50" i="20" s="1"/>
  <c r="W46" i="9"/>
  <c r="L6" i="13" s="1"/>
  <c r="P127" i="20"/>
  <c r="AP127" i="20" s="1"/>
  <c r="H216" i="20" s="1"/>
  <c r="BP97" i="20"/>
  <c r="BQ97" i="20" s="1"/>
  <c r="AI137" i="15"/>
  <c r="AM137" i="15" s="1"/>
  <c r="E226" i="15" s="1"/>
  <c r="BF115" i="15"/>
  <c r="S128" i="15"/>
  <c r="AM128" i="15" s="1"/>
  <c r="E217" i="15" s="1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B95" i="20" s="1"/>
  <c r="BB50" i="20" s="1"/>
  <c r="BK116" i="9"/>
  <c r="BT131" i="9"/>
  <c r="BL140" i="9" s="1"/>
  <c r="AY58" i="15" l="1"/>
  <c r="BG99" i="15"/>
  <c r="BF74" i="15"/>
  <c r="BG115" i="15"/>
  <c r="G203" i="15" s="1"/>
  <c r="AV94" i="15"/>
  <c r="AV120" i="15" s="1"/>
  <c r="N125" i="15"/>
  <c r="N140" i="15" s="1"/>
  <c r="EB106" i="9"/>
  <c r="W130" i="22"/>
  <c r="BA103" i="22"/>
  <c r="BA62" i="22" s="1"/>
  <c r="AY99" i="22"/>
  <c r="AY58" i="22" s="1"/>
  <c r="S127" i="22"/>
  <c r="S139" i="22" s="1"/>
  <c r="EC105" i="9"/>
  <c r="C257" i="11" s="1"/>
  <c r="E257" i="11" s="1"/>
  <c r="N124" i="22"/>
  <c r="N139" i="22" s="1"/>
  <c r="AV94" i="22"/>
  <c r="AV53" i="22" s="1"/>
  <c r="F16" i="17"/>
  <c r="G16" i="17" s="1"/>
  <c r="I16" i="17" s="1"/>
  <c r="C227" i="22"/>
  <c r="L155" i="9"/>
  <c r="L156" i="9" s="1"/>
  <c r="U151" i="9" s="1"/>
  <c r="F11" i="17"/>
  <c r="H11" i="17" s="1"/>
  <c r="C220" i="22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I95" i="20" s="1"/>
  <c r="BI50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V53" i="15" l="1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J163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AM131" i="15" s="1"/>
  <c r="E220" i="15" s="1"/>
  <c r="BA103" i="15"/>
  <c r="BF87" i="15"/>
  <c r="BF46" i="15" s="1"/>
  <c r="I159" i="15"/>
  <c r="I163" i="15" s="1"/>
  <c r="AS89" i="15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AS48" i="15" l="1"/>
  <c r="BG89" i="15"/>
  <c r="G177" i="15" s="1"/>
  <c r="BA62" i="15"/>
  <c r="BG103" i="15"/>
  <c r="G191" i="15" s="1"/>
  <c r="BF90" i="15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AS47" i="15" l="1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Z140" i="15" s="1"/>
  <c r="BM106" i="15"/>
  <c r="BN106" i="15" s="1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C275" i="11" l="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76" i="11" l="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S45" i="15" l="1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O140" i="15" s="1"/>
  <c r="Y130" i="9"/>
  <c r="E17" i="12" s="1"/>
  <c r="BM95" i="15"/>
  <c r="AO149" i="9"/>
  <c r="AP146" i="9"/>
  <c r="AP149" i="9" s="1"/>
  <c r="AP142" i="9" s="1"/>
  <c r="AF149" i="9"/>
  <c r="O139" i="22" l="1"/>
  <c r="R128" i="20"/>
  <c r="AP128" i="20" s="1"/>
  <c r="H217" i="20" s="1"/>
  <c r="W130" i="9"/>
  <c r="L12" i="13" s="1"/>
  <c r="BP99" i="20"/>
  <c r="BQ99" i="20" s="1"/>
  <c r="AM125" i="15"/>
  <c r="E214" i="15" s="1"/>
  <c r="BN111" i="22" l="1"/>
  <c r="R143" i="20"/>
  <c r="BN101" i="15"/>
  <c r="AE139" i="22" l="1"/>
  <c r="AZ100" i="22" l="1"/>
  <c r="AZ59" i="22" s="1"/>
  <c r="T128" i="22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CA146" i="9"/>
  <c r="CB144" i="9"/>
  <c r="CB146" i="9" s="1"/>
  <c r="CB140" i="9" s="1"/>
  <c r="BN107" i="22"/>
  <c r="CM145" i="9"/>
  <c r="AA133" i="15"/>
  <c r="BM107" i="15"/>
  <c r="BN107" i="15" s="1"/>
  <c r="CE130" i="9"/>
  <c r="H17" i="12" s="1"/>
  <c r="BD90" i="20" l="1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BG108" i="15" s="1"/>
  <c r="DV131" i="9"/>
  <c r="D34" i="12" s="1"/>
  <c r="M90" i="11"/>
  <c r="N90" i="11" s="1"/>
  <c r="F92" i="11"/>
  <c r="F94" i="11" s="1"/>
  <c r="G196" i="15" l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AB139" i="22" s="1"/>
  <c r="BE108" i="22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E67" i="22" l="1"/>
  <c r="BG108" i="22"/>
  <c r="G195" i="22" s="1"/>
  <c r="BE120" i="22"/>
  <c r="AL143" i="20"/>
  <c r="AP140" i="20"/>
  <c r="H229" i="20" s="1"/>
  <c r="BJ119" i="20"/>
  <c r="J206" i="20" s="1"/>
  <c r="BI74" i="20"/>
  <c r="BB120" i="22"/>
  <c r="BB73" i="22" l="1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BG87" i="15" s="1"/>
  <c r="G157" i="15"/>
  <c r="G163" i="15" s="1"/>
  <c r="I110" i="11"/>
  <c r="CL225" i="9"/>
  <c r="I109" i="11"/>
  <c r="CL224" i="9"/>
  <c r="CO275" i="9"/>
  <c r="CO238" i="9"/>
  <c r="CZ247" i="9" s="1"/>
  <c r="CL243" i="9"/>
  <c r="CV234" i="9" s="1"/>
  <c r="F100" i="11"/>
  <c r="I111" i="11"/>
  <c r="CL226" i="9"/>
  <c r="CZ246" i="9" l="1"/>
  <c r="BM110" i="15"/>
  <c r="BN110" i="15" s="1"/>
  <c r="AD134" i="15"/>
  <c r="AD140" i="15" s="1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BC109" i="15"/>
  <c r="BG109" i="15" s="1"/>
  <c r="CL235" i="11"/>
  <c r="CB248" i="9"/>
  <c r="L100" i="11"/>
  <c r="C102" i="11"/>
  <c r="CL256" i="9"/>
  <c r="BB46" i="15"/>
  <c r="G175" i="15"/>
  <c r="AC133" i="22"/>
  <c r="AC139" i="22" s="1"/>
  <c r="CL255" i="9"/>
  <c r="BQ236" i="9"/>
  <c r="CM243" i="9" l="1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AE140" i="15" s="1"/>
  <c r="BM111" i="15"/>
  <c r="BN111" i="15" s="1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BT212" i="9"/>
  <c r="CM222" i="9"/>
  <c r="DD229" i="9"/>
  <c r="C224" i="22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N210" i="9" l="1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AH212" i="9"/>
  <c r="AH216" i="9"/>
  <c r="AX210" i="9"/>
  <c r="AH217" i="9"/>
  <c r="K217" i="9"/>
  <c r="AS190" i="9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V243" i="9"/>
  <c r="CW238" i="9"/>
  <c r="CW243" i="9" s="1"/>
  <c r="CW234" i="9" s="1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BV210" i="9" l="1"/>
  <c r="BL218" i="9"/>
  <c r="BC95" i="20"/>
  <c r="BC50" i="20" s="1"/>
  <c r="AX218" i="9"/>
  <c r="L216" i="9" s="1"/>
  <c r="AE210" i="9"/>
  <c r="AY210" i="9"/>
  <c r="C218" i="22"/>
  <c r="AU190" i="9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AR224" i="9"/>
  <c r="AT224" i="9" s="1"/>
  <c r="Z224" i="9"/>
  <c r="BQ219" i="11"/>
  <c r="N216" i="9"/>
  <c r="Z89" i="11"/>
  <c r="DI239" i="9"/>
  <c r="EP248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BG104" i="15" s="1"/>
  <c r="X132" i="15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EP247" i="9"/>
  <c r="DA248" i="9"/>
  <c r="DB248" i="9" s="1"/>
  <c r="Y222" i="9"/>
  <c r="AA222" i="9" s="1"/>
  <c r="EA238" i="9"/>
  <c r="DF238" i="9"/>
  <c r="AD91" i="11"/>
  <c r="AD90" i="11"/>
  <c r="AI210" i="9" l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P140" i="15" s="1"/>
  <c r="AW96" i="15"/>
  <c r="BG96" i="15" s="1"/>
  <c r="K218" i="9"/>
  <c r="O218" i="9" s="1" a="1"/>
  <c r="O218" i="9" s="1"/>
  <c r="L210" i="9"/>
  <c r="L218" i="9" s="1"/>
  <c r="AI218" i="9" a="1"/>
  <c r="AI218" i="9" s="1"/>
  <c r="AK210" i="9"/>
  <c r="AL210" i="9" s="1"/>
  <c r="AM210" i="9" s="1"/>
  <c r="AN210" i="9" s="1"/>
  <c r="AO210" i="9" s="1"/>
  <c r="AU210" i="9" s="1"/>
  <c r="AH218" i="9"/>
  <c r="AR218" i="9"/>
  <c r="AT218" i="9" s="1"/>
  <c r="T129" i="15"/>
  <c r="AZ100" i="15"/>
  <c r="BG100" i="15" s="1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DI237" i="9"/>
  <c r="CA232" i="9"/>
  <c r="BB86" i="15" s="1"/>
  <c r="BR236" i="9"/>
  <c r="ED237" i="9"/>
  <c r="EA241" i="9"/>
  <c r="EK233" i="9" s="1"/>
  <c r="ED238" i="9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BN210" i="9"/>
  <c r="C59" i="14" s="1"/>
  <c r="DI238" i="9"/>
  <c r="DA247" i="9" l="1"/>
  <c r="BG217" i="9"/>
  <c r="BH217" i="9" s="1"/>
  <c r="BI217" i="9" s="1"/>
  <c r="AM125" i="22"/>
  <c r="AI107" i="1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G188" i="15"/>
  <c r="AZ120" i="15"/>
  <c r="AP210" i="9"/>
  <c r="AP218" i="9" s="1"/>
  <c r="AP206" i="9" s="1"/>
  <c r="AO218" i="9"/>
  <c r="AW55" i="15"/>
  <c r="AW120" i="15"/>
  <c r="G184" i="15"/>
  <c r="Q210" i="9"/>
  <c r="N218" i="9"/>
  <c r="BI218" i="9"/>
  <c r="BI206" i="9" s="1"/>
  <c r="BJ210" i="9" s="1"/>
  <c r="BH218" i="9"/>
  <c r="AI106" i="11"/>
  <c r="AH106" i="11" s="1"/>
  <c r="EB238" i="9"/>
  <c r="EB237" i="9"/>
  <c r="AA92" i="11"/>
  <c r="DG238" i="9"/>
  <c r="EE241" i="9" a="1"/>
  <c r="EE241" i="9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BG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EP245" i="9"/>
  <c r="DB247" i="9"/>
  <c r="DA246" i="9"/>
  <c r="DB246" i="9" s="1"/>
  <c r="DI241" i="9"/>
  <c r="DL237" i="9" s="1"/>
  <c r="EP246" i="9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H107" i="11"/>
  <c r="AA143" i="20" l="1"/>
  <c r="C170" i="22"/>
  <c r="AQ210" i="9"/>
  <c r="M17" i="13" s="1"/>
  <c r="AU212" i="9"/>
  <c r="AR210" i="9"/>
  <c r="S129" i="20"/>
  <c r="S143" i="20" s="1"/>
  <c r="AZ100" i="20"/>
  <c r="AZ124" i="20" s="1"/>
  <c r="AA195" i="9"/>
  <c r="AC185" i="9"/>
  <c r="E155" i="15"/>
  <c r="E163" i="15" s="1"/>
  <c r="AT85" i="15"/>
  <c r="BG85" i="15" s="1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BG113" i="15" s="1"/>
  <c r="AG135" i="15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Z55" i="20" l="1"/>
  <c r="BJ100" i="20"/>
  <c r="J187" i="20" s="1"/>
  <c r="U218" i="9"/>
  <c r="V210" i="9"/>
  <c r="F229" i="9"/>
  <c r="H226" i="9"/>
  <c r="AT44" i="15"/>
  <c r="G173" i="15"/>
  <c r="C215" i="22"/>
  <c r="AC195" i="9"/>
  <c r="F15" i="17"/>
  <c r="CP258" i="9" a="1"/>
  <c r="CP258" i="9" s="1"/>
  <c r="AF139" i="22" s="1"/>
  <c r="EY238" i="9"/>
  <c r="EY240" i="9"/>
  <c r="EE158" i="9"/>
  <c r="EC158" i="9"/>
  <c r="DQ238" i="9"/>
  <c r="C62" i="14"/>
  <c r="EF160" i="9" a="1"/>
  <c r="EF160" i="9" s="1"/>
  <c r="BF114" i="22" s="1"/>
  <c r="BG114" i="22" s="1"/>
  <c r="G201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G201" i="15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BN114" i="15" s="1"/>
  <c r="EY237" i="9"/>
  <c r="F165" i="11"/>
  <c r="F164" i="11"/>
  <c r="BJ104" i="20"/>
  <c r="J191" i="20" s="1"/>
  <c r="BC59" i="20"/>
  <c r="I172" i="11" l="1"/>
  <c r="EQ145" i="9"/>
  <c r="N163" i="11"/>
  <c r="I171" i="11"/>
  <c r="N165" i="11"/>
  <c r="J175" i="11" s="1"/>
  <c r="I175" i="11"/>
  <c r="K175" i="11" s="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Q246" i="9"/>
  <c r="ER246" i="9" s="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BN112" i="15" s="1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Q247" i="9"/>
  <c r="ER247" i="9" s="1"/>
  <c r="EQ248" i="9"/>
  <c r="ER248" i="9" s="1"/>
  <c r="AD106" i="11"/>
  <c r="AL107" i="11"/>
  <c r="DQ241" i="9"/>
  <c r="DQ233" i="9" s="1"/>
  <c r="DC238" i="9" s="1"/>
  <c r="EQ245" i="9"/>
  <c r="ER245" i="9" s="1"/>
  <c r="AD107" i="11"/>
  <c r="EE160" i="9"/>
  <c r="EH156" i="9" s="1"/>
  <c r="BF73" i="22"/>
  <c r="BF120" i="22"/>
  <c r="K171" i="11" l="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FB145" i="9" s="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C170" i="11" l="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C225" i="11"/>
  <c r="K216" i="11"/>
  <c r="I216" i="11" s="1"/>
  <c r="AE232" i="9" s="1"/>
  <c r="E216" i="11"/>
  <c r="K215" i="11"/>
  <c r="AT88" i="15"/>
  <c r="BG88" i="15" s="1"/>
  <c r="H158" i="15"/>
  <c r="H163" i="15" s="1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EQ144" i="9" l="1"/>
  <c r="EE145" i="9"/>
  <c r="C171" i="11"/>
  <c r="C172" i="11" s="1"/>
  <c r="I174" i="11"/>
  <c r="F172" i="11"/>
  <c r="N166" i="11"/>
  <c r="J174" i="11" s="1"/>
  <c r="J176" i="11" s="1"/>
  <c r="Z219" i="9"/>
  <c r="N241" i="9"/>
  <c r="N242" i="9" s="1"/>
  <c r="Z221" i="9"/>
  <c r="AH234" i="9"/>
  <c r="AK231" i="9" s="1"/>
  <c r="Z220" i="9"/>
  <c r="Z218" i="9"/>
  <c r="AA218" i="9" s="1"/>
  <c r="Y220" i="9"/>
  <c r="AA219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U242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N193" i="11" l="1"/>
  <c r="N190" i="11"/>
  <c r="N191" i="11"/>
  <c r="N192" i="11"/>
  <c r="FE147" i="9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EB145" i="9" l="1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BN97" i="15" s="1"/>
  <c r="Q126" i="15"/>
  <c r="Q125" i="22"/>
  <c r="BM97" i="22"/>
  <c r="BN97" i="22" s="1"/>
  <c r="EM145" i="9" l="1"/>
  <c r="EM146" i="9" s="1"/>
  <c r="EM140" i="9" s="1"/>
  <c r="FC146" i="9"/>
  <c r="FC147" i="9"/>
  <c r="FF149" i="9" a="1"/>
  <c r="FF149" i="9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F163" i="15" s="1"/>
  <c r="C171" i="15" s="1" a="1"/>
  <c r="C171" i="15" s="1"/>
  <c r="BF86" i="15"/>
  <c r="BG86" i="15" s="1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I90" i="20" l="1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BM117" i="15"/>
  <c r="BN117" i="15" s="1"/>
  <c r="I171" i="15" s="1" a="1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G215" i="15" l="1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K197" i="22" s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K206" i="15" l="1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K185" i="22"/>
  <c r="K188" i="22"/>
  <c r="K205" i="22"/>
  <c r="K178" i="22"/>
  <c r="K190" i="22"/>
  <c r="K198" i="22"/>
  <c r="K183" i="22"/>
  <c r="K177" i="22"/>
  <c r="K194" i="22"/>
  <c r="K203" i="22"/>
  <c r="K184" i="22"/>
  <c r="K199" i="22"/>
  <c r="K204" i="22"/>
  <c r="K202" i="22"/>
  <c r="K191" i="22"/>
  <c r="K192" i="22"/>
  <c r="K189" i="22"/>
  <c r="K193" i="22"/>
  <c r="K186" i="22"/>
  <c r="K196" i="22"/>
  <c r="E170" i="22"/>
  <c r="K170" i="22" s="1"/>
  <c r="K180" i="22"/>
  <c r="K176" i="22"/>
  <c r="K195" i="22"/>
  <c r="K181" i="22"/>
  <c r="K179" i="22"/>
  <c r="K200" i="22"/>
  <c r="K182" i="22"/>
  <c r="K187" i="22"/>
  <c r="K171" i="22"/>
  <c r="K173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<sst xmlns="http://schemas.openxmlformats.org/spreadsheetml/2006/main" count="5696" uniqueCount="704">
  <si>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</si>
  <si>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</si>
  <si>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</si>
  <si>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</si>
  <si>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</si>
  <si>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</si>
  <si>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</si>
  <si>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</si>
  <si>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</si>
  <si>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</si>
  <si>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</si>
  <si>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</si>
  <si>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</si>
  <si>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</si>
  <si>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</si>
  <si>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</si>
  <si>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</si>
  <si>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</si>
  <si>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</si>
  <si>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</si>
  <si>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</si>
  <si>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</si>
  <si>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</si>
  <si>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</si>
  <si>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</si>
  <si>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</si>
  <si>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</si>
  <si>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</si>
  <si>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</si>
  <si>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</si>
  <si>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</si>
  <si>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</si>
  <si>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</si>
  <si>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</si>
  <si>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</si>
  <si>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</si>
  <si>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</si>
  <si>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</si>
  <si>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</si>
  <si>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</si>
  <si>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</si>
  <si>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</si>
  <si>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</si>
  <si>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</si>
  <si>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</si>
  <si>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</si>
  <si>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</si>
  <si>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</si>
  <si>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</si>
  <si>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</si>
  <si>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</si>
  <si>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</si>
  <si>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</si>
  <si>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</si>
  <si>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</si>
  <si>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</si>
  <si>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</si>
  <si>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</si>
  <si>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</si>
  <si>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</si>
  <si>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</si>
  <si>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</si>
  <si>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</si>
  <si>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</si>
  <si>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</si>
  <si>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</si>
  <si>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</si>
  <si>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</si>
  <si>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</si>
  <si>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</si>
  <si>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</si>
  <si>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</si>
  <si>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</si>
  <si>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</si>
  <si>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</si>
  <si>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</si>
  <si>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</si>
  <si>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</si>
  <si>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</si>
  <si>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</si>
  <si>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</si>
  <si>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</si>
  <si>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</si>
  <si>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</si>
  <si>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</si>
  <si>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</si>
  <si>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</si>
  <si>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</si>
  <si>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</si>
  <si>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</si>
  <si>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</si>
  <si>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</si>
  <si>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</si>
  <si>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</si>
  <si>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</si>
  <si>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</si>
  <si>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</si>
  <si>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</si>
  <si>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</si>
  <si>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</si>
  <si>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</si>
  <si>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</si>
  <si>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</si>
  <si>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</si>
  <si>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</si>
  <si>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</si>
  <si>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</si>
  <si>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</si>
  <si>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</si>
  <si>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</si>
  <si>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</si>
  <si>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</si>
  <si>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</si>
  <si>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</si>
  <si>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</si>
  <si>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</si>
  <si>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</si>
  <si>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</si>
  <si>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</si>
  <si>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</si>
  <si>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</si>
  <si>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</si>
  <si>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</si>
  <si>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</si>
  <si>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</si>
  <si>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</si>
  <si>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</si>
  <si>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</si>
  <si>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</si>
  <si>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</si>
  <si>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</si>
  <si>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</si>
  <si>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</si>
  <si>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</si>
  <si>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</si>
  <si>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</si>
  <si>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</si>
  <si>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</si>
  <si>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</si>
  <si>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</si>
  <si>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</si>
  <si>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</si>
  <si>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</si>
  <si>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</si>
  <si>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</si>
  <si>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</si>
  <si>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</si>
  <si>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</si>
  <si>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</si>
  <si>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</si>
  <si>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</si>
  <si>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</si>
  <si>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</si>
  <si>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</si>
  <si>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</si>
  <si>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</si>
  <si>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</si>
  <si>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</si>
  <si>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</si>
  <si>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</si>
  <si>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</si>
  <si>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</si>
  <si>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</si>
  <si>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</si>
  <si>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</si>
  <si>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</si>
  <si>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</si>
  <si>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</si>
  <si>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</si>
  <si>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</si>
  <si>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</si>
  <si>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</si>
  <si>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</si>
  <si>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</si>
  <si>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</si>
  <si>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</si>
  <si>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</si>
  <si>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</si>
  <si>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</si>
  <si>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</si>
  <si>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</si>
  <si>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</si>
  <si>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</si>
  <si>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</si>
  <si>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</si>
  <si>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</si>
  <si>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</si>
  <si>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</si>
  <si>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</si>
  <si>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</si>
  <si>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</si>
  <si>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</si>
  <si>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</si>
  <si>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</si>
  <si>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</si>
  <si>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</si>
  <si>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</si>
  <si>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</si>
  <si>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</si>
  <si>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</si>
  <si>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</si>
  <si>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</si>
  <si>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</si>
  <si>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</si>
  <si>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</si>
  <si>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</si>
  <si>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</si>
  <si>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</si>
  <si>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</si>
  <si>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</si>
  <si>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</si>
  <si>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</si>
  <si>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</si>
  <si>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</si>
  <si>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</si>
  <si>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</si>
  <si>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</si>
  <si>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</si>
  <si>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</si>
  <si>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</si>
  <si>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</si>
  <si>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</si>
  <si>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</si>
  <si>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</si>
  <si>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</si>
  <si>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</si>
  <si>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</si>
  <si>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</si>
  <si>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</si>
  <si>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</si>
  <si>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</si>
  <si>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</si>
  <si>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</si>
  <si>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</si>
  <si>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</si>
  <si>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</si>
  <si>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</si>
  <si>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</si>
  <si>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</si>
  <si>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</si>
  <si>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</si>
  <si>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</si>
  <si>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</si>
  <si>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</si>
  <si>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</si>
  <si>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</si>
  <si>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</si>
  <si>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</si>
  <si>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</si>
  <si>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</si>
  <si>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</si>
  <si>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</si>
  <si>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</si>
  <si>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</si>
  <si>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</si>
  <si>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</si>
  <si>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</si>
  <si>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</si>
  <si>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</si>
  <si>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</si>
  <si>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</si>
  <si>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</si>
  <si>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</si>
  <si>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</si>
  <si>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</si>
  <si>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</si>
  <si>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</si>
  <si>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</si>
  <si>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</si>
  <si>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</si>
  <si>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</si>
  <si>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</si>
  <si>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</si>
  <si>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</si>
  <si>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</si>
  <si>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</si>
  <si>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</si>
  <si>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</si>
  <si>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</si>
  <si>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</si>
  <si>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</si>
  <si>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</si>
  <si>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</si>
  <si>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</si>
  <si>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</si>
  <si>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</si>
  <si>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</si>
  <si>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</si>
  <si>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</si>
  <si>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</si>
  <si>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</si>
  <si>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</si>
  <si>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</si>
  <si>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</si>
  <si>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</si>
  <si>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</si>
  <si>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</si>
  <si>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</si>
  <si>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</si>
  <si>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</si>
  <si>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</si>
  <si>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</si>
  <si>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</si>
  <si>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</si>
  <si>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</si>
  <si>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</si>
  <si>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</si>
  <si>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</si>
  <si>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</si>
  <si>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</si>
  <si>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</si>
  <si>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</si>
  <si>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</si>
  <si>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</si>
  <si>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</si>
  <si>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</si>
  <si>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</si>
  <si>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</si>
  <si>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</si>
  <si>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</si>
  <si>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</si>
  <si>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</si>
  <si>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</si>
  <si>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</si>
  <si>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</si>
  <si>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</si>
  <si>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</si>
  <si>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</si>
  <si>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</si>
  <si>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</si>
  <si>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</si>
  <si>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</si>
  <si>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</si>
  <si>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</si>
  <si>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</si>
  <si>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</si>
  <si>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</si>
  <si>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</si>
  <si>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</si>
  <si>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</si>
  <si>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</si>
  <si>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</si>
  <si>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</si>
  <si>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</si>
  <si>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</si>
  <si>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</si>
  <si>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</si>
  <si>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</si>
  <si>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</si>
  <si>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</si>
  <si>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</si>
  <si>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</si>
  <si>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</si>
  <si>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</si>
  <si>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</si>
  <si>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</si>
  <si>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</si>
  <si>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</si>
  <si>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</si>
  <si>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</si>
  <si>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</si>
  <si>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</si>
  <si>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</si>
  <si>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</si>
  <si>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</si>
  <si>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</si>
  <si>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</si>
  <si>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</si>
  <si>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</si>
  <si>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</si>
  <si>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</si>
  <si>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</si>
  <si>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</si>
  <si>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</si>
  <si>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</si>
  <si>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</si>
  <si>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</si>
  <si>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</si>
  <si>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</si>
  <si>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</si>
  <si>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</si>
  <si>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</si>
  <si>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</si>
  <si>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</si>
  <si>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</si>
  <si>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</si>
  <si>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</si>
  <si>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</si>
  <si>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</si>
  <si>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</si>
  <si>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</si>
  <si>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</si>
  <si>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</si>
  <si>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</si>
  <si>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</si>
  <si>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</si>
  <si>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</si>
  <si>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</si>
  <si>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</si>
  <si>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</si>
  <si>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</si>
  <si>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</si>
  <si>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</si>
  <si>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</si>
  <si>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</si>
  <si>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</si>
  <si>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</si>
  <si>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</si>
  <si>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</si>
  <si>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</si>
  <si>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</si>
  <si>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</si>
  <si>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</si>
  <si>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</si>
  <si>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</si>
  <si>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</si>
  <si>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</si>
  <si>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</si>
  <si>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</si>
  <si>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</si>
  <si>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</si>
  <si>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</si>
  <si>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</si>
  <si>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</si>
  <si>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</si>
  <si>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</si>
  <si>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</si>
  <si>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</si>
  <si>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</si>
  <si>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</si>
  <si>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</si>
  <si>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</si>
  <si>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</si>
  <si>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</si>
  <si>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</si>
  <si>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</si>
  <si>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</si>
  <si>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</si>
  <si>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</si>
  <si>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</si>
  <si>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</si>
  <si>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</si>
  <si>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</si>
  <si>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</si>
  <si>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</si>
  <si>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</si>
  <si>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</si>
  <si>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</si>
  <si>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</si>
  <si>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</si>
  <si>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</si>
  <si>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</si>
  <si>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</si>
  <si>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</si>
  <si>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</si>
  <si>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</si>
  <si>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</si>
  <si>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</si>
  <si>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</si>
  <si>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</si>
  <si>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</si>
  <si>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</si>
  <si>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</si>
  <si>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</si>
  <si>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</si>
  <si>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</si>
  <si>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</si>
  <si>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</si>
  <si>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</si>
  <si>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</si>
  <si>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</si>
  <si>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</si>
  <si>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</si>
  <si>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</si>
  <si>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</si>
  <si>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</si>
  <si>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</si>
  <si>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</si>
  <si>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</si>
  <si>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</si>
  <si>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</si>
  <si>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</si>
  <si>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</si>
  <si>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</si>
  <si>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</si>
  <si>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</si>
  <si>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</si>
  <si>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</si>
  <si>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</si>
  <si>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</si>
  <si>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</si>
  <si>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</si>
  <si>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</si>
  <si>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</si>
  <si>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</si>
  <si>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</si>
  <si>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</si>
  <si>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</si>
  <si>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</si>
  <si>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</si>
  <si>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</si>
  <si>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</si>
  <si>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</si>
  <si>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</si>
  <si>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</si>
  <si>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</si>
  <si>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</si>
  <si>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</si>
  <si>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</si>
  <si>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</si>
  <si>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</si>
  <si>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</si>
  <si>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</si>
  <si>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</si>
  <si>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</si>
  <si>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</si>
  <si>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</si>
  <si>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</si>
  <si>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</si>
  <si>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</si>
  <si>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</si>
  <si>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</si>
  <si>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</si>
  <si>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</si>
  <si>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</si>
  <si>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</si>
  <si>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</si>
  <si>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</si>
  <si>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</si>
  <si>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</si>
  <si>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</si>
  <si>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</si>
  <si>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</si>
  <si>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</si>
  <si>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</si>
  <si>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</si>
  <si>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</si>
  <si>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</si>
  <si>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</si>
  <si>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</si>
  <si>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</si>
  <si>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</si>
  <si>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</si>
  <si>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</si>
  <si>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</si>
  <si>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</si>
  <si>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</si>
  <si>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</si>
  <si>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</si>
  <si>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</si>
  <si>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</si>
  <si>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</si>
  <si>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</si>
  <si>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</si>
  <si>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</si>
  <si>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</si>
  <si>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</si>
  <si>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</si>
  <si>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</si>
  <si>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</si>
  <si>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</si>
  <si>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</si>
  <si>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</si>
  <si>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</si>
  <si>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</si>
  <si>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</si>
  <si>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</si>
  <si>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</si>
  <si>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</si>
  <si>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</si>
  <si>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</si>
  <si>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</si>
  <si>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</si>
  <si>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</si>
  <si>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</si>
  <si>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</si>
  <si>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</si>
  <si>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</si>
  <si>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</si>
  <si>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</si>
  <si>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</si>
  <si>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</si>
  <si>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</si>
  <si>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</si>
  <si>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</si>
  <si>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</si>
  <si>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</si>
  <si>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</si>
  <si>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</si>
  <si>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</si>
  <si>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</si>
  <si>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</si>
  <si>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</si>
  <si>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</si>
  <si>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</si>
  <si>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</si>
  <si>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</si>
  <si>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</si>
  <si>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</si>
  <si>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</si>
  <si>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</si>
  <si>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</si>
  <si>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</si>
  <si>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</si>
  <si>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</si>
  <si>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</si>
  <si>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</si>
  <si>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</si>
  <si>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</si>
  <si>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</si>
  <si>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</si>
  <si>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</si>
  <si>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</si>
  <si>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</si>
  <si>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</si>
  <si>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</si>
  <si>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</si>
  <si>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</si>
  <si>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</si>
  <si>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</si>
  <si>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</si>
  <si>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</si>
  <si>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</si>
  <si>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</si>
  <si>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</si>
  <si>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</si>
  <si>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</si>
  <si>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</si>
  <si>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</si>
  <si>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</si>
  <si>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</si>
  <si>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</si>
  <si>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</si>
  <si>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</si>
  <si>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</si>
  <si>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</si>
  <si>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</si>
  <si>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</si>
  <si>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</si>
  <si>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</si>
  <si>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</si>
  <si>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</si>
  <si>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</si>
  <si>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</si>
  <si>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</si>
  <si>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</si>
  <si>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</si>
  <si>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</si>
  <si>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</si>
  <si>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</si>
  <si>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</si>
  <si>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</si>
  <si>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</si>
  <si>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</si>
  <si>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</si>
  <si>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</si>
  <si>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</si>
  <si>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</si>
  <si>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</si>
  <si>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</si>
  <si>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</si>
  <si>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</si>
  <si>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</si>
  <si>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</si>
  <si>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</si>
  <si>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</si>
  <si>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</si>
  <si>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</si>
  <si>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</si>
  <si>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</si>
  <si>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</si>
  <si>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</si>
  <si>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</si>
  <si>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</si>
  <si>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</si>
  <si>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</si>
  <si>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</si>
  <si>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</si>
  <si>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</si>
  <si>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</si>
  <si>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</si>
  <si>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</si>
  <si>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</si>
  <si>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</si>
  <si>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</si>
  <si>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</si>
  <si>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</si>
  <si>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</si>
  <si>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</si>
  <si>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</si>
  <si>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</si>
  <si>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</si>
  <si>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</si>
  <si>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</si>
  <si>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</si>
  <si>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</si>
  <si>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</si>
  <si>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</si>
  <si>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</si>
  <si>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</si>
  <si>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Propane</t>
  </si>
  <si>
    <t>Kiln Energy</t>
  </si>
  <si>
    <t>[kg CH4/ kg lime]</t>
  </si>
  <si>
    <t>Kiln Ratio from constants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</si>
</sst>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47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7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7" fillId="0" borderId="13" xfId="0" applyFont="1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7" fillId="0" borderId="43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10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53" fillId="0" borderId="0" xfId="0" applyFont="1" applyAlignment="1">
      <alignment horizontal="center" vertical="center" textRotation="90" wrapText="1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12" fillId="18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39" fillId="15" borderId="30" xfId="0" applyFont="1" applyFill="1" applyBorder="1" applyAlignment="1">
      <alignment horizontal="center" vertical="center"/>
    </xf>
    <xf numFmtId="0" fontId="71" fillId="26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2" fillId="17" borderId="0" xfId="0" applyFont="1" applyFill="1" applyAlignment="1">
      <alignment horizontal="center" vertical="center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41" fillId="14" borderId="0" xfId="0" applyFont="1" applyFill="1" applyAlignment="1">
      <alignment horizontal="center" vertic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39" fillId="13" borderId="0" xfId="0" applyFont="1" applyFill="1" applyAlignment="1">
      <alignment horizontal="center" vertical="center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/>
    </xf>
    <xf numFmtId="0" fontId="41" fillId="14" borderId="30" xfId="0" applyFont="1" applyFill="1" applyBorder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53" fillId="0" borderId="0" xfId="0" applyFont="1" applyAlignment="1">
      <alignment horizontal="center" vertical="center" textRotation="90"/>
    </xf>
    <xf numFmtId="0" fontId="11" fillId="0" borderId="47" xfId="0" applyFont="1" applyBorder="1" applyAlignment="1">
      <alignment horizontal="center" vertical="center" wrapText="1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52" fillId="0" borderId="0" xfId="0" applyFont="1" applyAlignment="1">
      <alignment horizontal="center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2" fontId="15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7" fillId="0" borderId="0" xfId="0" applyFont="1"/>
    <xf numFmtId="0" fontId="78" fillId="0" borderId="0" xfId="0" applyFont="1"/>
    <xf numFmtId="0" fontId="79" fillId="0" borderId="0" xfId="0" applyFont="1"/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1:AH77"/>
  <sheetViews>
    <sheetView tabSelected="1" topLeftCell="A34" zoomScale="173" workbookViewId="0">
      <selection activeCell="J45" sqref="J45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1" spans="2:34" x14ac:dyDescent="0.2">
      <c r="AG1" s="3" t="s">
        <v>701</v>
      </c>
      <c r="AH1" s="3" t="s">
        <v>701</v>
      </c>
    </row>
    <row r="2" spans="2:34" ht="17" x14ac:dyDescent="0.25">
      <c r="R2" s="322" t="s">
        <v>102</v>
      </c>
      <c r="S2" s="323"/>
      <c r="T2" s="322" t="s">
        <v>108</v>
      </c>
      <c r="U2" s="323"/>
      <c r="W2" s="324" t="s">
        <v>233</v>
      </c>
      <c r="X2" s="324"/>
      <c r="Y2" s="13" t="s">
        <v>52</v>
      </c>
      <c r="AB2" s="3" t="s">
        <v>341</v>
      </c>
      <c r="AG2" s="3" t="s">
        <v>342</v>
      </c>
      <c r="AH2" s="3" t="s">
        <v>702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342</v>
      </c>
      <c r="AF3" s="13" t="s">
        <v>65</v>
      </c>
      <c r="AG3" s="3">
        <v>9496.4</v>
      </c>
      <c r="AH3" s="209">
        <f>AG3/LHV_CH4</f>
        <v>0.18992799999999999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342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440</v>
      </c>
      <c r="AA5" s="61" t="s">
        <v>465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482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466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308</v>
      </c>
      <c r="J12" s="13">
        <v>794.3</v>
      </c>
      <c r="Q12" s="325" t="s">
        <v>381</v>
      </c>
      <c r="R12" s="325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311</v>
      </c>
      <c r="J13" s="13">
        <v>124.2</v>
      </c>
      <c r="Q13" s="128" t="s">
        <v>319</v>
      </c>
      <c r="R13" s="13" t="s">
        <v>382</v>
      </c>
      <c r="S13" s="13" t="s">
        <v>33</v>
      </c>
      <c r="T13" s="13" t="s">
        <v>34</v>
      </c>
      <c r="U13" s="13" t="s">
        <v>35</v>
      </c>
      <c r="V13" s="13" t="s">
        <v>696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309</v>
      </c>
      <c r="J14" s="13">
        <v>629.6</v>
      </c>
      <c r="Q14" s="13" t="s">
        <v>98</v>
      </c>
      <c r="R14" s="13" t="s">
        <v>342</v>
      </c>
      <c r="S14" s="13" t="s">
        <v>98</v>
      </c>
      <c r="T14" s="13" t="s">
        <v>98</v>
      </c>
      <c r="U14" s="13" t="s">
        <v>98</v>
      </c>
      <c r="V14" s="13" t="s">
        <v>342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310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26" t="s">
        <v>673</v>
      </c>
      <c r="R16" s="326"/>
    </row>
    <row r="17" spans="2:17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315</v>
      </c>
      <c r="J17" s="13">
        <v>366.5</v>
      </c>
      <c r="Q17" s="13" t="s">
        <v>382</v>
      </c>
    </row>
    <row r="18" spans="2:17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342</v>
      </c>
    </row>
    <row r="19" spans="2:17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 x14ac:dyDescent="0.2">
      <c r="B30" s="4" t="s">
        <v>359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 x14ac:dyDescent="0.25">
      <c r="B31" s="4" t="s">
        <v>363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364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365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366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367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368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369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465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466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482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660</v>
      </c>
      <c r="B42" s="3" t="s">
        <v>647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 x14ac:dyDescent="0.25">
      <c r="A43" s="3" t="s">
        <v>663</v>
      </c>
      <c r="B43" s="3" t="s">
        <v>648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50" si="0">F43/D43</f>
        <v>1161.3984808683447</v>
      </c>
    </row>
    <row r="44" spans="1:7" ht="17" x14ac:dyDescent="0.25">
      <c r="A44" s="3" t="s">
        <v>664</v>
      </c>
      <c r="B44" s="3" t="s">
        <v>649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 x14ac:dyDescent="0.25">
      <c r="A45" s="3" t="s">
        <v>662</v>
      </c>
      <c r="B45" s="3" t="s">
        <v>661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 x14ac:dyDescent="0.25">
      <c r="A46" s="3" t="s">
        <v>665</v>
      </c>
      <c r="B46" s="3" t="s">
        <v>668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 x14ac:dyDescent="0.25">
      <c r="A47" s="3" t="s">
        <v>666</v>
      </c>
      <c r="B47" s="3" t="s">
        <v>670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 x14ac:dyDescent="0.25">
      <c r="A48" s="3" t="s">
        <v>667</v>
      </c>
      <c r="B48" s="4" t="s">
        <v>671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1:7" ht="18" x14ac:dyDescent="0.25">
      <c r="B49" s="1" t="s">
        <v>688</v>
      </c>
      <c r="C49" s="13">
        <v>-300.10000000000002</v>
      </c>
      <c r="D49" s="13">
        <f>MW_S+MW_O2</f>
        <v>6.4064800000000005E-2</v>
      </c>
      <c r="E49" s="13">
        <f>C49+(J16+J9)</f>
        <v>311.19999999999993</v>
      </c>
      <c r="F49" s="13">
        <v>-296.8</v>
      </c>
      <c r="G49" s="19">
        <f t="shared" si="0"/>
        <v>-4632.8092806033892</v>
      </c>
    </row>
    <row r="50" spans="1:7" ht="17" x14ac:dyDescent="0.25">
      <c r="A50" s="3" t="s">
        <v>700</v>
      </c>
      <c r="B50" s="3" t="s">
        <v>699</v>
      </c>
      <c r="C50" s="13">
        <v>-23.4</v>
      </c>
      <c r="D50" s="13">
        <f>MW_C*3 + MW_H*8</f>
        <v>4.409652E-2</v>
      </c>
      <c r="E50" s="13">
        <f>C50+(3*J5)+(4*b_ch_H2)</f>
        <v>2151.9</v>
      </c>
      <c r="F50" s="13">
        <f>-103.85</f>
        <v>-103.85</v>
      </c>
      <c r="G50" s="19">
        <f t="shared" si="0"/>
        <v>-2355.0611250048755</v>
      </c>
    </row>
    <row r="51" spans="1:7" ht="16" x14ac:dyDescent="0.2">
      <c r="G51" s="1"/>
    </row>
    <row r="52" spans="1:7" ht="16" x14ac:dyDescent="0.2">
      <c r="G52" s="1"/>
    </row>
    <row r="53" spans="1:7" ht="16" x14ac:dyDescent="0.2">
      <c r="G53" s="1"/>
    </row>
    <row r="54" spans="1:7" x14ac:dyDescent="0.2">
      <c r="B54" s="4"/>
    </row>
    <row r="55" spans="1:7" x14ac:dyDescent="0.2">
      <c r="B55" s="3" t="s">
        <v>107</v>
      </c>
    </row>
    <row r="56" spans="1:7" ht="17" x14ac:dyDescent="0.25">
      <c r="B56" s="13" t="s">
        <v>54</v>
      </c>
      <c r="C56" s="3" t="s">
        <v>124</v>
      </c>
    </row>
    <row r="57" spans="1:7" ht="17" x14ac:dyDescent="0.25">
      <c r="B57" s="13" t="s">
        <v>54</v>
      </c>
      <c r="C57" s="16" t="s">
        <v>370</v>
      </c>
    </row>
    <row r="58" spans="1:7" ht="18" x14ac:dyDescent="0.25">
      <c r="B58" s="19" t="s">
        <v>6</v>
      </c>
      <c r="C58" s="16" t="s">
        <v>358</v>
      </c>
    </row>
    <row r="59" spans="1:7" ht="18" x14ac:dyDescent="0.25">
      <c r="B59" s="19" t="s">
        <v>6</v>
      </c>
      <c r="C59" s="3" t="s">
        <v>128</v>
      </c>
    </row>
    <row r="60" spans="1:7" ht="17" x14ac:dyDescent="0.25">
      <c r="B60" s="13" t="s">
        <v>172</v>
      </c>
      <c r="C60" s="3" t="s">
        <v>173</v>
      </c>
    </row>
    <row r="61" spans="1:7" x14ac:dyDescent="0.2">
      <c r="B61" s="13" t="s">
        <v>341</v>
      </c>
      <c r="C61" s="16" t="s">
        <v>343</v>
      </c>
    </row>
    <row r="62" spans="1:7" x14ac:dyDescent="0.2">
      <c r="B62" s="13" t="s">
        <v>5</v>
      </c>
      <c r="C62" s="16" t="s">
        <v>355</v>
      </c>
    </row>
    <row r="63" spans="1:7" x14ac:dyDescent="0.2">
      <c r="B63" s="13" t="s">
        <v>382</v>
      </c>
      <c r="C63" s="16" t="s">
        <v>634</v>
      </c>
    </row>
    <row r="64" spans="1:7" x14ac:dyDescent="0.2">
      <c r="B64" s="128" t="s">
        <v>387</v>
      </c>
      <c r="C64" s="3" t="s">
        <v>389</v>
      </c>
    </row>
    <row r="65" spans="2:3" x14ac:dyDescent="0.2">
      <c r="B65" s="13" t="s">
        <v>697</v>
      </c>
      <c r="C65" s="446" t="s">
        <v>698</v>
      </c>
    </row>
    <row r="66" spans="2:3" x14ac:dyDescent="0.2">
      <c r="B66" s="13" t="s">
        <v>476</v>
      </c>
      <c r="C66" s="3" t="s">
        <v>477</v>
      </c>
    </row>
    <row r="67" spans="2:3" ht="17" x14ac:dyDescent="0.25">
      <c r="B67" s="13" t="s">
        <v>468</v>
      </c>
      <c r="C67" s="3" t="s">
        <v>467</v>
      </c>
    </row>
    <row r="68" spans="2:3" x14ac:dyDescent="0.2">
      <c r="B68" s="13" t="s">
        <v>40</v>
      </c>
      <c r="C68" s="3" t="s">
        <v>629</v>
      </c>
    </row>
    <row r="69" spans="2:3" x14ac:dyDescent="0.2">
      <c r="B69" s="13" t="s">
        <v>632</v>
      </c>
      <c r="C69" s="16" t="s">
        <v>694</v>
      </c>
    </row>
    <row r="70" spans="2:3" x14ac:dyDescent="0.2">
      <c r="B70" s="13" t="s">
        <v>646</v>
      </c>
      <c r="C70" s="3" t="s">
        <v>669</v>
      </c>
    </row>
    <row r="76" spans="2:3" ht="20" x14ac:dyDescent="0.2">
      <c r="C76" s="445"/>
    </row>
    <row r="77" spans="2:3" ht="20" x14ac:dyDescent="0.2">
      <c r="C77" s="444"/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597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587</v>
      </c>
      <c r="E3" s="3" t="s">
        <v>586</v>
      </c>
      <c r="F3" s="288" t="s">
        <v>581</v>
      </c>
      <c r="G3" s="288" t="s">
        <v>589</v>
      </c>
      <c r="H3" s="3" t="s">
        <v>590</v>
      </c>
      <c r="I3" s="288" t="s">
        <v>591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598</v>
      </c>
      <c r="V3" s="3" t="s">
        <v>599</v>
      </c>
    </row>
    <row r="4" spans="2:22" x14ac:dyDescent="0.2">
      <c r="B4" s="3"/>
      <c r="C4" s="169" t="s">
        <v>570</v>
      </c>
      <c r="D4" s="13" t="s">
        <v>588</v>
      </c>
      <c r="E4" s="13" t="s">
        <v>63</v>
      </c>
      <c r="F4" s="13" t="s">
        <v>342</v>
      </c>
      <c r="G4" s="13" t="s">
        <v>588</v>
      </c>
      <c r="H4" s="13" t="s">
        <v>98</v>
      </c>
      <c r="I4" s="13" t="s">
        <v>588</v>
      </c>
      <c r="J4" s="13" t="s">
        <v>342</v>
      </c>
      <c r="K4" s="13" t="s">
        <v>58</v>
      </c>
      <c r="L4" s="3"/>
      <c r="M4" s="3"/>
      <c r="N4" s="3"/>
      <c r="O4" s="3"/>
      <c r="P4" s="3"/>
      <c r="Q4" s="3"/>
      <c r="T4" s="169" t="s">
        <v>570</v>
      </c>
      <c r="U4" s="13" t="s">
        <v>58</v>
      </c>
      <c r="V4" s="13" t="s">
        <v>58</v>
      </c>
    </row>
    <row r="5" spans="2:22" ht="15" customHeight="1" x14ac:dyDescent="0.2">
      <c r="B5" s="327" t="s">
        <v>564</v>
      </c>
      <c r="C5" s="3" t="s">
        <v>569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569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574</v>
      </c>
      <c r="F6" s="1" t="s">
        <v>575</v>
      </c>
      <c r="G6" s="1" t="s">
        <v>576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572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571</v>
      </c>
      <c r="U7" s="3">
        <f>Q11</f>
        <v>-293.51452993154498</v>
      </c>
      <c r="V7">
        <f>P21</f>
        <v>-2123.0450060933322</v>
      </c>
    </row>
    <row r="8" spans="2:22" x14ac:dyDescent="0.2">
      <c r="B8" s="327"/>
      <c r="C8" s="3" t="s">
        <v>572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566</v>
      </c>
      <c r="F9" s="3" t="s">
        <v>567</v>
      </c>
      <c r="G9" s="288" t="s">
        <v>578</v>
      </c>
      <c r="H9" s="288" t="s">
        <v>579</v>
      </c>
      <c r="I9" s="3" t="s">
        <v>580</v>
      </c>
      <c r="J9" s="288" t="s">
        <v>581</v>
      </c>
      <c r="K9" s="288" t="s">
        <v>582</v>
      </c>
      <c r="L9" s="288" t="s">
        <v>101</v>
      </c>
      <c r="M9" s="288" t="s">
        <v>583</v>
      </c>
      <c r="N9" s="288" t="s">
        <v>584</v>
      </c>
      <c r="O9" s="3" t="s">
        <v>54</v>
      </c>
      <c r="P9" s="288" t="s">
        <v>585</v>
      </c>
      <c r="Q9" s="288" t="s">
        <v>34</v>
      </c>
    </row>
    <row r="10" spans="2:22" ht="17" x14ac:dyDescent="0.25">
      <c r="B10" s="327"/>
      <c r="C10" s="3"/>
      <c r="D10" s="13" t="s">
        <v>600</v>
      </c>
      <c r="E10" s="13" t="s">
        <v>240</v>
      </c>
      <c r="F10" s="13" t="s">
        <v>240</v>
      </c>
      <c r="G10" s="13" t="s">
        <v>474</v>
      </c>
      <c r="H10" s="13" t="s">
        <v>474</v>
      </c>
      <c r="I10" s="13" t="s">
        <v>240</v>
      </c>
      <c r="J10" s="13" t="s">
        <v>474</v>
      </c>
      <c r="K10" s="13" t="s">
        <v>475</v>
      </c>
      <c r="L10" s="13" t="s">
        <v>475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598</v>
      </c>
      <c r="V10" s="3" t="s">
        <v>599</v>
      </c>
    </row>
    <row r="11" spans="2:22" x14ac:dyDescent="0.2">
      <c r="B11" s="327"/>
      <c r="C11" s="3" t="s">
        <v>571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570</v>
      </c>
      <c r="U11" s="13" t="s">
        <v>58</v>
      </c>
      <c r="V11" s="13" t="s">
        <v>58</v>
      </c>
    </row>
    <row r="12" spans="2:22" x14ac:dyDescent="0.2">
      <c r="S12" s="328" t="s">
        <v>601</v>
      </c>
      <c r="T12" s="13" t="s">
        <v>569</v>
      </c>
      <c r="U12" s="236" t="s">
        <v>455</v>
      </c>
      <c r="V12" s="236">
        <v>880.83</v>
      </c>
    </row>
    <row r="13" spans="2:22" x14ac:dyDescent="0.2">
      <c r="B13" s="236"/>
      <c r="C13" s="236"/>
      <c r="D13" s="236" t="s">
        <v>568</v>
      </c>
      <c r="E13" s="236" t="s">
        <v>566</v>
      </c>
      <c r="F13" s="236" t="s">
        <v>567</v>
      </c>
      <c r="G13" s="236" t="s">
        <v>33</v>
      </c>
      <c r="H13" s="236" t="s">
        <v>34</v>
      </c>
      <c r="I13" s="289" t="s">
        <v>319</v>
      </c>
      <c r="J13" s="289" t="s">
        <v>341</v>
      </c>
      <c r="K13" s="289" t="s">
        <v>34</v>
      </c>
      <c r="L13" s="236"/>
      <c r="M13" s="236"/>
      <c r="N13" s="236"/>
      <c r="O13" s="236"/>
      <c r="P13" s="236"/>
      <c r="S13" s="328"/>
      <c r="T13" s="13" t="s">
        <v>572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573</v>
      </c>
      <c r="H14" s="290" t="s">
        <v>573</v>
      </c>
      <c r="I14" s="290" t="s">
        <v>98</v>
      </c>
      <c r="J14" s="290" t="s">
        <v>342</v>
      </c>
      <c r="K14" s="290" t="s">
        <v>58</v>
      </c>
      <c r="L14" s="236"/>
      <c r="M14" s="236"/>
      <c r="N14" s="236"/>
      <c r="O14" s="236"/>
      <c r="P14" s="236"/>
      <c r="S14" s="328"/>
      <c r="T14" s="13" t="s">
        <v>571</v>
      </c>
      <c r="U14" s="236">
        <v>869.44899999999996</v>
      </c>
      <c r="V14" s="236">
        <v>858.81600000000003</v>
      </c>
    </row>
    <row r="15" spans="2:22" x14ac:dyDescent="0.2">
      <c r="B15" s="327" t="s">
        <v>565</v>
      </c>
      <c r="C15" s="236" t="s">
        <v>569</v>
      </c>
      <c r="D15" s="236">
        <f>Ore_to_PI!BR156</f>
        <v>37.630021206323519</v>
      </c>
      <c r="E15" s="236">
        <f>((MW_C*D15)/MW_CH4)/D15</f>
        <v>0.74868663496804788</v>
      </c>
      <c r="F15" s="236">
        <f>1-E15</f>
        <v>0.25131336503195212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7"/>
      <c r="C16" s="236"/>
      <c r="D16" s="236" t="s">
        <v>54</v>
      </c>
      <c r="E16" s="291" t="s">
        <v>574</v>
      </c>
      <c r="F16" s="291" t="s">
        <v>575</v>
      </c>
      <c r="G16" s="291" t="s">
        <v>576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7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7"/>
      <c r="C18" s="236" t="s">
        <v>572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7"/>
      <c r="C19" s="236"/>
      <c r="D19" s="236" t="s">
        <v>473</v>
      </c>
      <c r="E19" s="236" t="s">
        <v>473</v>
      </c>
      <c r="F19" s="293" t="s">
        <v>593</v>
      </c>
      <c r="G19" s="293" t="s">
        <v>594</v>
      </c>
      <c r="H19" s="293" t="s">
        <v>581</v>
      </c>
      <c r="I19" s="293" t="s">
        <v>591</v>
      </c>
      <c r="J19" s="293" t="s">
        <v>591</v>
      </c>
      <c r="K19" s="236" t="s">
        <v>40</v>
      </c>
      <c r="L19" s="293" t="s">
        <v>583</v>
      </c>
      <c r="M19" s="293" t="s">
        <v>584</v>
      </c>
      <c r="N19" s="293" t="s">
        <v>595</v>
      </c>
      <c r="O19" s="293" t="s">
        <v>596</v>
      </c>
      <c r="P19" s="293" t="s">
        <v>34</v>
      </c>
    </row>
    <row r="20" spans="2:16" x14ac:dyDescent="0.2">
      <c r="B20" s="327"/>
      <c r="C20" s="236"/>
      <c r="D20" s="290" t="s">
        <v>474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475</v>
      </c>
      <c r="J20" s="290" t="s">
        <v>592</v>
      </c>
      <c r="K20" s="290" t="s">
        <v>577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7"/>
      <c r="C21" s="236" t="s">
        <v>571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543</v>
      </c>
    </row>
    <row r="33" spans="3:3" x14ac:dyDescent="0.2">
      <c r="C33" s="3" t="s">
        <v>544</v>
      </c>
    </row>
    <row r="34" spans="3:3" x14ac:dyDescent="0.2">
      <c r="C34" s="3" t="s">
        <v>528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2" zoomScale="138" zoomScaleNormal="83" workbookViewId="0">
      <selection activeCell="A62" sqref="A6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24" t="s">
        <v>125</v>
      </c>
      <c r="P10" s="324"/>
      <c r="Q10" s="324"/>
      <c r="R10" s="324"/>
      <c r="S10" s="324"/>
      <c r="T10" s="324"/>
      <c r="U10" s="324"/>
      <c r="V10" s="324" t="s">
        <v>125</v>
      </c>
      <c r="W10" s="324"/>
      <c r="X10" s="324"/>
      <c r="Y10" s="324"/>
      <c r="Z10" s="324"/>
      <c r="AA10" s="324"/>
      <c r="AB10" s="324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24" t="s">
        <v>305</v>
      </c>
      <c r="P11" s="324"/>
      <c r="Q11" s="324"/>
      <c r="R11" s="322"/>
      <c r="S11" s="323"/>
      <c r="T11" s="342" t="s">
        <v>304</v>
      </c>
      <c r="U11" s="332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24" t="s">
        <v>225</v>
      </c>
      <c r="P12" s="324"/>
      <c r="Q12" s="324"/>
      <c r="R12" s="322"/>
      <c r="S12" s="323"/>
      <c r="T12" s="324" t="s">
        <v>224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24" t="s">
        <v>226</v>
      </c>
      <c r="P13" s="324"/>
      <c r="Q13" s="324"/>
      <c r="R13" s="322"/>
      <c r="S13" s="323"/>
      <c r="T13" s="342" t="s">
        <v>227</v>
      </c>
      <c r="U13" s="332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24"/>
      <c r="P14" s="324"/>
      <c r="Q14" s="324"/>
      <c r="R14" s="322"/>
      <c r="S14" s="323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x14ac:dyDescent="0.25">
      <c r="O15" s="324" t="s">
        <v>228</v>
      </c>
      <c r="P15" s="324"/>
      <c r="Q15" s="324"/>
      <c r="R15" s="322"/>
      <c r="S15" s="323"/>
      <c r="T15" s="324" t="s">
        <v>229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77" t="s">
        <v>400</v>
      </c>
      <c r="M16" s="83" t="s">
        <v>401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24" t="s">
        <v>331</v>
      </c>
      <c r="P17" s="324"/>
      <c r="Q17" s="324"/>
      <c r="R17" s="324"/>
      <c r="S17" s="324"/>
      <c r="T17" s="324"/>
      <c r="U17" s="324"/>
      <c r="V17" s="324" t="s">
        <v>125</v>
      </c>
      <c r="W17" s="324"/>
      <c r="X17" s="324"/>
      <c r="Y17" s="324"/>
      <c r="Z17" s="324"/>
      <c r="AA17" s="324"/>
      <c r="AB17" s="324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24" t="s">
        <v>332</v>
      </c>
      <c r="P18" s="324"/>
      <c r="Q18" s="324"/>
      <c r="R18" s="324"/>
      <c r="S18" s="324"/>
      <c r="T18" s="324" t="s">
        <v>333</v>
      </c>
      <c r="U18" s="322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" x14ac:dyDescent="0.2">
      <c r="B19" s="34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x14ac:dyDescent="0.25">
      <c r="A20" s="1"/>
      <c r="B20" s="344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7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8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8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8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9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50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398</v>
      </c>
      <c r="O32" s="3" t="s">
        <v>399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52" t="s">
        <v>397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53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8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4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4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8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8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6" t="s">
        <v>19</v>
      </c>
      <c r="C44" s="32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6" t="s">
        <v>347</v>
      </c>
      <c r="D47" s="336"/>
      <c r="E47" s="336"/>
      <c r="F47" s="336"/>
    </row>
    <row r="48" spans="2:23" x14ac:dyDescent="0.2">
      <c r="C48" s="354"/>
      <c r="D48" s="354"/>
      <c r="E48" s="354"/>
      <c r="F48" s="354"/>
      <c r="H48" s="324" t="s">
        <v>70</v>
      </c>
      <c r="I48" s="324"/>
      <c r="J48" s="324"/>
      <c r="K48" s="324"/>
      <c r="L48" s="324"/>
      <c r="M48" s="324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24" t="s">
        <v>74</v>
      </c>
      <c r="I49" s="324"/>
      <c r="J49" s="324"/>
      <c r="K49" s="13"/>
      <c r="L49" s="342" t="s">
        <v>354</v>
      </c>
      <c r="M49" s="332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5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1"/>
      <c r="J51" s="351"/>
      <c r="K51" s="351"/>
      <c r="L51" s="351"/>
      <c r="M51" s="351"/>
    </row>
    <row r="52" spans="1:17" ht="16.25" customHeight="1" x14ac:dyDescent="0.2">
      <c r="C52" s="7"/>
      <c r="H52" s="351"/>
      <c r="I52" s="351"/>
      <c r="J52" s="351"/>
      <c r="K52" s="351"/>
      <c r="L52" s="351"/>
      <c r="M52" s="351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415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415</v>
      </c>
    </row>
    <row r="59" spans="1:17" ht="17" x14ac:dyDescent="0.25">
      <c r="A59" s="116"/>
      <c r="B59" s="13" t="s">
        <v>65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33</v>
      </c>
      <c r="H59" s="52">
        <v>1</v>
      </c>
      <c r="J59" s="355" t="s">
        <v>623</v>
      </c>
      <c r="K59" s="31" t="s">
        <v>23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34" t="s">
        <v>703</v>
      </c>
      <c r="B60" s="20" t="s">
        <v>24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34</v>
      </c>
      <c r="H60" s="3">
        <v>1</v>
      </c>
      <c r="J60" s="339"/>
      <c r="K60" s="297" t="s">
        <v>622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34"/>
      <c r="B61" s="39" t="s">
        <v>67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206</v>
      </c>
      <c r="H61" s="71">
        <f>H60*3.76</f>
        <v>3.76</v>
      </c>
      <c r="J61" s="339"/>
      <c r="K61" s="39" t="s">
        <v>67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39"/>
      <c r="K62" s="17" t="s">
        <v>19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6" t="s">
        <v>371</v>
      </c>
      <c r="C69" s="336"/>
      <c r="D69" s="336"/>
      <c r="E69" s="336"/>
      <c r="F69" s="336"/>
      <c r="G69" s="336"/>
      <c r="Y69" s="335" t="s">
        <v>635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7"/>
      <c r="C70" s="337"/>
      <c r="D70" s="337"/>
      <c r="E70" s="337"/>
      <c r="F70" s="337"/>
      <c r="G70" s="337"/>
      <c r="K70" s="3" t="s">
        <v>645</v>
      </c>
      <c r="Y70" s="335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373</v>
      </c>
      <c r="G71" s="13" t="s">
        <v>373</v>
      </c>
      <c r="Y71" s="335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361</v>
      </c>
      <c r="E72" s="13"/>
      <c r="F72" s="13" t="s">
        <v>643</v>
      </c>
      <c r="G72" s="13" t="s">
        <v>644</v>
      </c>
      <c r="Y72" s="24"/>
    </row>
    <row r="73" spans="2:45" ht="17" x14ac:dyDescent="0.25">
      <c r="B73" s="13" t="s">
        <v>11</v>
      </c>
      <c r="C73" s="13" t="s">
        <v>12</v>
      </c>
      <c r="D73" s="34" t="s">
        <v>362</v>
      </c>
      <c r="E73" s="13" t="s">
        <v>349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396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641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642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372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364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380</v>
      </c>
      <c r="AG76" s="4" t="s">
        <v>379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674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646</v>
      </c>
      <c r="F78" s="13">
        <v>1415</v>
      </c>
      <c r="G78" s="13">
        <f>(G74*F78)/F74</f>
        <v>23.982067525572877</v>
      </c>
      <c r="H78" s="325"/>
      <c r="I78" s="325"/>
      <c r="J78" s="325"/>
      <c r="K78" s="325"/>
      <c r="L78" s="325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693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684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396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658</v>
      </c>
      <c r="E88" s="281"/>
      <c r="F88" s="7"/>
      <c r="G88" s="132" t="s">
        <v>319</v>
      </c>
      <c r="H88" s="3" t="s">
        <v>382</v>
      </c>
      <c r="I88" s="3" t="s">
        <v>383</v>
      </c>
      <c r="J88" s="4" t="s">
        <v>384</v>
      </c>
      <c r="K88" s="3" t="s">
        <v>385</v>
      </c>
      <c r="L88" s="3" t="s">
        <v>652</v>
      </c>
      <c r="M88" s="132" t="s">
        <v>386</v>
      </c>
      <c r="N88" s="132" t="s">
        <v>461</v>
      </c>
      <c r="X88" s="339" t="s">
        <v>626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33" t="s">
        <v>679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342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342</v>
      </c>
      <c r="X89" s="33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33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33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374</v>
      </c>
      <c r="I91" s="13" t="s">
        <v>362</v>
      </c>
      <c r="J91" s="61" t="s">
        <v>375</v>
      </c>
      <c r="K91" s="61" t="s">
        <v>376</v>
      </c>
      <c r="L91" s="13" t="s">
        <v>675</v>
      </c>
      <c r="M91" s="19" t="s">
        <v>676</v>
      </c>
      <c r="N91" s="3" t="s">
        <v>686</v>
      </c>
      <c r="X91" s="339"/>
      <c r="Y91" s="13" t="s">
        <v>364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33"/>
      <c r="B92" s="13" t="s">
        <v>359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33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681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695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390</v>
      </c>
      <c r="X95" s="315"/>
      <c r="AG95" s="132"/>
    </row>
    <row r="96" spans="1:38" ht="17" x14ac:dyDescent="0.25">
      <c r="B96" s="169" t="s">
        <v>380</v>
      </c>
      <c r="C96" s="3" t="s">
        <v>1</v>
      </c>
      <c r="D96" s="3" t="s">
        <v>47</v>
      </c>
      <c r="E96" s="3" t="s">
        <v>5</v>
      </c>
      <c r="F96" s="198" t="s">
        <v>396</v>
      </c>
      <c r="G96" s="132" t="s">
        <v>319</v>
      </c>
      <c r="H96" s="3" t="s">
        <v>382</v>
      </c>
      <c r="I96" s="3" t="s">
        <v>383</v>
      </c>
      <c r="J96" s="4" t="s">
        <v>384</v>
      </c>
      <c r="K96" s="3" t="s">
        <v>385</v>
      </c>
      <c r="L96" s="3" t="s">
        <v>651</v>
      </c>
      <c r="M96" s="3" t="s">
        <v>652</v>
      </c>
      <c r="N96" s="132" t="s">
        <v>386</v>
      </c>
      <c r="O96" s="132" t="s">
        <v>388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342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342</v>
      </c>
      <c r="X97" s="315"/>
    </row>
    <row r="98" spans="1:38" x14ac:dyDescent="0.2">
      <c r="A98" s="334" t="s">
        <v>624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34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374</v>
      </c>
      <c r="I99" s="13" t="s">
        <v>362</v>
      </c>
      <c r="J99" s="61" t="s">
        <v>375</v>
      </c>
      <c r="K99" s="61" t="s">
        <v>376</v>
      </c>
      <c r="L99" s="13" t="s">
        <v>675</v>
      </c>
      <c r="M99" s="19" t="s">
        <v>377</v>
      </c>
      <c r="N99" s="1"/>
      <c r="Y99" s="24"/>
    </row>
    <row r="100" spans="1:38" ht="16" x14ac:dyDescent="0.2">
      <c r="A100" s="334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34"/>
      <c r="B101" s="13" t="s">
        <v>359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680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609</v>
      </c>
      <c r="N101" s="6"/>
      <c r="Y101" s="298" t="s">
        <v>435</v>
      </c>
      <c r="AG101" s="169" t="s">
        <v>685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372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8" t="s">
        <v>625</v>
      </c>
      <c r="I103" s="338"/>
      <c r="J103" s="338"/>
      <c r="K103" s="338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396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396</v>
      </c>
      <c r="AL104" s="3" t="s">
        <v>39</v>
      </c>
    </row>
    <row r="105" spans="1:38" ht="18" x14ac:dyDescent="0.25">
      <c r="C105" s="3" t="s">
        <v>359</v>
      </c>
      <c r="D105" s="3" t="s">
        <v>5</v>
      </c>
      <c r="E105" s="3" t="s">
        <v>1</v>
      </c>
      <c r="F105" s="3" t="s">
        <v>47</v>
      </c>
      <c r="I105" s="3" t="s">
        <v>359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396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656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657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659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660</v>
      </c>
      <c r="B107" s="13" t="s">
        <v>647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33" t="s">
        <v>678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663</v>
      </c>
      <c r="B108" s="13" t="s">
        <v>648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33"/>
      <c r="O108" s="13" t="s">
        <v>364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664</v>
      </c>
      <c r="B109" s="13" t="s">
        <v>649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33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364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364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662</v>
      </c>
      <c r="B110" s="13" t="s">
        <v>661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33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665</v>
      </c>
      <c r="B111" s="13" t="s">
        <v>668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33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666</v>
      </c>
      <c r="B112" s="13" t="s">
        <v>670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33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667</v>
      </c>
      <c r="B113" s="61" t="s">
        <v>671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650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672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5" t="s">
        <v>682</v>
      </c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</row>
    <row r="155" spans="1:30" x14ac:dyDescent="0.2">
      <c r="D155" s="3" t="s">
        <v>683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40" t="s">
        <v>627</v>
      </c>
      <c r="D158" s="340"/>
      <c r="E158" s="340"/>
      <c r="F158" s="340"/>
      <c r="G158" s="340"/>
    </row>
    <row r="159" spans="1:30" x14ac:dyDescent="0.2">
      <c r="B159" s="169" t="s">
        <v>435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396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396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687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364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359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689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396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396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691</v>
      </c>
      <c r="L191" s="320" t="s">
        <v>690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687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359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5"/>
    </row>
    <row r="202" spans="2:101" x14ac:dyDescent="0.2">
      <c r="H202" s="3" t="s">
        <v>359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5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5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5"/>
    </row>
    <row r="205" spans="2:101" x14ac:dyDescent="0.2">
      <c r="CJ205" s="325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5"/>
    </row>
    <row r="208" spans="2:101" ht="18" x14ac:dyDescent="0.25">
      <c r="B208" s="329" t="s">
        <v>469</v>
      </c>
      <c r="C208" s="329"/>
      <c r="D208" s="329"/>
      <c r="E208" s="329"/>
      <c r="G208" s="20" t="s">
        <v>67</v>
      </c>
      <c r="H208" s="233" t="s">
        <v>24</v>
      </c>
      <c r="J208" s="324" t="s">
        <v>70</v>
      </c>
      <c r="K208" s="324"/>
      <c r="L208" s="324"/>
      <c r="M208" s="324"/>
      <c r="N208" s="324"/>
      <c r="O208" s="324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24" t="s">
        <v>471</v>
      </c>
      <c r="K209" s="324"/>
      <c r="L209" s="324"/>
      <c r="M209" s="13"/>
      <c r="N209" s="331" t="s">
        <v>75</v>
      </c>
      <c r="O209" s="332"/>
    </row>
    <row r="210" spans="2:88" x14ac:dyDescent="0.2">
      <c r="B210" s="329"/>
      <c r="C210" s="329"/>
      <c r="D210" s="329"/>
      <c r="E210" s="329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5" t="s">
        <v>628</v>
      </c>
      <c r="C211" s="325"/>
      <c r="D211" s="325"/>
      <c r="E211" s="325"/>
    </row>
    <row r="213" spans="2:88" ht="17" x14ac:dyDescent="0.25">
      <c r="C213" s="3" t="s">
        <v>1</v>
      </c>
      <c r="D213" s="3" t="s">
        <v>5</v>
      </c>
      <c r="E213" s="198" t="s">
        <v>396</v>
      </c>
      <c r="H213" s="169" t="s">
        <v>379</v>
      </c>
      <c r="I213" s="3" t="s">
        <v>1</v>
      </c>
      <c r="J213" s="3" t="s">
        <v>5</v>
      </c>
      <c r="K213" s="198" t="s">
        <v>396</v>
      </c>
    </row>
    <row r="214" spans="2:88" ht="18" x14ac:dyDescent="0.25">
      <c r="B214" s="169" t="s">
        <v>470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466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5"/>
      <c r="BL216" s="325"/>
      <c r="BM216" s="325"/>
      <c r="BN216" s="325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5"/>
      <c r="BL217" s="325"/>
      <c r="BM217" s="325"/>
      <c r="BN217" s="325"/>
      <c r="CJ217" s="325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5"/>
      <c r="BQ218" s="3" t="e">
        <f>BS218*BT218</f>
        <v>#DIV/0!</v>
      </c>
      <c r="BT218" s="3" t="e">
        <f>O2_Naturalgas_molcoeff*BT230</f>
        <v>#DIV/0!</v>
      </c>
      <c r="CJ218" s="325"/>
    </row>
    <row r="219" spans="2:88" x14ac:dyDescent="0.2">
      <c r="BO219" s="325"/>
      <c r="BQ219" s="3">
        <f>N2_for_coke_oven_comb</f>
        <v>0</v>
      </c>
      <c r="CJ219" s="325"/>
    </row>
    <row r="220" spans="2:88" x14ac:dyDescent="0.2">
      <c r="CJ220" s="325"/>
    </row>
    <row r="221" spans="2:88" x14ac:dyDescent="0.2">
      <c r="J221" s="132" t="s">
        <v>612</v>
      </c>
      <c r="K221" s="132" t="s">
        <v>615</v>
      </c>
      <c r="L221" s="3" t="s">
        <v>382</v>
      </c>
      <c r="M221" s="3" t="s">
        <v>40</v>
      </c>
      <c r="N221" s="4" t="s">
        <v>35</v>
      </c>
      <c r="O221" s="132" t="s">
        <v>613</v>
      </c>
      <c r="P221" s="132" t="s">
        <v>614</v>
      </c>
      <c r="CJ221" s="325"/>
    </row>
    <row r="222" spans="2:88" x14ac:dyDescent="0.2">
      <c r="C222" s="3" t="s">
        <v>611</v>
      </c>
      <c r="J222" s="13" t="s">
        <v>98</v>
      </c>
      <c r="K222" s="13" t="s">
        <v>98</v>
      </c>
      <c r="L222" s="13" t="s">
        <v>342</v>
      </c>
      <c r="M222" s="13" t="s">
        <v>240</v>
      </c>
      <c r="N222" s="13" t="s">
        <v>240</v>
      </c>
      <c r="O222" s="13" t="s">
        <v>98</v>
      </c>
      <c r="P222" s="13" t="s">
        <v>342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466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616</v>
      </c>
    </row>
    <row r="228" spans="2:94" x14ac:dyDescent="0.2">
      <c r="C228" s="3" t="s">
        <v>559</v>
      </c>
      <c r="N228" s="3" t="s">
        <v>617</v>
      </c>
      <c r="BI228"/>
      <c r="BJ228"/>
      <c r="BK228" s="325" t="s">
        <v>453</v>
      </c>
      <c r="BL228" s="325"/>
      <c r="BM228" s="325"/>
      <c r="BN228" s="325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5"/>
      <c r="BL229" s="325"/>
      <c r="BM229" s="325"/>
      <c r="BN229" s="325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466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479</v>
      </c>
      <c r="C233" s="329"/>
      <c r="D233" s="329"/>
      <c r="E233" s="329"/>
      <c r="J233" s="324" t="s">
        <v>70</v>
      </c>
      <c r="K233" s="324"/>
      <c r="L233" s="324"/>
      <c r="M233" s="324"/>
      <c r="N233" s="324"/>
      <c r="O233" s="324"/>
    </row>
    <row r="234" spans="2:94" ht="22" customHeight="1" x14ac:dyDescent="0.25">
      <c r="B234" s="329"/>
      <c r="C234" s="329"/>
      <c r="D234" s="329"/>
      <c r="E234" s="329"/>
      <c r="J234" s="324" t="s">
        <v>481</v>
      </c>
      <c r="K234" s="324"/>
      <c r="L234" s="324"/>
      <c r="M234" s="13"/>
      <c r="N234" s="331" t="s">
        <v>75</v>
      </c>
      <c r="O234" s="332"/>
      <c r="CJ234" s="325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25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5" t="s">
        <v>628</v>
      </c>
      <c r="C236" s="325"/>
      <c r="D236" s="325"/>
      <c r="E236" s="325"/>
      <c r="CJ236" s="325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396</v>
      </c>
      <c r="H238" s="169" t="s">
        <v>379</v>
      </c>
      <c r="I238" s="3" t="s">
        <v>1</v>
      </c>
      <c r="J238" s="3" t="s">
        <v>5</v>
      </c>
      <c r="K238" s="198" t="s">
        <v>396</v>
      </c>
    </row>
    <row r="239" spans="2:94" ht="18" x14ac:dyDescent="0.25">
      <c r="B239" s="169" t="s">
        <v>480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612</v>
      </c>
      <c r="C245" s="132" t="s">
        <v>615</v>
      </c>
      <c r="D245" s="3" t="s">
        <v>382</v>
      </c>
      <c r="E245" s="3" t="s">
        <v>40</v>
      </c>
      <c r="F245" s="4" t="s">
        <v>35</v>
      </c>
      <c r="G245" s="132" t="s">
        <v>613</v>
      </c>
      <c r="H245" s="132" t="s">
        <v>618</v>
      </c>
    </row>
    <row r="246" spans="2:88" x14ac:dyDescent="0.2">
      <c r="B246" s="13" t="s">
        <v>98</v>
      </c>
      <c r="C246" s="13" t="s">
        <v>98</v>
      </c>
      <c r="D246" s="13" t="s">
        <v>342</v>
      </c>
      <c r="E246" s="13" t="s">
        <v>240</v>
      </c>
      <c r="F246" s="13" t="s">
        <v>240</v>
      </c>
      <c r="G246" s="13" t="s">
        <v>98</v>
      </c>
      <c r="H246" s="13" t="s">
        <v>342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484</v>
      </c>
      <c r="C250" s="329"/>
      <c r="D250" s="329"/>
      <c r="E250" s="329"/>
      <c r="J250" s="324" t="s">
        <v>70</v>
      </c>
      <c r="K250" s="324"/>
      <c r="L250" s="324"/>
      <c r="M250" s="324"/>
      <c r="N250" s="324"/>
      <c r="O250" s="324"/>
      <c r="CJ250" s="325"/>
    </row>
    <row r="251" spans="2:88" ht="18" x14ac:dyDescent="0.25">
      <c r="B251" s="329"/>
      <c r="C251" s="329"/>
      <c r="D251" s="329"/>
      <c r="E251" s="329"/>
      <c r="J251" s="324" t="s">
        <v>486</v>
      </c>
      <c r="K251" s="324"/>
      <c r="L251" s="324"/>
      <c r="M251" s="13"/>
      <c r="N251" s="331" t="s">
        <v>75</v>
      </c>
      <c r="O251" s="332"/>
      <c r="CJ251" s="325"/>
    </row>
    <row r="252" spans="2:88" x14ac:dyDescent="0.2">
      <c r="B252" s="329"/>
      <c r="C252" s="329"/>
      <c r="D252" s="329"/>
      <c r="E252" s="329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25"/>
    </row>
    <row r="253" spans="2:88" x14ac:dyDescent="0.2">
      <c r="B253" s="325" t="s">
        <v>628</v>
      </c>
      <c r="C253" s="325"/>
      <c r="D253" s="325"/>
      <c r="E253" s="325"/>
      <c r="CJ253" s="325"/>
    </row>
    <row r="254" spans="2:88" x14ac:dyDescent="0.2">
      <c r="CJ254" s="325"/>
    </row>
    <row r="255" spans="2:88" ht="17" x14ac:dyDescent="0.25">
      <c r="C255" s="3" t="s">
        <v>1</v>
      </c>
      <c r="D255" s="3" t="s">
        <v>5</v>
      </c>
      <c r="E255" s="198" t="s">
        <v>396</v>
      </c>
      <c r="H255" s="169" t="s">
        <v>379</v>
      </c>
      <c r="I255" s="3" t="s">
        <v>1</v>
      </c>
      <c r="J255" s="3" t="s">
        <v>5</v>
      </c>
      <c r="K255" s="198" t="s">
        <v>396</v>
      </c>
      <c r="CJ255" s="325"/>
    </row>
    <row r="256" spans="2:88" ht="18" x14ac:dyDescent="0.25">
      <c r="B256" s="169" t="s">
        <v>348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5"/>
    </row>
    <row r="257" spans="2:88" ht="18" x14ac:dyDescent="0.25">
      <c r="B257" s="61" t="s">
        <v>482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5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5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5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5"/>
    </row>
    <row r="262" spans="2:88" x14ac:dyDescent="0.2">
      <c r="B262" s="132" t="s">
        <v>612</v>
      </c>
      <c r="C262" s="132" t="s">
        <v>615</v>
      </c>
      <c r="D262" s="3" t="s">
        <v>382</v>
      </c>
      <c r="E262" s="3" t="s">
        <v>40</v>
      </c>
      <c r="F262" s="4" t="s">
        <v>35</v>
      </c>
      <c r="G262" s="132" t="s">
        <v>613</v>
      </c>
      <c r="H262" s="132" t="s">
        <v>619</v>
      </c>
    </row>
    <row r="263" spans="2:88" x14ac:dyDescent="0.2">
      <c r="B263" s="13" t="s">
        <v>98</v>
      </c>
      <c r="C263" s="13" t="s">
        <v>98</v>
      </c>
      <c r="D263" s="13" t="s">
        <v>342</v>
      </c>
      <c r="E263" s="13" t="s">
        <v>240</v>
      </c>
      <c r="F263" s="13" t="s">
        <v>240</v>
      </c>
      <c r="G263" s="13" t="s">
        <v>98</v>
      </c>
      <c r="H263" s="13" t="s">
        <v>342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483</v>
      </c>
      <c r="C266" s="329"/>
      <c r="D266" s="329"/>
      <c r="E266" s="329"/>
      <c r="J266" s="324" t="s">
        <v>70</v>
      </c>
      <c r="K266" s="324"/>
      <c r="L266" s="324"/>
      <c r="M266" s="324"/>
      <c r="N266" s="324"/>
      <c r="O266" s="324"/>
    </row>
    <row r="267" spans="2:88" ht="18" x14ac:dyDescent="0.25">
      <c r="B267" s="329"/>
      <c r="C267" s="329"/>
      <c r="D267" s="329"/>
      <c r="E267" s="329"/>
      <c r="J267" s="324" t="s">
        <v>74</v>
      </c>
      <c r="K267" s="324"/>
      <c r="L267" s="324"/>
      <c r="M267" s="13"/>
      <c r="N267" s="331" t="s">
        <v>75</v>
      </c>
      <c r="O267" s="332"/>
    </row>
    <row r="268" spans="2:88" x14ac:dyDescent="0.2">
      <c r="B268" s="329"/>
      <c r="C268" s="329"/>
      <c r="D268" s="329"/>
      <c r="E268" s="329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2:88" x14ac:dyDescent="0.2">
      <c r="B269" s="325" t="s">
        <v>628</v>
      </c>
      <c r="C269" s="325"/>
      <c r="D269" s="325"/>
      <c r="E269" s="325"/>
    </row>
    <row r="271" spans="2:88" ht="17" x14ac:dyDescent="0.25">
      <c r="C271" s="3" t="s">
        <v>1</v>
      </c>
      <c r="D271" s="3" t="s">
        <v>5</v>
      </c>
      <c r="E271" s="198" t="s">
        <v>396</v>
      </c>
      <c r="H271" s="169" t="s">
        <v>379</v>
      </c>
      <c r="I271" s="3" t="s">
        <v>1</v>
      </c>
      <c r="J271" s="3" t="s">
        <v>5</v>
      </c>
      <c r="K271" s="198" t="s">
        <v>396</v>
      </c>
    </row>
    <row r="272" spans="2:88" ht="18" x14ac:dyDescent="0.25">
      <c r="B272" s="169" t="s">
        <v>485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382</v>
      </c>
      <c r="G278" s="3" t="s">
        <v>563</v>
      </c>
      <c r="H278" s="3" t="s">
        <v>563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342</v>
      </c>
      <c r="G279" s="13" t="s">
        <v>342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561</v>
      </c>
      <c r="C283" s="3">
        <f>C280/C281</f>
        <v>0.33567230039130802</v>
      </c>
    </row>
    <row r="284" spans="2:13" x14ac:dyDescent="0.2">
      <c r="B284" s="3" t="s">
        <v>562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  <hyperlink ref="AK93" r:id="rId3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BK126" zoomScale="150" zoomScaleNormal="120" workbookViewId="0">
      <selection activeCell="BN151" sqref="BN15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8" t="s">
        <v>360</v>
      </c>
      <c r="Q23" s="388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9"/>
      <c r="Q24" s="389"/>
    </row>
    <row r="25" spans="14:66" ht="16" x14ac:dyDescent="0.2">
      <c r="P25" s="358" t="s">
        <v>340</v>
      </c>
      <c r="Q25" s="138" t="s">
        <v>314</v>
      </c>
      <c r="AO25" s="368" t="s">
        <v>423</v>
      </c>
      <c r="AP25" s="368"/>
      <c r="AQ25" s="368"/>
      <c r="AR25" s="368"/>
      <c r="AS25" s="368"/>
      <c r="AT25" s="368"/>
      <c r="AU25" s="368"/>
      <c r="BH25" s="368" t="s">
        <v>427</v>
      </c>
      <c r="BI25" s="368"/>
      <c r="BJ25" s="368"/>
      <c r="BK25" s="368"/>
      <c r="BL25" s="368"/>
      <c r="BM25" s="368"/>
      <c r="BN25" s="368"/>
    </row>
    <row r="26" spans="14:66" x14ac:dyDescent="0.2">
      <c r="P26" s="359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337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607</v>
      </c>
      <c r="Q28" s="136">
        <f>V42/V59</f>
        <v>1.1602561161065021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339</v>
      </c>
      <c r="Q29" s="137">
        <f>V46/V59</f>
        <v>0.97422228752096129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6" t="s">
        <v>409</v>
      </c>
      <c r="F42" s="376"/>
      <c r="G42" s="376"/>
      <c r="H42" s="376"/>
      <c r="J42" s="4"/>
      <c r="K42" s="4"/>
      <c r="L42" s="4"/>
      <c r="M42" s="4"/>
      <c r="N42" s="4"/>
      <c r="O42" s="4"/>
      <c r="P42" s="267"/>
      <c r="Q42" s="267" t="s">
        <v>410</v>
      </c>
      <c r="R42" s="267"/>
      <c r="S42" s="4"/>
      <c r="T42" s="4"/>
      <c r="U42" s="50">
        <f>K52</f>
        <v>1011.7674660019052</v>
      </c>
      <c r="V42" s="48">
        <f>V52</f>
        <v>109233.7126431732</v>
      </c>
      <c r="W42" s="386" t="s">
        <v>402</v>
      </c>
      <c r="X42" s="386"/>
      <c r="Y42" s="386"/>
      <c r="Z42" s="386"/>
      <c r="AA42" s="386"/>
      <c r="AB42" s="4"/>
      <c r="AC42" s="4"/>
      <c r="AD42" s="4"/>
      <c r="AE42" s="4"/>
      <c r="AF42" s="4"/>
      <c r="AG42" s="4"/>
      <c r="AH42" s="4"/>
      <c r="AI42" s="97"/>
      <c r="AJ42" s="4" t="s">
        <v>522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86" t="s">
        <v>536</v>
      </c>
      <c r="AQ42" s="386"/>
      <c r="AR42" s="386"/>
      <c r="AS42" s="386"/>
      <c r="AT42" s="386"/>
      <c r="AV42" s="4"/>
      <c r="AW42" s="4"/>
      <c r="AX42" s="4"/>
      <c r="AY42" s="4"/>
      <c r="AZ42" s="4"/>
      <c r="BA42" s="4"/>
      <c r="BB42" s="4"/>
      <c r="BC42" s="4" t="s">
        <v>521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86" t="s">
        <v>428</v>
      </c>
      <c r="BJ42" s="386"/>
      <c r="BK42" s="386"/>
      <c r="BL42" s="386"/>
      <c r="BM42" s="386"/>
      <c r="BV42" s="3" t="s">
        <v>519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6"/>
      <c r="F43" s="376"/>
      <c r="G43" s="376"/>
      <c r="H43" s="376"/>
      <c r="J43" s="4"/>
      <c r="K43" s="4"/>
      <c r="L43" s="4"/>
      <c r="M43" s="4"/>
      <c r="N43" s="4"/>
      <c r="O43" s="4"/>
      <c r="P43" s="4"/>
      <c r="Q43" s="4"/>
      <c r="R43" s="4"/>
      <c r="S43" s="4"/>
      <c r="W43" s="387"/>
      <c r="X43" s="387"/>
      <c r="Y43" s="387"/>
      <c r="Z43" s="387"/>
      <c r="AA43" s="38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6"/>
      <c r="AQ43" s="386"/>
      <c r="AR43" s="386"/>
      <c r="AS43" s="386"/>
      <c r="AT43" s="38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6"/>
      <c r="BJ43" s="386"/>
      <c r="BK43" s="386"/>
      <c r="BL43" s="386"/>
      <c r="BM43" s="386"/>
    </row>
    <row r="44" spans="5:80" ht="19.25" customHeight="1" x14ac:dyDescent="0.25">
      <c r="J44" s="4"/>
      <c r="K44" s="1" t="s">
        <v>529</v>
      </c>
      <c r="L44" s="1" t="s">
        <v>530</v>
      </c>
      <c r="M44" s="1" t="s">
        <v>532</v>
      </c>
      <c r="N44" s="1" t="s">
        <v>85</v>
      </c>
      <c r="O44" s="1" t="s">
        <v>630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531</v>
      </c>
      <c r="V44" s="1" t="s">
        <v>50</v>
      </c>
      <c r="W44" s="22" t="s">
        <v>416</v>
      </c>
      <c r="X44" s="100" t="s">
        <v>456</v>
      </c>
      <c r="Y44" s="189" t="s">
        <v>334</v>
      </c>
      <c r="Z44" s="384" t="s">
        <v>340</v>
      </c>
      <c r="AA44" s="138" t="s">
        <v>314</v>
      </c>
      <c r="AB44" s="4"/>
      <c r="AC44" s="4"/>
      <c r="AD44" s="1" t="s">
        <v>529</v>
      </c>
      <c r="AE44" s="1" t="s">
        <v>530</v>
      </c>
      <c r="AF44" s="1" t="s">
        <v>532</v>
      </c>
      <c r="AG44" s="1" t="s">
        <v>85</v>
      </c>
      <c r="AH44" s="1" t="s">
        <v>630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531</v>
      </c>
      <c r="AO44" s="1" t="s">
        <v>50</v>
      </c>
      <c r="AP44" s="22" t="s">
        <v>416</v>
      </c>
      <c r="AQ44" s="22" t="s">
        <v>456</v>
      </c>
      <c r="AR44" s="159" t="s">
        <v>334</v>
      </c>
      <c r="AS44" s="358" t="s">
        <v>340</v>
      </c>
      <c r="AT44" s="138" t="s">
        <v>314</v>
      </c>
      <c r="AU44" s="4"/>
      <c r="AV44" s="4"/>
      <c r="AW44" s="1" t="s">
        <v>529</v>
      </c>
      <c r="AX44" s="1" t="s">
        <v>530</v>
      </c>
      <c r="AY44" s="1" t="s">
        <v>532</v>
      </c>
      <c r="AZ44" s="1" t="s">
        <v>85</v>
      </c>
      <c r="BA44" s="1" t="s">
        <v>630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531</v>
      </c>
      <c r="BH44" s="1" t="s">
        <v>50</v>
      </c>
      <c r="BI44" s="22" t="s">
        <v>416</v>
      </c>
      <c r="BJ44" s="22" t="s">
        <v>456</v>
      </c>
      <c r="BK44" s="189" t="s">
        <v>334</v>
      </c>
      <c r="BL44" s="358" t="s">
        <v>340</v>
      </c>
      <c r="BM44" s="138" t="s">
        <v>314</v>
      </c>
      <c r="BN44" s="1"/>
      <c r="BO44" s="4"/>
      <c r="BP44" s="1" t="s">
        <v>529</v>
      </c>
      <c r="BQ44" s="1" t="s">
        <v>530</v>
      </c>
      <c r="BR44" s="1" t="s">
        <v>532</v>
      </c>
      <c r="BS44" s="1" t="s">
        <v>85</v>
      </c>
      <c r="BT44" s="1" t="s">
        <v>630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5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9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9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6" t="s">
        <v>410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1">
        <f>ROUND(U42+U59+U72-AN42-AN63, 10)</f>
        <v>0</v>
      </c>
      <c r="Z46" s="188" t="s">
        <v>337</v>
      </c>
      <c r="AA46" s="136">
        <f>(($AG$46*($AN$46-$U$46))/V59)</f>
        <v>0</v>
      </c>
      <c r="AB46" s="356" t="s">
        <v>522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337</v>
      </c>
      <c r="AT46" s="136">
        <f>((AZ46*(BG46-AN46))/AU28)</f>
        <v>0</v>
      </c>
      <c r="AU46" s="356" t="s">
        <v>521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1">
        <f>BZ42+BZ55-BG42</f>
        <v>0</v>
      </c>
      <c r="BL46" s="139" t="s">
        <v>337</v>
      </c>
      <c r="BM46" s="136">
        <f>((BS46*(BZ46-BG46))/BN35)</f>
        <v>0.10204303400670409</v>
      </c>
      <c r="BN46" s="356" t="s">
        <v>519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6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607</v>
      </c>
      <c r="AA47" s="136">
        <f>($AO$42+AO63)/(V59+V72+$V$42)</f>
        <v>0.54834789034775577</v>
      </c>
      <c r="AB47" s="356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607</v>
      </c>
      <c r="AT47" s="136">
        <f>BH42/(AU28+AO42)</f>
        <v>0.15191900995389168</v>
      </c>
      <c r="AU47" s="356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607</v>
      </c>
      <c r="BM47" s="136">
        <f>(CA42+CA55)/(BN35+BH42)</f>
        <v>0.9084965360427989</v>
      </c>
      <c r="BN47" s="356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6" t="s">
        <v>524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395</v>
      </c>
      <c r="AA48" s="137">
        <f>$AO$46/(V59+V72+$V$42)</f>
        <v>0.4504526211892465</v>
      </c>
      <c r="AB48" s="356" t="s">
        <v>523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395</v>
      </c>
      <c r="AT48" s="137">
        <f>BH46/(AU28+AO42)</f>
        <v>0.12756053024900801</v>
      </c>
      <c r="AU48" s="356" t="s">
        <v>520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395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6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6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6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631</v>
      </c>
      <c r="BU49" s="4"/>
      <c r="BV49" s="4"/>
      <c r="BZ49" s="3" t="s">
        <v>96</v>
      </c>
      <c r="CA49" s="1" t="s">
        <v>93</v>
      </c>
    </row>
    <row r="50" spans="2:86" x14ac:dyDescent="0.2">
      <c r="I50" s="356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6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6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6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6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6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556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556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556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631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558</v>
      </c>
      <c r="Z53" s="1" t="s">
        <v>558</v>
      </c>
      <c r="AA53" s="1" t="s">
        <v>558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631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558</v>
      </c>
      <c r="AS53" s="1" t="s">
        <v>558</v>
      </c>
      <c r="AT53" s="1" t="s">
        <v>558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631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558</v>
      </c>
      <c r="BK53" s="1" t="s">
        <v>558</v>
      </c>
      <c r="BL53" s="1" t="s">
        <v>558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557</v>
      </c>
      <c r="Z54" s="3" t="s">
        <v>557</v>
      </c>
      <c r="AA54" s="3" t="s">
        <v>557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557</v>
      </c>
      <c r="AS54" s="3" t="s">
        <v>557</v>
      </c>
      <c r="AT54" s="3" t="s">
        <v>557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557</v>
      </c>
      <c r="BK54" s="3" t="s">
        <v>557</v>
      </c>
      <c r="BL54" s="3" t="s">
        <v>557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518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529</v>
      </c>
      <c r="BQ57" s="1" t="s">
        <v>530</v>
      </c>
      <c r="BR57" s="1" t="s">
        <v>532</v>
      </c>
      <c r="BS57" s="1" t="s">
        <v>85</v>
      </c>
      <c r="BT57" s="1" t="s">
        <v>630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547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6" t="s">
        <v>518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6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61" t="s">
        <v>463</v>
      </c>
      <c r="C61" s="361"/>
      <c r="D61" s="361"/>
      <c r="E61" s="361"/>
      <c r="F61" s="361"/>
      <c r="G61" s="361"/>
      <c r="H61" s="361"/>
      <c r="J61" s="4"/>
      <c r="K61" s="3" t="s">
        <v>535</v>
      </c>
      <c r="L61" s="1" t="s">
        <v>529</v>
      </c>
      <c r="M61" s="1" t="s">
        <v>532</v>
      </c>
      <c r="N61" s="1" t="s">
        <v>85</v>
      </c>
      <c r="O61" s="1" t="s">
        <v>630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531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6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74"/>
      <c r="C62" s="374"/>
      <c r="D62" s="374"/>
      <c r="E62" s="374"/>
      <c r="F62" s="374"/>
      <c r="G62" s="374"/>
      <c r="H62" s="374"/>
      <c r="J62" s="4" t="s">
        <v>41</v>
      </c>
      <c r="K62" s="3" t="s">
        <v>534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621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6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547</v>
      </c>
      <c r="J63" s="62" t="s">
        <v>466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489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359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631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631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529</v>
      </c>
      <c r="AE65" s="1" t="s">
        <v>530</v>
      </c>
      <c r="AF65" s="1" t="s">
        <v>532</v>
      </c>
      <c r="AG65" s="1" t="s">
        <v>85</v>
      </c>
      <c r="AH65" s="1" t="s">
        <v>630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6" t="s">
        <v>489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6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6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6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631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500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61" t="s">
        <v>494</v>
      </c>
      <c r="F74" s="361"/>
      <c r="G74" s="361"/>
      <c r="H74" s="361"/>
      <c r="K74" s="1" t="s">
        <v>529</v>
      </c>
      <c r="L74" s="1" t="s">
        <v>530</v>
      </c>
      <c r="M74" s="1" t="s">
        <v>532</v>
      </c>
      <c r="N74" s="1" t="s">
        <v>85</v>
      </c>
      <c r="O74" s="1" t="s">
        <v>630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61"/>
      <c r="F75" s="361"/>
      <c r="G75" s="361"/>
      <c r="H75" s="36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6" t="s">
        <v>500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6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631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335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392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491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61" t="s">
        <v>490</v>
      </c>
      <c r="DU103" s="361"/>
      <c r="DV103" s="361"/>
      <c r="DW103" s="361"/>
      <c r="DX103" s="361"/>
      <c r="DY103" s="361"/>
      <c r="EA103" s="4"/>
      <c r="EB103" s="3" t="s">
        <v>535</v>
      </c>
      <c r="EC103" s="1" t="s">
        <v>529</v>
      </c>
      <c r="ED103" s="3" t="s">
        <v>5</v>
      </c>
      <c r="EE103" s="1" t="s">
        <v>85</v>
      </c>
      <c r="EF103" s="1" t="s">
        <v>630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74"/>
      <c r="DU104" s="374"/>
      <c r="DV104" s="374"/>
      <c r="DW104" s="374"/>
      <c r="DX104" s="374"/>
      <c r="DY104" s="374"/>
      <c r="EA104" s="4" t="s">
        <v>41</v>
      </c>
      <c r="EB104" s="3" t="s">
        <v>534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342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538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491</v>
      </c>
      <c r="EA105" s="96" t="s">
        <v>482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530</v>
      </c>
      <c r="FD106" s="1" t="s">
        <v>5</v>
      </c>
      <c r="FE106" s="1" t="s">
        <v>85</v>
      </c>
      <c r="FF106" s="1" t="s">
        <v>630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528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631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533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538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92" t="s">
        <v>423</v>
      </c>
      <c r="AP110" s="390"/>
      <c r="AQ110" s="390"/>
      <c r="AR110" s="390"/>
      <c r="AS110" s="390"/>
      <c r="AT110" s="390"/>
      <c r="AU110" s="39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0" t="s">
        <v>427</v>
      </c>
      <c r="BH110" s="390"/>
      <c r="BI110" s="390"/>
      <c r="BJ110" s="390"/>
      <c r="BK110" s="390"/>
      <c r="BL110" s="390"/>
      <c r="BM110" s="39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345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631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82" t="s">
        <v>360</v>
      </c>
      <c r="Q111" s="38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3"/>
      <c r="Q112" s="38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8" t="s">
        <v>340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9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507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0" t="s">
        <v>429</v>
      </c>
      <c r="EQ114" s="390"/>
      <c r="ER114" s="390"/>
      <c r="ES114" s="390"/>
      <c r="ET114" s="390"/>
      <c r="EU114" s="390"/>
    </row>
    <row r="115" spans="5:176" ht="16" x14ac:dyDescent="0.2">
      <c r="P115" s="139" t="s">
        <v>337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607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529</v>
      </c>
      <c r="CM116" s="1" t="s">
        <v>530</v>
      </c>
      <c r="CN116" s="1" t="s">
        <v>532</v>
      </c>
      <c r="CO116" s="1" t="s">
        <v>85</v>
      </c>
      <c r="CP116" s="1" t="s">
        <v>630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531</v>
      </c>
      <c r="CW116" s="1" t="s">
        <v>50</v>
      </c>
      <c r="CX116" s="6"/>
      <c r="CY116" s="4"/>
      <c r="DB116" s="4"/>
      <c r="DC116" s="4"/>
      <c r="DT116" s="361" t="s">
        <v>453</v>
      </c>
      <c r="DU116" s="361"/>
      <c r="DV116" s="361"/>
      <c r="DW116" s="361"/>
      <c r="DX116" s="361"/>
      <c r="DY116" s="361"/>
      <c r="EA116" s="4"/>
      <c r="EB116" s="3" t="s">
        <v>535</v>
      </c>
      <c r="EC116" s="1" t="s">
        <v>529</v>
      </c>
      <c r="ED116" s="3" t="s">
        <v>5</v>
      </c>
      <c r="EE116" s="1" t="s">
        <v>85</v>
      </c>
      <c r="EF116" s="1" t="s">
        <v>630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531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339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74"/>
      <c r="DU117" s="374"/>
      <c r="DV117" s="374"/>
      <c r="DW117" s="374"/>
      <c r="DX117" s="374"/>
      <c r="DY117" s="374"/>
      <c r="EA117" s="4" t="s">
        <v>41</v>
      </c>
      <c r="EB117" s="3" t="s">
        <v>534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507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454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631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631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336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505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6" t="s">
        <v>493</v>
      </c>
      <c r="F126" s="376"/>
      <c r="G126" s="376"/>
      <c r="H126" s="376"/>
      <c r="J126" s="6"/>
      <c r="K126" s="121"/>
      <c r="L126" s="6"/>
      <c r="M126" s="6"/>
      <c r="N126" s="6"/>
      <c r="O126" s="6"/>
      <c r="P126" s="6"/>
      <c r="Q126" s="6" t="s">
        <v>412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81" t="s">
        <v>403</v>
      </c>
      <c r="X126" s="381"/>
      <c r="Y126" s="381"/>
      <c r="Z126" s="381"/>
      <c r="AA126" s="38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492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81" t="s">
        <v>515</v>
      </c>
      <c r="AR126" s="381"/>
      <c r="AS126" s="381"/>
      <c r="AT126" s="381"/>
      <c r="AU126" s="381"/>
      <c r="AV126" s="6"/>
      <c r="AW126" s="6"/>
      <c r="AX126" s="121"/>
      <c r="AY126" s="6"/>
      <c r="AZ126" s="6"/>
      <c r="BA126" s="6"/>
      <c r="BB126" s="6"/>
      <c r="BC126" s="6"/>
      <c r="BD126" s="6" t="s">
        <v>516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81" t="s">
        <v>425</v>
      </c>
      <c r="BK126" s="381"/>
      <c r="BL126" s="381"/>
      <c r="BM126" s="381"/>
      <c r="BN126" s="381"/>
      <c r="BO126" s="6"/>
      <c r="BP126" s="6"/>
      <c r="BQ126" s="121"/>
      <c r="BR126" s="6"/>
      <c r="BS126" s="6"/>
      <c r="BT126" s="6"/>
      <c r="BU126" s="6"/>
      <c r="BV126" s="6"/>
      <c r="BW126" s="6" t="s">
        <v>459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81" t="s">
        <v>426</v>
      </c>
      <c r="CD126" s="381"/>
      <c r="CE126" s="381"/>
      <c r="CF126" s="381"/>
      <c r="CG126" s="38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0" t="s">
        <v>81</v>
      </c>
      <c r="DT126" s="370"/>
      <c r="DU126" s="370"/>
      <c r="DV126" s="370"/>
      <c r="DW126" s="370"/>
      <c r="DX126" s="370"/>
      <c r="DY126" s="370"/>
      <c r="EG126" s="3" t="s">
        <v>525</v>
      </c>
      <c r="EL126" s="170">
        <f>EB134</f>
        <v>1314.2879334772852</v>
      </c>
      <c r="EM126" s="171">
        <f>EM134</f>
        <v>6688312.3779436089</v>
      </c>
      <c r="EN126" s="360" t="s">
        <v>414</v>
      </c>
      <c r="EO126" s="360"/>
      <c r="EP126" s="360"/>
      <c r="EQ126" s="360"/>
      <c r="ER126" s="360"/>
      <c r="ES126" s="360"/>
      <c r="ET126" s="360"/>
      <c r="EY126" s="1"/>
      <c r="EZ126" s="1"/>
      <c r="FA126" s="1"/>
      <c r="FB126" s="1"/>
      <c r="FC126" s="1"/>
      <c r="FD126" s="1"/>
      <c r="FE126" s="3" t="s">
        <v>526</v>
      </c>
      <c r="FL126" s="50">
        <f>FB131</f>
        <v>616.23583583508366</v>
      </c>
      <c r="FM126" s="48">
        <f>FM131</f>
        <v>4157895.2984628798</v>
      </c>
      <c r="FN126" s="360" t="s">
        <v>408</v>
      </c>
      <c r="FO126" s="360"/>
      <c r="FP126" s="360"/>
      <c r="FQ126" s="360"/>
      <c r="FR126" s="360"/>
      <c r="FS126" s="360"/>
      <c r="FT126" s="360"/>
    </row>
    <row r="127" spans="5:176" ht="16.25" customHeight="1" thickBot="1" x14ac:dyDescent="0.25">
      <c r="E127" s="376"/>
      <c r="F127" s="376"/>
      <c r="G127" s="376"/>
      <c r="H127" s="37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1"/>
      <c r="X127" s="391"/>
      <c r="Y127" s="391"/>
      <c r="Z127" s="391"/>
      <c r="AA127" s="39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1"/>
      <c r="AR127" s="381"/>
      <c r="AS127" s="381"/>
      <c r="AT127" s="381"/>
      <c r="AU127" s="38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1"/>
      <c r="BK127" s="381"/>
      <c r="BL127" s="381"/>
      <c r="BM127" s="381"/>
      <c r="BN127" s="38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1"/>
      <c r="CD127" s="381"/>
      <c r="CE127" s="381"/>
      <c r="CF127" s="381"/>
      <c r="CG127" s="38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0"/>
      <c r="DT127" s="370"/>
      <c r="DU127" s="370"/>
      <c r="DV127" s="370"/>
      <c r="DW127" s="370"/>
      <c r="DX127" s="370"/>
      <c r="DY127" s="370"/>
      <c r="EN127" s="360"/>
      <c r="EO127" s="360"/>
      <c r="EP127" s="360"/>
      <c r="EQ127" s="360"/>
      <c r="ER127" s="360"/>
      <c r="ES127" s="360"/>
      <c r="ET127" s="360"/>
      <c r="EY127" s="1"/>
      <c r="EZ127" s="1"/>
      <c r="FA127" s="1"/>
      <c r="FB127" s="1"/>
      <c r="FC127" s="1"/>
      <c r="FD127" s="1"/>
      <c r="FE127" s="1"/>
      <c r="FF127" s="1"/>
      <c r="FG127" s="1"/>
      <c r="FN127" s="360"/>
      <c r="FO127" s="360"/>
      <c r="FP127" s="360"/>
      <c r="FQ127" s="360"/>
      <c r="FR127" s="360"/>
      <c r="FS127" s="360"/>
      <c r="FT127" s="360"/>
    </row>
    <row r="128" spans="5:176" ht="19.75" customHeight="1" thickBot="1" x14ac:dyDescent="0.3">
      <c r="J128" s="4"/>
      <c r="K128" s="1" t="s">
        <v>529</v>
      </c>
      <c r="L128" s="1" t="s">
        <v>530</v>
      </c>
      <c r="M128" s="1" t="s">
        <v>532</v>
      </c>
      <c r="N128" s="1" t="s">
        <v>85</v>
      </c>
      <c r="O128" s="1" t="s">
        <v>630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531</v>
      </c>
      <c r="V128" s="1" t="s">
        <v>50</v>
      </c>
      <c r="W128" s="22" t="s">
        <v>416</v>
      </c>
      <c r="X128" s="100" t="s">
        <v>456</v>
      </c>
      <c r="Y128" s="135" t="s">
        <v>344</v>
      </c>
      <c r="Z128" s="358" t="s">
        <v>340</v>
      </c>
      <c r="AA128" s="138" t="s">
        <v>314</v>
      </c>
      <c r="AB128" s="1"/>
      <c r="AC128" s="6"/>
      <c r="AD128" s="4"/>
      <c r="AE128" s="1" t="s">
        <v>529</v>
      </c>
      <c r="AF128" s="1" t="s">
        <v>530</v>
      </c>
      <c r="AG128" s="1" t="s">
        <v>532</v>
      </c>
      <c r="AH128" s="1" t="s">
        <v>85</v>
      </c>
      <c r="AI128" s="1" t="s">
        <v>630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531</v>
      </c>
      <c r="AP128" s="1" t="s">
        <v>50</v>
      </c>
      <c r="AQ128" s="22" t="s">
        <v>416</v>
      </c>
      <c r="AR128" s="100" t="s">
        <v>456</v>
      </c>
      <c r="AS128" s="135" t="s">
        <v>344</v>
      </c>
      <c r="AT128" s="358" t="s">
        <v>340</v>
      </c>
      <c r="AU128" s="138" t="s">
        <v>314</v>
      </c>
      <c r="AV128" s="1"/>
      <c r="AW128" s="4"/>
      <c r="AX128" s="1" t="s">
        <v>529</v>
      </c>
      <c r="AY128" s="1" t="s">
        <v>530</v>
      </c>
      <c r="AZ128" s="1" t="s">
        <v>532</v>
      </c>
      <c r="BA128" s="1" t="s">
        <v>85</v>
      </c>
      <c r="BB128" s="1" t="s">
        <v>630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531</v>
      </c>
      <c r="BI128" s="1" t="s">
        <v>50</v>
      </c>
      <c r="BJ128" s="22" t="s">
        <v>416</v>
      </c>
      <c r="BK128" s="100" t="s">
        <v>456</v>
      </c>
      <c r="BL128" s="135" t="s">
        <v>344</v>
      </c>
      <c r="BM128" s="358" t="s">
        <v>340</v>
      </c>
      <c r="BN128" s="138" t="s">
        <v>314</v>
      </c>
      <c r="BO128" s="1"/>
      <c r="BP128" s="4"/>
      <c r="BQ128" s="1" t="s">
        <v>529</v>
      </c>
      <c r="BR128" s="1" t="s">
        <v>530</v>
      </c>
      <c r="BS128" s="1" t="s">
        <v>532</v>
      </c>
      <c r="BT128" s="1" t="s">
        <v>85</v>
      </c>
      <c r="BU128" s="1" t="s">
        <v>630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531</v>
      </c>
      <c r="CB128" s="1" t="s">
        <v>50</v>
      </c>
      <c r="CC128" s="22" t="s">
        <v>416</v>
      </c>
      <c r="CD128" s="100" t="s">
        <v>456</v>
      </c>
      <c r="CE128" s="135" t="s">
        <v>344</v>
      </c>
      <c r="CF128" s="358" t="s">
        <v>340</v>
      </c>
      <c r="CG128" s="138" t="s">
        <v>314</v>
      </c>
      <c r="CH128" s="113"/>
      <c r="CI128" s="113"/>
      <c r="CJ128" s="113"/>
      <c r="CK128" s="4"/>
      <c r="CL128" s="1" t="s">
        <v>529</v>
      </c>
      <c r="CM128" s="1" t="s">
        <v>530</v>
      </c>
      <c r="CN128" s="1" t="s">
        <v>532</v>
      </c>
      <c r="CO128" s="1" t="s">
        <v>85</v>
      </c>
      <c r="CP128" s="1" t="s">
        <v>630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531</v>
      </c>
      <c r="CW128" s="1" t="s">
        <v>50</v>
      </c>
      <c r="DS128" s="370"/>
      <c r="DT128" s="370"/>
      <c r="DU128" s="370"/>
      <c r="DV128" s="370"/>
      <c r="DW128" s="370"/>
      <c r="DX128" s="370"/>
      <c r="DY128" s="370"/>
      <c r="EA128" s="4"/>
      <c r="EB128" s="1" t="s">
        <v>529</v>
      </c>
      <c r="EC128" s="1" t="s">
        <v>530</v>
      </c>
      <c r="ED128" s="1" t="s">
        <v>532</v>
      </c>
      <c r="EE128" s="1" t="s">
        <v>85</v>
      </c>
      <c r="EF128" s="1" t="s">
        <v>630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531</v>
      </c>
      <c r="EM128" s="1" t="s">
        <v>50</v>
      </c>
      <c r="EN128" s="360"/>
      <c r="EO128" s="360"/>
      <c r="EP128" s="360"/>
      <c r="EQ128" s="360"/>
      <c r="ER128" s="360"/>
      <c r="ES128" s="360"/>
      <c r="ET128" s="360"/>
      <c r="EZ128" s="1"/>
      <c r="FA128" s="1"/>
      <c r="FB128" s="1" t="s">
        <v>529</v>
      </c>
      <c r="FC128" s="1" t="s">
        <v>530</v>
      </c>
      <c r="FD128" s="1" t="s">
        <v>532</v>
      </c>
      <c r="FE128" s="1" t="s">
        <v>85</v>
      </c>
      <c r="FF128" s="1" t="s">
        <v>630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531</v>
      </c>
      <c r="FM128" s="1" t="s">
        <v>50</v>
      </c>
      <c r="FN128" s="360"/>
      <c r="FO128" s="360"/>
      <c r="FP128" s="360"/>
      <c r="FQ128" s="360"/>
      <c r="FR128" s="360"/>
      <c r="FS128" s="360"/>
      <c r="FT128" s="360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9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9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9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9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416</v>
      </c>
      <c r="DU129" s="22" t="s">
        <v>456</v>
      </c>
      <c r="DV129" s="159" t="s">
        <v>334</v>
      </c>
      <c r="DW129" s="371" t="s">
        <v>340</v>
      </c>
      <c r="DX129" s="102" t="s">
        <v>314</v>
      </c>
      <c r="DY129" s="1"/>
      <c r="EA129" s="4" t="s">
        <v>41</v>
      </c>
      <c r="EB129" s="1" t="s">
        <v>88</v>
      </c>
      <c r="EC129" s="1" t="s">
        <v>533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416</v>
      </c>
      <c r="EP129" s="22" t="s">
        <v>456</v>
      </c>
      <c r="EQ129" s="189" t="s">
        <v>334</v>
      </c>
      <c r="ER129" s="362" t="s">
        <v>340</v>
      </c>
      <c r="ES129" s="102" t="s">
        <v>314</v>
      </c>
      <c r="FA129" s="2" t="s">
        <v>41</v>
      </c>
      <c r="FB129" s="1" t="s">
        <v>88</v>
      </c>
      <c r="FC129" s="1" t="s">
        <v>533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64" t="s">
        <v>412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1">
        <f>SUM(U126,U140,U151,U163) - SUM(AO126,AO142)</f>
        <v>0</v>
      </c>
      <c r="Z130" s="139" t="s">
        <v>337</v>
      </c>
      <c r="AA130" s="136">
        <f>(($AH$130*($AO$130-U130))/(V140+V151))</f>
        <v>0</v>
      </c>
      <c r="AB130" s="4"/>
      <c r="AC130" s="364" t="s">
        <v>492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337</v>
      </c>
      <c r="AU130" s="136">
        <f>((BA130*(BH130-AO130)/AU113))</f>
        <v>0</v>
      </c>
      <c r="AV130" s="364" t="s">
        <v>516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337</v>
      </c>
      <c r="BN130" s="136">
        <f>((BT130*(CA130-BH130)/BM116))</f>
        <v>0</v>
      </c>
      <c r="BO130" s="364" t="s">
        <v>504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99821.043389412342</v>
      </c>
      <c r="CD130" s="124">
        <f>CB126+CB140+CB152-CW114-CW126-CW138</f>
        <v>1639676.7531454919</v>
      </c>
      <c r="CE130" s="191">
        <f>SUM(CV138,CV126,CV114) - SUM(CA126,CA140,CA152)</f>
        <v>0</v>
      </c>
      <c r="CF130" s="139" t="s">
        <v>337</v>
      </c>
      <c r="CG130" s="136" t="s">
        <v>98</v>
      </c>
      <c r="CH130" s="113"/>
      <c r="CI130" s="113"/>
      <c r="CJ130" s="219" t="s">
        <v>505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72"/>
      <c r="DX130" s="136" t="s">
        <v>82</v>
      </c>
      <c r="DY130" s="4"/>
      <c r="DZ130" s="364" t="s">
        <v>525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-3.6227018632941537</v>
      </c>
      <c r="EK130" s="174">
        <f>EG130+EJ130</f>
        <v>13.735698136705921</v>
      </c>
      <c r="EL130" s="174">
        <f>EK130*EH130</f>
        <v>2.7864691852968417</v>
      </c>
      <c r="EM130" s="174">
        <f>$EE$134*EL130</f>
        <v>75785.024819154569</v>
      </c>
      <c r="EO130" s="210" t="s">
        <v>48</v>
      </c>
      <c r="EP130" s="9" t="s">
        <v>48</v>
      </c>
      <c r="EQ130" s="9" t="s">
        <v>89</v>
      </c>
      <c r="ER130" s="363"/>
      <c r="ES130" s="136" t="s">
        <v>82</v>
      </c>
      <c r="EZ130" s="219" t="s">
        <v>526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64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607</v>
      </c>
      <c r="AA131" s="136">
        <f>($AP$126+AP142)/(SUM(V126,V140,V163,V151))</f>
        <v>0.98926908455007689</v>
      </c>
      <c r="AB131" s="4"/>
      <c r="AC131" s="364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607</v>
      </c>
      <c r="AU131" s="136">
        <f>BI126/(AU113+AP126)</f>
        <v>0.89989464623142024</v>
      </c>
      <c r="AV131" s="364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607</v>
      </c>
      <c r="BN131" s="136">
        <f>CB126/(BM113+BI126)</f>
        <v>0.99885105550639652</v>
      </c>
      <c r="BO131" s="364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607</v>
      </c>
      <c r="CG131" s="136">
        <f>(CW138+CW126+CW114)/(CB140+CB126+CB152)</f>
        <v>0.17251310939252748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50958.119089669548</v>
      </c>
      <c r="DV131" s="141">
        <f>EL126-CV126-CV206-BZ42</f>
        <v>0</v>
      </c>
      <c r="DW131" s="139" t="s">
        <v>337</v>
      </c>
      <c r="DX131" s="103" t="s">
        <v>98</v>
      </c>
      <c r="DY131" s="4"/>
      <c r="DZ131" s="364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-5.9505178071853404</v>
      </c>
      <c r="EK131" s="176">
        <f t="shared" ref="EK131:EK133" si="48">EG131+EJ131</f>
        <v>-4.4245178071852731</v>
      </c>
      <c r="EL131" s="176">
        <f t="shared" ref="EL131:EL133" si="49">EK131*EH131</f>
        <v>-0.32203548055761444</v>
      </c>
      <c r="EM131" s="176">
        <f>$EE$134*EL131</f>
        <v>-8758.5633516012749</v>
      </c>
      <c r="EO131" s="104">
        <f>FM141+FM104</f>
        <v>492730.72808434837</v>
      </c>
      <c r="EP131" s="277">
        <f>SUM(EM101,EM114,EM126,EM140,EM152)-(FM126+FM141+FM104)</f>
        <v>7249524.1182811176</v>
      </c>
      <c r="EQ131" s="276">
        <f>(SUM(BF_SolidWaste,FL126,FL141))-SUM(EL101,EL114,EL126,EL140,EL152)</f>
        <v>0</v>
      </c>
      <c r="ER131" s="139" t="s">
        <v>337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395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395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395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395</v>
      </c>
      <c r="CG132" s="137">
        <f>CW130/(CB126+CB152+CB140)</f>
        <v>0.12213695771931468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631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607</v>
      </c>
      <c r="DX132" s="103">
        <f>EM126/(CW126+CW206+CA42)</f>
        <v>0.99243862980242414</v>
      </c>
      <c r="DY132" s="4"/>
      <c r="DZ132" s="364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-5.9505178071853404</v>
      </c>
      <c r="EK132" s="176">
        <f t="shared" si="48"/>
        <v>116.30748219281459</v>
      </c>
      <c r="EL132" s="176">
        <f t="shared" si="49"/>
        <v>8.4653599674937023</v>
      </c>
      <c r="EM132" s="176">
        <f>$EE$134*EL132</f>
        <v>230236.71628051536</v>
      </c>
      <c r="EP132" s="4"/>
      <c r="EQ132" s="4"/>
      <c r="ER132" s="139" t="s">
        <v>607</v>
      </c>
      <c r="ES132" s="103">
        <f>SUM(FM104,FM126,FM141)/SUM(EU117,EM101,EM114,EM126,EM140,EM152)</f>
        <v>0.3806036077801323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631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631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631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631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631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395</v>
      </c>
      <c r="DX133" s="99">
        <f>EM130/(CW126+CW206+CA42)</f>
        <v>1.1245286096249765E-2</v>
      </c>
      <c r="DY133" s="4"/>
      <c r="DZ133" s="364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-0.97282277478740409</v>
      </c>
      <c r="EK133" s="176">
        <f t="shared" si="48"/>
        <v>360.64774086251907</v>
      </c>
      <c r="EL133" s="176">
        <f t="shared" si="49"/>
        <v>234.98655177005148</v>
      </c>
      <c r="EM133" s="176">
        <f>$EE$134*EL133</f>
        <v>6391049.2001955407</v>
      </c>
      <c r="ER133" s="140" t="s">
        <v>395</v>
      </c>
      <c r="ES133" s="99">
        <f>FM130/SUM(EU117,EM152,EM140,EM126,EM114,EM101)</f>
        <v>0.34027890919062509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556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556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6688312.3779436089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556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558</v>
      </c>
      <c r="AS135" s="1" t="s">
        <v>558</v>
      </c>
      <c r="AT135" s="1" t="s">
        <v>558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558</v>
      </c>
      <c r="BL135" s="1" t="s">
        <v>558</v>
      </c>
      <c r="BM135" s="1" t="s">
        <v>558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631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558</v>
      </c>
      <c r="Z136" s="1" t="s">
        <v>558</v>
      </c>
      <c r="AA136" s="1" t="s">
        <v>558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557</v>
      </c>
      <c r="AS136" s="3" t="s">
        <v>557</v>
      </c>
      <c r="AT136" s="3" t="s">
        <v>557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557</v>
      </c>
      <c r="BL136" s="3" t="s">
        <v>557</v>
      </c>
      <c r="BM136" s="3" t="s">
        <v>557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556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61" t="s">
        <v>463</v>
      </c>
      <c r="C137" s="361"/>
      <c r="D137" s="361"/>
      <c r="E137" s="361"/>
      <c r="F137" s="361"/>
      <c r="G137" s="361"/>
      <c r="H137" s="361"/>
      <c r="T137" s="4"/>
      <c r="U137" s="4"/>
      <c r="V137" s="4"/>
      <c r="W137" s="4"/>
      <c r="X137" s="4" t="s">
        <v>60</v>
      </c>
      <c r="Y137" s="3" t="s">
        <v>557</v>
      </c>
      <c r="Z137" s="3" t="s">
        <v>557</v>
      </c>
      <c r="AA137" s="3" t="s">
        <v>557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558</v>
      </c>
      <c r="CF137" s="1" t="s">
        <v>558</v>
      </c>
      <c r="CG137" s="1" t="s">
        <v>558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556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74"/>
      <c r="C138" s="374"/>
      <c r="D138" s="374"/>
      <c r="E138" s="374"/>
      <c r="F138" s="374"/>
      <c r="G138" s="374"/>
      <c r="H138" s="37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336</v>
      </c>
      <c r="CA138" s="155" t="s">
        <v>1</v>
      </c>
      <c r="CB138" s="58" t="s">
        <v>0</v>
      </c>
      <c r="CD138" s="4" t="s">
        <v>60</v>
      </c>
      <c r="CE138" s="3" t="s">
        <v>557</v>
      </c>
      <c r="CF138" s="3" t="s">
        <v>557</v>
      </c>
      <c r="CG138" s="3" t="s">
        <v>557</v>
      </c>
      <c r="CH138" s="1"/>
      <c r="CI138" s="1"/>
      <c r="CJ138" s="1"/>
      <c r="CK138" s="1"/>
      <c r="CL138" s="1"/>
      <c r="CO138" s="4"/>
      <c r="CP138" s="4"/>
      <c r="CQ138" s="4"/>
      <c r="CR138" s="3" t="s">
        <v>506</v>
      </c>
      <c r="CV138" s="50">
        <f>CL145</f>
        <v>774.43493010294708</v>
      </c>
      <c r="CW138" s="48">
        <f>CW145</f>
        <v>92081.792209341191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558</v>
      </c>
      <c r="ER138" s="1" t="s">
        <v>558</v>
      </c>
      <c r="ES138" s="1" t="s">
        <v>558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557</v>
      </c>
      <c r="ER139" s="3" t="s">
        <v>557</v>
      </c>
      <c r="ES139" s="3" t="s">
        <v>557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547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500</v>
      </c>
      <c r="BZ140" s="122">
        <v>298.14999999999998</v>
      </c>
      <c r="CA140" s="156">
        <f>BQ146</f>
        <v>644.2421909044931</v>
      </c>
      <c r="CB140" s="48">
        <f>CB146</f>
        <v>5043.1561155210738</v>
      </c>
      <c r="CD140" s="3" t="s">
        <v>18</v>
      </c>
      <c r="CE140" s="83">
        <f>BT130+BT131+BT156</f>
        <v>4448.8373784188816</v>
      </c>
      <c r="CF140" s="83">
        <f>CO143</f>
        <v>4448.8373784188816</v>
      </c>
      <c r="CG140" s="3">
        <f>CE140-CF140</f>
        <v>0</v>
      </c>
      <c r="CK140" s="4"/>
      <c r="CL140" s="1" t="s">
        <v>529</v>
      </c>
      <c r="CM140" s="1" t="s">
        <v>530</v>
      </c>
      <c r="CN140" s="1" t="s">
        <v>532</v>
      </c>
      <c r="CO140" s="1" t="s">
        <v>85</v>
      </c>
      <c r="CP140" s="1" t="s">
        <v>630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531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500</v>
      </c>
      <c r="EI140" s="165"/>
      <c r="EJ140" s="165"/>
      <c r="EK140" s="165"/>
      <c r="EL140" s="170">
        <f>EB146</f>
        <v>2852.0490535886452</v>
      </c>
      <c r="EM140" s="171">
        <f>EM146</f>
        <v>22325.965032153523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527</v>
      </c>
      <c r="FL141" s="50">
        <f>FB149</f>
        <v>3402.2651449800928</v>
      </c>
      <c r="FM141" s="48">
        <f>FM149</f>
        <v>424855.37186650094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535</v>
      </c>
      <c r="L142" s="1" t="s">
        <v>529</v>
      </c>
      <c r="M142" s="1" t="s">
        <v>532</v>
      </c>
      <c r="N142" s="1" t="s">
        <v>85</v>
      </c>
      <c r="O142" s="1" t="s">
        <v>630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531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517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61" t="s">
        <v>494</v>
      </c>
      <c r="BL142" s="361"/>
      <c r="BM142" s="361"/>
      <c r="BN142" s="361"/>
      <c r="BP142" s="4"/>
      <c r="BQ142" s="1" t="s">
        <v>529</v>
      </c>
      <c r="BR142" s="1" t="s">
        <v>530</v>
      </c>
      <c r="BS142" s="1" t="s">
        <v>532</v>
      </c>
      <c r="BT142" s="1" t="s">
        <v>85</v>
      </c>
      <c r="BU142" s="1" t="s">
        <v>630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531</v>
      </c>
      <c r="CB142" s="1" t="s">
        <v>50</v>
      </c>
      <c r="CC142" s="1"/>
      <c r="CD142" s="3" t="s">
        <v>29</v>
      </c>
      <c r="CE142" s="83">
        <f>(3*BT130)+(3*BT131)+(2*BT144)</f>
        <v>15692.119824103422</v>
      </c>
      <c r="CF142" s="83">
        <f>CO118+CO130+(CO142)+(2*CO143)</f>
        <v>15692.119824103422</v>
      </c>
      <c r="CG142" s="3">
        <f t="shared" si="58"/>
        <v>0</v>
      </c>
      <c r="CJ142" s="356" t="s">
        <v>506</v>
      </c>
      <c r="CK142" s="17" t="s">
        <v>68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-3.9558627322637778</v>
      </c>
      <c r="CU142" s="1">
        <f>CQ142+CT142</f>
        <v>5.55548126773623</v>
      </c>
      <c r="CV142" s="1">
        <f>CU142*CR142</f>
        <v>0.97322294267813436</v>
      </c>
      <c r="CW142" s="8">
        <f>$CO$145*CV142</f>
        <v>26061.959153692678</v>
      </c>
      <c r="DV142" s="361" t="s">
        <v>494</v>
      </c>
      <c r="DW142" s="361"/>
      <c r="DX142" s="361"/>
      <c r="DY142" s="361"/>
      <c r="EA142" s="4"/>
      <c r="EB142" s="1" t="s">
        <v>529</v>
      </c>
      <c r="EC142" s="1" t="s">
        <v>530</v>
      </c>
      <c r="ED142" s="1" t="s">
        <v>532</v>
      </c>
      <c r="EE142" s="1" t="s">
        <v>85</v>
      </c>
      <c r="EF142" s="1" t="s">
        <v>630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531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534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620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359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61"/>
      <c r="BL143" s="361"/>
      <c r="BM143" s="361"/>
      <c r="BN143" s="361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359</v>
      </c>
      <c r="CE143" s="83">
        <f>(2*BT145)</f>
        <v>35277.939640255521</v>
      </c>
      <c r="CF143" s="83">
        <f>(2*CO144)</f>
        <v>35277.939640255521</v>
      </c>
      <c r="CG143" s="3">
        <f t="shared" si="58"/>
        <v>0</v>
      </c>
      <c r="CJ143" s="356"/>
      <c r="CK143" s="3" t="s">
        <v>560</v>
      </c>
      <c r="CL143" s="285">
        <f>CO2_Kiln_Out+CO2_Kiln_out_from_methane</f>
        <v>195.79244325673932</v>
      </c>
      <c r="CM143" s="285">
        <f>CL143/CL145</f>
        <v>0.25281974720679534</v>
      </c>
      <c r="CN143" s="285">
        <f>MW_CO2</f>
        <v>4.4009800000000002E-2</v>
      </c>
      <c r="CO143" s="285">
        <f>CL143/CN143</f>
        <v>4448.8373784188816</v>
      </c>
      <c r="CP143" s="285">
        <f>h_CO2</f>
        <v>-393.5</v>
      </c>
      <c r="CQ143" s="28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-4.0763351278879583</v>
      </c>
      <c r="CU143" s="1">
        <f t="shared" ref="CU143" si="61">CQ143+CT143</f>
        <v>15.823664872112076</v>
      </c>
      <c r="CV143" s="1">
        <f t="shared" ref="CV143" si="62">CU143*CR143</f>
        <v>2.6288081107592776</v>
      </c>
      <c r="CW143" s="1">
        <f>$CO$145*CV143</f>
        <v>70396.911746626036</v>
      </c>
      <c r="DV143" s="361"/>
      <c r="DW143" s="361"/>
      <c r="DX143" s="361"/>
      <c r="DY143" s="361"/>
      <c r="EA143" s="94" t="s">
        <v>41</v>
      </c>
      <c r="EB143" s="183" t="s">
        <v>88</v>
      </c>
      <c r="EC143" s="1" t="s">
        <v>533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529</v>
      </c>
      <c r="FC143" s="1" t="s">
        <v>530</v>
      </c>
      <c r="FD143" s="1" t="s">
        <v>532</v>
      </c>
      <c r="FE143" s="1" t="s">
        <v>85</v>
      </c>
      <c r="FF143" s="1" t="s">
        <v>630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547</v>
      </c>
      <c r="J144" s="62" t="s">
        <v>466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529</v>
      </c>
      <c r="AF144" s="1" t="s">
        <v>530</v>
      </c>
      <c r="AG144" s="1" t="s">
        <v>532</v>
      </c>
      <c r="AH144" s="1" t="s">
        <v>85</v>
      </c>
      <c r="AI144" s="1" t="s">
        <v>630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6" t="s">
        <v>500</v>
      </c>
      <c r="BP144" s="8" t="s">
        <v>302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-3.5432742429276503</v>
      </c>
      <c r="BZ144" s="1">
        <f>BV144+BY144</f>
        <v>0.45672575707234975</v>
      </c>
      <c r="CA144" s="1">
        <f>BZ144*BW144</f>
        <v>9.5950789300913816E-2</v>
      </c>
      <c r="CB144" s="1">
        <f>BT146*CA144</f>
        <v>2142.5988949665375</v>
      </c>
      <c r="CD144" s="3" t="s">
        <v>182</v>
      </c>
      <c r="CE144" s="83">
        <f>(4*BT156)</f>
        <v>9382.4307553871076</v>
      </c>
      <c r="CF144" s="83">
        <f>(2*CO142)</f>
        <v>9382.4307553871076</v>
      </c>
      <c r="CG144" s="3">
        <f t="shared" si="58"/>
        <v>0</v>
      </c>
      <c r="CJ144" s="356"/>
      <c r="CK144" s="7" t="s">
        <v>67</v>
      </c>
      <c r="CL144" s="28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-0.94814820455006676</v>
      </c>
      <c r="CU144" s="1">
        <f>CQ144+CT144</f>
        <v>-0.24814820455006681</v>
      </c>
      <c r="CV144" s="1">
        <f>CU144*CR144</f>
        <v>-0.16345177194260632</v>
      </c>
      <c r="CW144" s="1">
        <f>$CO$145*CV144</f>
        <v>-4377.0786909775188</v>
      </c>
      <c r="DZ144" s="356" t="s">
        <v>500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-3.5432742429276498</v>
      </c>
      <c r="EK144" s="176">
        <f>EG144+EJ144</f>
        <v>0.45672575707235019</v>
      </c>
      <c r="EL144" s="176">
        <f>EK144*EH144</f>
        <v>9.5950789300913913E-2</v>
      </c>
      <c r="EM144" s="176">
        <f>$EE$146*EL144</f>
        <v>9485.2483070536782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533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6"/>
      <c r="BP145" s="60" t="s">
        <v>67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2900.5572205545363</v>
      </c>
      <c r="CJ145" s="356"/>
      <c r="CK145" s="17" t="s">
        <v>19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3.4385792814948055</v>
      </c>
      <c r="CW145" s="8">
        <f>SUM(CW142:CW144)</f>
        <v>92081.792209341191</v>
      </c>
      <c r="DZ145" s="356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-0.53555971521393908</v>
      </c>
      <c r="EK145" s="184">
        <f>EG145+EJ145</f>
        <v>0.16444028478606088</v>
      </c>
      <c r="EL145" s="184">
        <f>EK145*EH145</f>
        <v>0.12989400646966154</v>
      </c>
      <c r="EM145" s="184">
        <f>$EE$146*EL145</f>
        <v>12840.716725099846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6" t="s">
        <v>527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-3.9539210194920043</v>
      </c>
      <c r="FK145" s="8">
        <f>FG145+FJ145</f>
        <v>15.94607898050803</v>
      </c>
      <c r="FL145" s="8">
        <f>FK145*FH145</f>
        <v>2.7958630208252839</v>
      </c>
      <c r="FM145" s="8">
        <f>$FE$149*FL145</f>
        <v>324203.72258642357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631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6" t="s">
        <v>472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0.22584479577057509</v>
      </c>
      <c r="CB146" s="3">
        <f>SUM(CB144:CB145)</f>
        <v>5043.1561155210738</v>
      </c>
      <c r="CL146" s="1" t="s">
        <v>89</v>
      </c>
      <c r="CM146" s="1"/>
      <c r="CN146" s="3" t="s">
        <v>91</v>
      </c>
      <c r="CO146" s="3" t="s">
        <v>87</v>
      </c>
      <c r="CP146" s="1" t="s">
        <v>631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0.22584479577057545</v>
      </c>
      <c r="EM146" s="3">
        <f>SUM(EM144:EM145)</f>
        <v>22325.965032153523</v>
      </c>
      <c r="EP146" s="3" t="s">
        <v>359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6"/>
      <c r="FA146" s="3" t="s">
        <v>436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-4.3013610753620357</v>
      </c>
      <c r="FK146" s="1">
        <f>FG146+FJ146</f>
        <v>5.2099829246379725</v>
      </c>
      <c r="FL146" s="1">
        <f>FK146*FH146</f>
        <v>0.78388924696103246</v>
      </c>
      <c r="FM146" s="1">
        <f>$FE$149*FL146</f>
        <v>90898.520445117509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6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631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631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6"/>
      <c r="FA147" s="318" t="s">
        <v>687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-16.380365640724659</v>
      </c>
      <c r="FK147" s="1">
        <f>FG147+FJ147</f>
        <v>294.81963435927526</v>
      </c>
      <c r="FL147" s="1">
        <f>FK147*FH147</f>
        <v>0.21727813378047067</v>
      </c>
      <c r="FM147" s="1">
        <f>$FE$149*FL147</f>
        <v>25195.218536660046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6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-0.89773551060724266</v>
      </c>
      <c r="FK148" s="1">
        <f>FG148+FJ148</f>
        <v>-0.1977355106072427</v>
      </c>
      <c r="FL148" s="1">
        <f>FK148*FH148</f>
        <v>-0.13316925301417956</v>
      </c>
      <c r="FM148" s="1">
        <f>$FE$149*FL148</f>
        <v>-15442.089701700126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6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3.6638611485526074</v>
      </c>
      <c r="FM149" s="27">
        <f>SUM(FM145:FM148)</f>
        <v>424855.37186650094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631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336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631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548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454</v>
      </c>
      <c r="BZ152" s="122">
        <v>298.14999999999998</v>
      </c>
      <c r="CA152" s="69">
        <f>BR156</f>
        <v>37.630021206323519</v>
      </c>
      <c r="CB152" s="48">
        <f>CB156</f>
        <v>1951076.4755827489</v>
      </c>
      <c r="EH152" s="3" t="s">
        <v>639</v>
      </c>
      <c r="EL152" s="170">
        <f>EB160</f>
        <v>32.269863299428096</v>
      </c>
      <c r="EM152" s="171">
        <f>EM160</f>
        <v>2830954.2291367673</v>
      </c>
    </row>
    <row r="153" spans="2:169" ht="19.25" customHeight="1" x14ac:dyDescent="0.25">
      <c r="B153" s="361" t="s">
        <v>464</v>
      </c>
      <c r="C153" s="361"/>
      <c r="D153" s="361"/>
      <c r="E153" s="361"/>
      <c r="F153" s="361"/>
      <c r="G153" s="361"/>
      <c r="H153" s="361"/>
      <c r="J153" s="4"/>
      <c r="K153" s="3" t="s">
        <v>535</v>
      </c>
      <c r="L153" s="1" t="s">
        <v>529</v>
      </c>
      <c r="M153" s="1" t="s">
        <v>532</v>
      </c>
      <c r="N153" s="1" t="s">
        <v>85</v>
      </c>
      <c r="O153" s="1" t="s">
        <v>630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74"/>
      <c r="C154" s="374"/>
      <c r="D154" s="374"/>
      <c r="E154" s="374"/>
      <c r="F154" s="374"/>
      <c r="G154" s="374"/>
      <c r="H154" s="374"/>
      <c r="J154" s="4" t="s">
        <v>41</v>
      </c>
      <c r="K154" s="3" t="s">
        <v>534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620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61" t="s">
        <v>453</v>
      </c>
      <c r="BL154" s="361"/>
      <c r="BM154" s="361"/>
      <c r="BN154" s="361"/>
      <c r="BP154" s="4"/>
      <c r="BQ154" s="3" t="s">
        <v>535</v>
      </c>
      <c r="BR154" s="1" t="s">
        <v>529</v>
      </c>
      <c r="BS154" s="3" t="s">
        <v>5</v>
      </c>
      <c r="BT154" s="3" t="s">
        <v>359</v>
      </c>
      <c r="BU154" s="1" t="s">
        <v>630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529</v>
      </c>
      <c r="EC154" s="1" t="s">
        <v>530</v>
      </c>
      <c r="ED154" s="1" t="s">
        <v>532</v>
      </c>
      <c r="EE154" s="1" t="s">
        <v>85</v>
      </c>
      <c r="EF154" s="1" t="s">
        <v>630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548</v>
      </c>
      <c r="J155" s="62" t="s">
        <v>465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61"/>
      <c r="BL155" s="361"/>
      <c r="BM155" s="361"/>
      <c r="BN155" s="361"/>
      <c r="BP155" s="4"/>
      <c r="BQ155" s="3" t="s">
        <v>534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533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454</v>
      </c>
      <c r="BP156" s="95" t="s">
        <v>65</v>
      </c>
      <c r="BQ156" s="95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365" t="s">
        <v>639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-0.15997037281540091</v>
      </c>
      <c r="EK156" s="17">
        <f>EG156+EJ156</f>
        <v>235.9400296271846</v>
      </c>
      <c r="EL156" s="17">
        <f>EK156*EH156</f>
        <v>219.89193117162523</v>
      </c>
      <c r="EM156" s="17">
        <f>EL156*$EE$160</f>
        <v>2290158.7072331677</v>
      </c>
    </row>
    <row r="157" spans="2:169" ht="18" customHeight="1" x14ac:dyDescent="0.25">
      <c r="B157" s="15" t="s">
        <v>462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631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393</v>
      </c>
      <c r="BN157" s="4"/>
      <c r="BP157" s="1" t="s">
        <v>19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65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-6.3769988229356089</v>
      </c>
      <c r="EK157" s="3">
        <f t="shared" ref="EK157:EK159" si="68">EG157+EJ157</f>
        <v>825.42300117706429</v>
      </c>
      <c r="EL157" s="3">
        <f t="shared" ref="EL157:EL159" si="69">EK157*EH157</f>
        <v>49.791495876553363</v>
      </c>
      <c r="EM157" s="3">
        <f>EL157*$EE$160</f>
        <v>518574.86184362316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631</v>
      </c>
      <c r="BV158" s="4"/>
      <c r="BW158" s="4"/>
      <c r="CA158" s="3" t="s">
        <v>96</v>
      </c>
      <c r="CB158" s="1" t="s">
        <v>93</v>
      </c>
      <c r="DZ158" s="365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-12.046911217384114</v>
      </c>
      <c r="EK158" s="3">
        <f t="shared" si="68"/>
        <v>-8.046911217384114</v>
      </c>
      <c r="EL158" s="3">
        <f t="shared" si="69"/>
        <v>-3.997678586122911E-2</v>
      </c>
      <c r="EM158" s="3">
        <f>EL158*$EE$160</f>
        <v>-416.35536028756121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5"/>
      <c r="EA159" s="3" t="s">
        <v>364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-13.408778507951368</v>
      </c>
      <c r="EK159" s="3">
        <f t="shared" si="68"/>
        <v>796.93762149204849</v>
      </c>
      <c r="EL159" s="3">
        <f t="shared" si="69"/>
        <v>2.1735161938787657</v>
      </c>
      <c r="EM159" s="3">
        <f>EL159*$EE$160</f>
        <v>22637.015420264175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271.8169664561961</v>
      </c>
      <c r="EM160" s="17">
        <f>SUM(EM156:EM159)</f>
        <v>2830954.2291367673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631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500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61" t="s">
        <v>494</v>
      </c>
      <c r="F165" s="361"/>
      <c r="G165" s="361"/>
      <c r="H165" s="361"/>
      <c r="J165" s="4"/>
      <c r="K165" s="1" t="s">
        <v>529</v>
      </c>
      <c r="L165" s="1" t="s">
        <v>530</v>
      </c>
      <c r="M165" s="1" t="s">
        <v>532</v>
      </c>
      <c r="N165" s="1" t="s">
        <v>85</v>
      </c>
      <c r="O165" s="1" t="s">
        <v>630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61"/>
      <c r="F166" s="361"/>
      <c r="G166" s="361"/>
      <c r="H166" s="361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6" t="s">
        <v>500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631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8" t="s">
        <v>422</v>
      </c>
      <c r="X182" s="368"/>
      <c r="Y182" s="368"/>
      <c r="Z182" s="368"/>
      <c r="AA182" s="368"/>
      <c r="AB182" s="368"/>
      <c r="AC182" s="36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8" t="s">
        <v>423</v>
      </c>
      <c r="AP187" s="368"/>
      <c r="AQ187" s="368"/>
      <c r="AR187" s="368"/>
      <c r="AS187" s="368"/>
      <c r="AT187" s="368"/>
      <c r="AU187" s="36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8" t="s">
        <v>424</v>
      </c>
      <c r="BH187" s="368"/>
      <c r="BI187" s="368"/>
      <c r="BJ187" s="368"/>
      <c r="BK187" s="368"/>
      <c r="BL187" s="368"/>
      <c r="BM187" s="36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360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8" t="s">
        <v>340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9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337</v>
      </c>
      <c r="Q193" s="103">
        <f>((N210*(U210-0)/AC195))</f>
        <v>109.11285414380214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607</v>
      </c>
      <c r="Q194" s="103">
        <f>V206/AC195</f>
        <v>109.79233724881615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339</v>
      </c>
      <c r="Q195" s="99">
        <f>V210/AC195</f>
        <v>109.79233073405253</v>
      </c>
      <c r="T195" s="4"/>
      <c r="U195" s="4"/>
      <c r="V195" s="4"/>
      <c r="W195" s="379" t="s">
        <v>478</v>
      </c>
      <c r="X195" s="380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497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413</v>
      </c>
      <c r="Q206" s="375"/>
      <c r="R206" s="375"/>
      <c r="S206" s="4"/>
      <c r="T206" s="4"/>
      <c r="U206" s="50">
        <f>K218</f>
        <v>298.6148747230165</v>
      </c>
      <c r="V206" s="48">
        <f>V218</f>
        <v>8851059.7091535721</v>
      </c>
      <c r="W206" s="357" t="s">
        <v>404</v>
      </c>
      <c r="X206" s="357"/>
      <c r="Y206" s="357"/>
      <c r="Z206" s="357"/>
      <c r="AA206" s="357"/>
      <c r="AB206" s="35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8856308.1430966556</v>
      </c>
      <c r="AQ206" s="357" t="s">
        <v>514</v>
      </c>
      <c r="AR206" s="357"/>
      <c r="AS206" s="357"/>
      <c r="AT206" s="357"/>
      <c r="AU206" s="35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8856308.1430966556</v>
      </c>
      <c r="BJ206" s="357" t="s">
        <v>439</v>
      </c>
      <c r="BK206" s="357"/>
      <c r="BL206" s="357"/>
      <c r="BM206" s="357"/>
      <c r="BN206" s="357"/>
      <c r="BO206" s="4"/>
      <c r="BP206" s="4"/>
      <c r="BQ206" s="4"/>
      <c r="BR206" s="4"/>
      <c r="BS206" s="4"/>
      <c r="BT206" s="4"/>
      <c r="BU206" s="4"/>
      <c r="BV206" s="4"/>
      <c r="BW206" s="4" t="s">
        <v>498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57" t="s">
        <v>421</v>
      </c>
      <c r="CE206" s="357"/>
      <c r="CF206" s="357"/>
      <c r="CG206" s="357"/>
      <c r="CH206" s="357"/>
      <c r="CI206" s="299"/>
      <c r="CR206" s="3" t="s">
        <v>602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7"/>
      <c r="X207" s="357"/>
      <c r="Y207" s="357"/>
      <c r="Z207" s="357"/>
      <c r="AA207" s="357"/>
      <c r="AB207" s="35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7"/>
      <c r="AR207" s="357"/>
      <c r="AS207" s="357"/>
      <c r="AT207" s="357"/>
      <c r="AU207" s="35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7"/>
      <c r="BK207" s="357"/>
      <c r="BL207" s="357"/>
      <c r="BM207" s="357"/>
      <c r="BN207" s="35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3"/>
      <c r="CE207" s="373"/>
      <c r="CF207" s="373"/>
      <c r="CG207" s="373"/>
      <c r="CH207" s="373"/>
      <c r="CI207" s="299"/>
      <c r="CU207" s="4"/>
      <c r="CV207" s="4"/>
    </row>
    <row r="208" spans="5:101" ht="19.25" customHeight="1" x14ac:dyDescent="0.25">
      <c r="E208" s="361" t="s">
        <v>433</v>
      </c>
      <c r="F208" s="361"/>
      <c r="G208" s="361"/>
      <c r="H208" s="361"/>
      <c r="J208" s="4"/>
      <c r="K208" s="1" t="s">
        <v>529</v>
      </c>
      <c r="L208" s="1" t="s">
        <v>530</v>
      </c>
      <c r="M208" s="1" t="s">
        <v>532</v>
      </c>
      <c r="N208" s="1" t="s">
        <v>85</v>
      </c>
      <c r="O208" s="1" t="s">
        <v>630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531</v>
      </c>
      <c r="V208" s="1" t="s">
        <v>50</v>
      </c>
      <c r="W208" s="4"/>
      <c r="X208" s="22" t="s">
        <v>416</v>
      </c>
      <c r="Y208" s="22" t="s">
        <v>456</v>
      </c>
      <c r="Z208" s="253" t="s">
        <v>334</v>
      </c>
      <c r="AA208" s="358" t="s">
        <v>340</v>
      </c>
      <c r="AB208" s="102" t="s">
        <v>314</v>
      </c>
      <c r="AC208" s="1"/>
      <c r="AD208" s="4"/>
      <c r="AE208" s="1" t="s">
        <v>529</v>
      </c>
      <c r="AF208" s="1" t="s">
        <v>530</v>
      </c>
      <c r="AG208" s="1" t="s">
        <v>532</v>
      </c>
      <c r="AH208" s="1" t="s">
        <v>85</v>
      </c>
      <c r="AI208" s="1" t="s">
        <v>630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531</v>
      </c>
      <c r="AP208" s="1" t="s">
        <v>50</v>
      </c>
      <c r="AQ208" s="22" t="s">
        <v>416</v>
      </c>
      <c r="AR208" s="22" t="s">
        <v>456</v>
      </c>
      <c r="AS208" s="159" t="s">
        <v>334</v>
      </c>
      <c r="AT208" s="358" t="s">
        <v>340</v>
      </c>
      <c r="AU208" s="138" t="s">
        <v>314</v>
      </c>
      <c r="AV208" s="1"/>
      <c r="AW208" s="4"/>
      <c r="AX208" s="1" t="s">
        <v>529</v>
      </c>
      <c r="AY208" s="1" t="s">
        <v>530</v>
      </c>
      <c r="AZ208" s="1" t="s">
        <v>532</v>
      </c>
      <c r="BA208" s="1" t="s">
        <v>85</v>
      </c>
      <c r="BB208" s="1" t="s">
        <v>630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531</v>
      </c>
      <c r="BI208" s="1" t="s">
        <v>50</v>
      </c>
      <c r="BJ208" s="22" t="s">
        <v>416</v>
      </c>
      <c r="BK208" s="22" t="s">
        <v>456</v>
      </c>
      <c r="BL208" s="159" t="s">
        <v>334</v>
      </c>
      <c r="BM208" s="358" t="s">
        <v>340</v>
      </c>
      <c r="BN208" s="138" t="s">
        <v>314</v>
      </c>
      <c r="BO208" s="1"/>
      <c r="BP208" s="4"/>
      <c r="BQ208" s="1" t="s">
        <v>529</v>
      </c>
      <c r="BR208" s="1" t="s">
        <v>530</v>
      </c>
      <c r="BS208" s="1" t="s">
        <v>532</v>
      </c>
      <c r="BT208" s="1" t="s">
        <v>85</v>
      </c>
      <c r="BU208" s="1" t="s">
        <v>630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531</v>
      </c>
      <c r="CB208" s="1" t="s">
        <v>50</v>
      </c>
      <c r="CD208" s="22" t="s">
        <v>416</v>
      </c>
      <c r="CE208" s="22" t="s">
        <v>456</v>
      </c>
      <c r="CF208" s="189" t="s">
        <v>334</v>
      </c>
      <c r="CG208" s="358" t="s">
        <v>340</v>
      </c>
      <c r="CH208" s="138" t="s">
        <v>314</v>
      </c>
      <c r="CI208" s="1"/>
      <c r="CJ208" s="1"/>
      <c r="CK208" s="4"/>
      <c r="CL208" s="1" t="s">
        <v>529</v>
      </c>
      <c r="CM208" s="1" t="s">
        <v>530</v>
      </c>
      <c r="CN208" s="1" t="s">
        <v>532</v>
      </c>
      <c r="CO208" s="1" t="s">
        <v>85</v>
      </c>
      <c r="CP208" s="1" t="s">
        <v>630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531</v>
      </c>
      <c r="CW208" s="1" t="s">
        <v>50</v>
      </c>
    </row>
    <row r="209" spans="2:101" ht="18" x14ac:dyDescent="0.25">
      <c r="E209" s="361"/>
      <c r="F209" s="361"/>
      <c r="G209" s="361"/>
      <c r="H209" s="361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9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9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9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-1.4098115557931206E-2</v>
      </c>
      <c r="T210" s="62">
        <f>S210+P210</f>
        <v>166.19810224562406</v>
      </c>
      <c r="U210" s="62">
        <f>T210*Q210</f>
        <v>165.16954479479915</v>
      </c>
      <c r="V210" s="62">
        <f>U210*$BA$218</f>
        <v>8851059.1839569751</v>
      </c>
      <c r="W210" s="4"/>
      <c r="X210" s="104">
        <f>AP227</f>
        <v>598.81969608995871</v>
      </c>
      <c r="Y210" s="99">
        <f>SUM(AC195,V206,V222,V236) - SUM(AP206,AP227)</f>
        <v>98136.596230339259</v>
      </c>
      <c r="Z210" s="254">
        <f>AO206-U206</f>
        <v>0</v>
      </c>
      <c r="AA210" s="139" t="s">
        <v>337</v>
      </c>
      <c r="AB210" s="103">
        <f>(($AH$210*($AO$210-U210))/AC195)</f>
        <v>0</v>
      </c>
      <c r="AC210" s="208" t="s">
        <v>513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-1.4098115557931206E-2</v>
      </c>
      <c r="AN210" s="62">
        <f>AM210+AJ210</f>
        <v>166.19810224562406</v>
      </c>
      <c r="AO210" s="62">
        <f>AN210*AK210</f>
        <v>165.16954479479915</v>
      </c>
      <c r="AP210" s="62">
        <f>AO210*$BA$218</f>
        <v>8851059.1839569751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337</v>
      </c>
      <c r="AU210" s="136">
        <f>((BA210*(BH210-AO210))/AU190)</f>
        <v>0</v>
      </c>
      <c r="AV210" s="208" t="s">
        <v>513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-1.4098115557931206E-2</v>
      </c>
      <c r="BG210" s="62">
        <f>BF210+BC210</f>
        <v>166.19810224562406</v>
      </c>
      <c r="BH210" s="62">
        <f>BG210*BD210</f>
        <v>165.16954479479915</v>
      </c>
      <c r="BI210" s="62">
        <f>BH210*$BA$218</f>
        <v>8851059.1839569751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337</v>
      </c>
      <c r="BN210" s="136">
        <f>((BT210*(CA210-BH210))/BM195)</f>
        <v>0</v>
      </c>
      <c r="BO210" s="208" t="s">
        <v>460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44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SUM(CW251,CW234,CW218,CW206)</f>
        <v>8697712.4326661415</v>
      </c>
      <c r="CE210" s="99">
        <f>SUM(CB244,CB206,CB225,CB232) - SUM(CW206,CW218,CW234,CW251)</f>
        <v>8697712.4326661453</v>
      </c>
      <c r="CF210" s="312">
        <f>ROUND(CV206+CV218+CV234+CV251+CV267-CA206-CA232-CA244, 10)</f>
        <v>0</v>
      </c>
      <c r="CG210" s="139" t="s">
        <v>337</v>
      </c>
      <c r="CH210" s="136" t="s">
        <v>98</v>
      </c>
      <c r="CI210" s="4"/>
      <c r="CJ210" s="252" t="s">
        <v>603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443">
        <f>(b_ch_coke*CL210 )/mol_Coke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9" t="s">
        <v>511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-14.945095234833563</v>
      </c>
      <c r="T211" s="62">
        <f t="shared" ref="T211:T217" si="83">S211+P211</f>
        <v>16.930904765166414</v>
      </c>
      <c r="U211" s="62">
        <f t="shared" ref="U211:U217" si="84">T211*Q211</f>
        <v>2.3475633914652873E-2</v>
      </c>
      <c r="V211" s="62">
        <f t="shared" ref="V211:V217" si="85">U211*$BA$217</f>
        <v>0.12587263190079157</v>
      </c>
      <c r="W211" s="4"/>
      <c r="X211" s="4"/>
      <c r="Y211" s="4"/>
      <c r="Z211" s="4"/>
      <c r="AA211" s="139" t="s">
        <v>607</v>
      </c>
      <c r="AB211" s="103">
        <f>(AP206+AP227)/($AC$195+V206+V222+V236)</f>
        <v>0.98904119275539903</v>
      </c>
      <c r="AC211" s="369" t="s">
        <v>509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-14.945095234833563</v>
      </c>
      <c r="AN211" s="62">
        <f t="shared" ref="AN211:AN217" si="90">AM211+AJ211</f>
        <v>16.930904765166414</v>
      </c>
      <c r="AO211" s="62">
        <f t="shared" ref="AO211:AO217" si="91">AN211*AK211</f>
        <v>2.3475633914652873E-2</v>
      </c>
      <c r="AP211" s="62">
        <f t="shared" ref="AP211:AP217" si="92">AO211*$BA$218</f>
        <v>1258.0056778484434</v>
      </c>
      <c r="AQ211" s="4"/>
      <c r="AR211" s="4"/>
      <c r="AT211" s="139" t="s">
        <v>607</v>
      </c>
      <c r="AU211" s="136">
        <f>BI206/(AP206+AU190)</f>
        <v>0.99996814476425233</v>
      </c>
      <c r="AV211" s="369" t="s">
        <v>509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-14.945095234833563</v>
      </c>
      <c r="BG211" s="62">
        <f t="shared" ref="BG211:BG217" si="98">BF211+BC211</f>
        <v>16.930904765166414</v>
      </c>
      <c r="BH211" s="62">
        <f t="shared" ref="BH211:BH217" si="99">BG211*BD211</f>
        <v>2.3475633914652873E-2</v>
      </c>
      <c r="BI211" s="62">
        <f t="shared" ref="BI211:BI217" si="100">BH211*$BA$218</f>
        <v>1258.0056778484434</v>
      </c>
      <c r="BJ211" s="4"/>
      <c r="BK211" s="4"/>
      <c r="BM211" s="139" t="s">
        <v>607</v>
      </c>
      <c r="BN211" s="136">
        <f>CB206/(BM195+BI206)</f>
        <v>0.9999943139063141</v>
      </c>
      <c r="BO211" s="369" t="s">
        <v>508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-14.945095234833563</v>
      </c>
      <c r="BZ211" s="62">
        <f t="shared" ref="BZ211:BZ217" si="106">BY211+BV211</f>
        <v>16.930904765166414</v>
      </c>
      <c r="CA211" s="62">
        <f t="shared" ref="CA211:CA217" si="107">BZ211*BW211</f>
        <v>2.3475633914652873E-2</v>
      </c>
      <c r="CB211" s="62">
        <f>CA211*$BT$218</f>
        <v>1258.0056778484434</v>
      </c>
      <c r="CD211" s="4"/>
      <c r="CE211" s="4"/>
      <c r="CG211" s="139" t="s">
        <v>607</v>
      </c>
      <c r="CH211" s="136">
        <f>(CW218+CW206+CW234+CW251+CW267)/(CB244+CB206+CB232)</f>
        <v>0.60230735828677828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9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-17.656403505540673</v>
      </c>
      <c r="T212" s="4">
        <f t="shared" si="83"/>
        <v>104.60159649445924</v>
      </c>
      <c r="U212" s="4">
        <f t="shared" si="84"/>
        <v>4.3951289852579088E-2</v>
      </c>
      <c r="V212" s="4">
        <f t="shared" si="85"/>
        <v>0.23565985690914995</v>
      </c>
      <c r="W212" s="4"/>
      <c r="X212" s="4"/>
      <c r="Y212" s="4"/>
      <c r="Z212" s="4"/>
      <c r="AA212" s="140" t="s">
        <v>395</v>
      </c>
      <c r="AB212" s="99">
        <f>$AP$210/($AC$195+V206+V222+V236)</f>
        <v>0.98838817763635167</v>
      </c>
      <c r="AC212" s="369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-17.656403505540673</v>
      </c>
      <c r="AN212" s="4">
        <f t="shared" si="90"/>
        <v>104.60159649445924</v>
      </c>
      <c r="AO212" s="4">
        <f t="shared" si="91"/>
        <v>4.3951289852579088E-2</v>
      </c>
      <c r="AP212" s="4">
        <f t="shared" si="92"/>
        <v>2355.2493783265209</v>
      </c>
      <c r="AQ212" s="4"/>
      <c r="AR212" s="4"/>
      <c r="AT212" s="140" t="s">
        <v>395</v>
      </c>
      <c r="AU212" s="137">
        <f>BI210/(AP206+AU190)</f>
        <v>0.99937548336990578</v>
      </c>
      <c r="AV212" s="369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-17.656403505540673</v>
      </c>
      <c r="BG212" s="4">
        <f t="shared" si="98"/>
        <v>104.60159649445924</v>
      </c>
      <c r="BH212" s="4">
        <f t="shared" si="99"/>
        <v>4.3951289852579088E-2</v>
      </c>
      <c r="BI212" s="4">
        <f t="shared" si="100"/>
        <v>2355.2493783265209</v>
      </c>
      <c r="BJ212" s="4"/>
      <c r="BK212" s="4"/>
      <c r="BM212" s="140" t="s">
        <v>395</v>
      </c>
      <c r="BN212" s="137">
        <f>CB210/(BM195+BI206)</f>
        <v>0.99940163700203333</v>
      </c>
      <c r="BO212" s="369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-17.656403505540673</v>
      </c>
      <c r="BZ212" s="4">
        <f t="shared" si="106"/>
        <v>104.60159649445924</v>
      </c>
      <c r="CA212" s="4">
        <f t="shared" si="107"/>
        <v>4.3951289852579088E-2</v>
      </c>
      <c r="CB212" s="4">
        <f t="shared" ref="CB212:CB217" si="109">CA212*$BT$218</f>
        <v>2355.2493783265209</v>
      </c>
      <c r="CD212" s="4"/>
      <c r="CE212" s="4"/>
      <c r="CG212" s="140" t="s">
        <v>395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631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9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-18.987233403566542</v>
      </c>
      <c r="T213" s="4">
        <f t="shared" si="83"/>
        <v>43.58876659643348</v>
      </c>
      <c r="U213" s="4">
        <f t="shared" si="84"/>
        <v>1.0193029772974042E-2</v>
      </c>
      <c r="V213" s="4">
        <f t="shared" si="85"/>
        <v>5.4653411670665945E-2</v>
      </c>
      <c r="W213" s="4"/>
      <c r="X213" s="4"/>
      <c r="Y213" s="4"/>
      <c r="Z213" s="4"/>
      <c r="AA213" s="4"/>
      <c r="AB213" s="4"/>
      <c r="AC213" s="369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-18.987233403566542</v>
      </c>
      <c r="AN213" s="4">
        <f t="shared" si="90"/>
        <v>43.58876659643348</v>
      </c>
      <c r="AO213" s="4">
        <f t="shared" si="91"/>
        <v>1.0193029772974042E-2</v>
      </c>
      <c r="AP213" s="4">
        <f t="shared" si="92"/>
        <v>546.22121709249632</v>
      </c>
      <c r="AQ213" s="4"/>
      <c r="AR213" s="4"/>
      <c r="AT213" s="4"/>
      <c r="AU213" s="4"/>
      <c r="AV213" s="369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-18.987233403566542</v>
      </c>
      <c r="BG213" s="4">
        <f t="shared" si="98"/>
        <v>43.58876659643348</v>
      </c>
      <c r="BH213" s="4">
        <f t="shared" si="99"/>
        <v>1.0193029772974042E-2</v>
      </c>
      <c r="BI213" s="4">
        <f t="shared" si="100"/>
        <v>546.22121709249632</v>
      </c>
      <c r="BJ213" s="4"/>
      <c r="BK213" s="4"/>
      <c r="BL213" s="4"/>
      <c r="BM213" s="4"/>
      <c r="BN213" s="4"/>
      <c r="BO213" s="369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-18.987233403566542</v>
      </c>
      <c r="BZ213" s="4">
        <f t="shared" si="106"/>
        <v>43.58876659643348</v>
      </c>
      <c r="CA213" s="4">
        <f t="shared" si="107"/>
        <v>1.0193029772974042E-2</v>
      </c>
      <c r="CB213" s="4">
        <f t="shared" si="109"/>
        <v>546.22121709249632</v>
      </c>
      <c r="CC213" s="4"/>
      <c r="CD213" s="4"/>
    </row>
    <row r="214" spans="2:101" ht="17" x14ac:dyDescent="0.25">
      <c r="I214" s="369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-21.538624315630244</v>
      </c>
      <c r="T214" s="4">
        <f t="shared" si="83"/>
        <v>277.10137568436983</v>
      </c>
      <c r="U214" s="4">
        <f t="shared" si="84"/>
        <v>2.1069088270804694E-2</v>
      </c>
      <c r="V214" s="4">
        <f t="shared" si="85"/>
        <v>0.11296911521272968</v>
      </c>
      <c r="W214" s="4"/>
      <c r="X214" s="4"/>
      <c r="Y214" s="1"/>
      <c r="Z214" s="1"/>
      <c r="AA214" s="1"/>
      <c r="AB214" s="4"/>
      <c r="AC214" s="369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-21.538624315630244</v>
      </c>
      <c r="AN214" s="4">
        <f t="shared" si="90"/>
        <v>277.10137568436983</v>
      </c>
      <c r="AO214" s="4">
        <f t="shared" si="91"/>
        <v>2.1069088270804694E-2</v>
      </c>
      <c r="AP214" s="4">
        <f t="shared" si="92"/>
        <v>1129.0443856861561</v>
      </c>
      <c r="AQ214" s="4"/>
      <c r="AR214" s="4"/>
      <c r="AS214" s="4"/>
      <c r="AT214" s="4"/>
      <c r="AU214" s="4"/>
      <c r="AV214" s="369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-21.538624315630244</v>
      </c>
      <c r="BG214" s="4">
        <f t="shared" si="98"/>
        <v>277.10137568436983</v>
      </c>
      <c r="BH214" s="4">
        <f t="shared" si="99"/>
        <v>2.1069088270804694E-2</v>
      </c>
      <c r="BI214" s="4">
        <f t="shared" si="100"/>
        <v>1129.0443856861561</v>
      </c>
      <c r="BJ214" s="4"/>
      <c r="BK214" s="4"/>
      <c r="BL214" s="4"/>
      <c r="BM214" s="4"/>
      <c r="BN214" s="4"/>
      <c r="BO214" s="369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-21.538624315630244</v>
      </c>
      <c r="BZ214" s="4">
        <f t="shared" si="106"/>
        <v>277.10137568436983</v>
      </c>
      <c r="CA214" s="4">
        <f t="shared" si="107"/>
        <v>2.1069088270804694E-2</v>
      </c>
      <c r="CB214" s="4">
        <f t="shared" si="109"/>
        <v>1129.0443856861561</v>
      </c>
      <c r="CC214" s="4"/>
      <c r="CD214" s="4"/>
    </row>
    <row r="215" spans="2:101" ht="19" thickBot="1" x14ac:dyDescent="0.3">
      <c r="I215" s="369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-17.538036044958236</v>
      </c>
      <c r="T215" s="4">
        <f t="shared" si="83"/>
        <v>-0.17963604495816199</v>
      </c>
      <c r="U215" s="4">
        <f t="shared" si="84"/>
        <v>-7.9517569165283539E-5</v>
      </c>
      <c r="V215" s="4">
        <f t="shared" si="85"/>
        <v>-4.2636061499238414E-4</v>
      </c>
      <c r="W215" s="4"/>
      <c r="X215" s="4"/>
      <c r="Y215" s="3" t="s">
        <v>2</v>
      </c>
      <c r="Z215" s="3" t="s">
        <v>3</v>
      </c>
      <c r="AA215" s="132" t="s">
        <v>556</v>
      </c>
      <c r="AB215" s="16"/>
      <c r="AC215" s="369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-17.538036044958236</v>
      </c>
      <c r="AN215" s="4">
        <f t="shared" si="90"/>
        <v>-0.17963604495816199</v>
      </c>
      <c r="AO215" s="4">
        <f t="shared" si="91"/>
        <v>-7.9517569165283539E-5</v>
      </c>
      <c r="AP215" s="4">
        <f t="shared" si="92"/>
        <v>-4.2611651665003469</v>
      </c>
      <c r="AQ215" s="4"/>
      <c r="AR215" s="3" t="s">
        <v>2</v>
      </c>
      <c r="AS215" s="3" t="s">
        <v>3</v>
      </c>
      <c r="AT215" s="132" t="s">
        <v>556</v>
      </c>
      <c r="AU215" s="4"/>
      <c r="AV215" s="369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-17.538036044958236</v>
      </c>
      <c r="BG215" s="4">
        <f t="shared" si="98"/>
        <v>-0.17963604495816199</v>
      </c>
      <c r="BH215" s="4">
        <f t="shared" si="99"/>
        <v>-7.9517569165283539E-5</v>
      </c>
      <c r="BI215" s="4">
        <f t="shared" si="100"/>
        <v>-4.2611651665003469</v>
      </c>
      <c r="BJ215" s="4"/>
      <c r="BK215" s="3" t="s">
        <v>2</v>
      </c>
      <c r="BL215" s="3" t="s">
        <v>3</v>
      </c>
      <c r="BM215" s="132" t="s">
        <v>556</v>
      </c>
      <c r="BN215" s="4"/>
      <c r="BO215" s="369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-17.538036044958236</v>
      </c>
      <c r="BZ215" s="4">
        <f t="shared" si="106"/>
        <v>-0.17963604495816199</v>
      </c>
      <c r="CA215" s="4">
        <f t="shared" si="107"/>
        <v>-7.9517569165283539E-5</v>
      </c>
      <c r="CB215" s="4">
        <f t="shared" si="109"/>
        <v>-4.2611651665003469</v>
      </c>
      <c r="CC215" s="4"/>
      <c r="CD215" s="4"/>
      <c r="CE215" s="3" t="s">
        <v>2</v>
      </c>
      <c r="CF215" s="3" t="s">
        <v>3</v>
      </c>
      <c r="CG215" s="132" t="s">
        <v>556</v>
      </c>
      <c r="CH215" s="132"/>
      <c r="CI215" s="132"/>
    </row>
    <row r="216" spans="2:101" ht="18.5" customHeight="1" x14ac:dyDescent="0.25">
      <c r="I216" s="369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-12.823306899545193</v>
      </c>
      <c r="T216" s="4">
        <f t="shared" si="83"/>
        <v>-11.297306899545125</v>
      </c>
      <c r="U216" s="4">
        <f t="shared" si="84"/>
        <v>-3.9872880571059865E-2</v>
      </c>
      <c r="V216" s="4">
        <f t="shared" si="85"/>
        <v>-0.21379207212004506</v>
      </c>
      <c r="W216" s="369" t="s">
        <v>372</v>
      </c>
      <c r="X216" s="4"/>
      <c r="Y216" s="1" t="s">
        <v>558</v>
      </c>
      <c r="Z216" s="1" t="s">
        <v>558</v>
      </c>
      <c r="AA216" s="1" t="s">
        <v>558</v>
      </c>
      <c r="AC216" s="369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-12.823306899545193</v>
      </c>
      <c r="AN216" s="4">
        <f t="shared" si="90"/>
        <v>-11.297306899545125</v>
      </c>
      <c r="AO216" s="4">
        <f t="shared" si="91"/>
        <v>-3.9872880571059865E-2</v>
      </c>
      <c r="AP216" s="4">
        <f t="shared" si="92"/>
        <v>-2136.6967270373666</v>
      </c>
      <c r="AQ216" s="4"/>
      <c r="AR216" s="1" t="s">
        <v>558</v>
      </c>
      <c r="AS216" s="1" t="s">
        <v>558</v>
      </c>
      <c r="AT216" s="1" t="s">
        <v>558</v>
      </c>
      <c r="AU216" s="4"/>
      <c r="AV216" s="369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-12.823306899545193</v>
      </c>
      <c r="BG216" s="4">
        <f t="shared" si="98"/>
        <v>-11.297306899545125</v>
      </c>
      <c r="BH216" s="4">
        <f t="shared" si="99"/>
        <v>-3.9872880571059865E-2</v>
      </c>
      <c r="BI216" s="4">
        <f t="shared" si="100"/>
        <v>-2136.6967270373666</v>
      </c>
      <c r="BJ216" s="4"/>
      <c r="BK216" s="1" t="s">
        <v>558</v>
      </c>
      <c r="BL216" s="1" t="s">
        <v>558</v>
      </c>
      <c r="BM216" s="1" t="s">
        <v>558</v>
      </c>
      <c r="BN216" s="4"/>
      <c r="BO216" s="369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-12.823306899545193</v>
      </c>
      <c r="BZ216" s="4">
        <f t="shared" si="106"/>
        <v>-11.297306899545125</v>
      </c>
      <c r="CA216" s="4">
        <f t="shared" si="107"/>
        <v>-3.9872880571059865E-2</v>
      </c>
      <c r="CB216" s="4">
        <f t="shared" si="109"/>
        <v>-2136.6967270373666</v>
      </c>
      <c r="CC216" s="4"/>
      <c r="CD216" s="4"/>
      <c r="CE216" s="1" t="s">
        <v>558</v>
      </c>
      <c r="CF216" s="1" t="s">
        <v>558</v>
      </c>
      <c r="CG216" s="1" t="s">
        <v>558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650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-20.915097846405036</v>
      </c>
      <c r="T217" s="4">
        <f t="shared" si="83"/>
        <v>391.91690215359495</v>
      </c>
      <c r="U217" s="4">
        <f t="shared" si="84"/>
        <v>3.9214140944776529E-2</v>
      </c>
      <c r="V217" s="4">
        <f t="shared" si="85"/>
        <v>0.21026001454924298</v>
      </c>
      <c r="W217" s="369"/>
      <c r="X217" s="4" t="s">
        <v>60</v>
      </c>
      <c r="Y217" s="3" t="s">
        <v>557</v>
      </c>
      <c r="Z217" s="3" t="s">
        <v>557</v>
      </c>
      <c r="AA217" s="3" t="s">
        <v>557</v>
      </c>
      <c r="AC217" s="4"/>
      <c r="AD217" s="1" t="s">
        <v>650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-20.915097846405036</v>
      </c>
      <c r="AN217" s="4">
        <f t="shared" si="90"/>
        <v>391.91690215359495</v>
      </c>
      <c r="AO217" s="4">
        <f t="shared" si="91"/>
        <v>3.9214140944776529E-2</v>
      </c>
      <c r="AP217" s="4">
        <f t="shared" si="92"/>
        <v>2101.3963729297425</v>
      </c>
      <c r="AQ217" s="4" t="s">
        <v>60</v>
      </c>
      <c r="AR217" s="3" t="s">
        <v>557</v>
      </c>
      <c r="AS217" s="3" t="s">
        <v>557</v>
      </c>
      <c r="AT217" s="3" t="s">
        <v>557</v>
      </c>
      <c r="AU217" s="4"/>
      <c r="AV217" s="4"/>
      <c r="AW217" s="1" t="s">
        <v>650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-20.915097846405036</v>
      </c>
      <c r="BG217" s="4">
        <f t="shared" si="98"/>
        <v>391.91690215359495</v>
      </c>
      <c r="BH217" s="4">
        <f t="shared" si="99"/>
        <v>3.9214140944776529E-2</v>
      </c>
      <c r="BI217" s="4">
        <f t="shared" si="100"/>
        <v>2101.3963729297425</v>
      </c>
      <c r="BJ217" s="4" t="s">
        <v>60</v>
      </c>
      <c r="BK217" s="3" t="s">
        <v>557</v>
      </c>
      <c r="BL217" s="3" t="s">
        <v>557</v>
      </c>
      <c r="BM217" s="3" t="s">
        <v>557</v>
      </c>
      <c r="BN217" s="4"/>
      <c r="BO217" s="4"/>
      <c r="BP217" s="1" t="s">
        <v>650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-20.915097846405036</v>
      </c>
      <c r="BZ217" s="4">
        <f t="shared" si="106"/>
        <v>391.91690215359495</v>
      </c>
      <c r="CA217" s="4">
        <f t="shared" si="107"/>
        <v>3.9214140944776529E-2</v>
      </c>
      <c r="CB217" s="4">
        <f t="shared" si="109"/>
        <v>2101.3963729297425</v>
      </c>
      <c r="CC217" s="4"/>
      <c r="CD217" s="4" t="s">
        <v>60</v>
      </c>
      <c r="CE217" s="3" t="s">
        <v>557</v>
      </c>
      <c r="CF217" s="3" t="s">
        <v>557</v>
      </c>
      <c r="CG217" s="3" t="s">
        <v>557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165.26749557941469</v>
      </c>
      <c r="V218" s="62">
        <f>SUM(V210:V217)</f>
        <v>8851059.7091535721</v>
      </c>
      <c r="W218" s="369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165.26749557941469</v>
      </c>
      <c r="AP218" s="17">
        <f>SUM(AP210:AP217)</f>
        <v>8856308.1430966556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165.26749557941469</v>
      </c>
      <c r="BI218" s="17">
        <f>SUM(BI210:BI217)</f>
        <v>8856308.1430966556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501</v>
      </c>
      <c r="CU218" s="4"/>
      <c r="CV218" s="50">
        <f>CL229</f>
        <v>25.253201846716312</v>
      </c>
      <c r="CW218" s="48">
        <f>CW229</f>
        <v>9078.7224010297414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631</v>
      </c>
      <c r="P219" s="4"/>
      <c r="Q219" s="4"/>
      <c r="U219" s="3" t="s">
        <v>96</v>
      </c>
      <c r="V219" s="1" t="s">
        <v>93</v>
      </c>
      <c r="W219" s="369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631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631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631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9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529</v>
      </c>
      <c r="CM220" s="1" t="s">
        <v>530</v>
      </c>
      <c r="CN220" s="1" t="s">
        <v>532</v>
      </c>
      <c r="CO220" s="1" t="s">
        <v>85</v>
      </c>
      <c r="CP220" s="1" t="s">
        <v>630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531</v>
      </c>
      <c r="CW220" s="1" t="s">
        <v>50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9"/>
      <c r="X221" s="3" t="s">
        <v>359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359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359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359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31" customHeight="1" thickBot="1" x14ac:dyDescent="0.3">
      <c r="B222" s="361" t="s">
        <v>463</v>
      </c>
      <c r="C222" s="361"/>
      <c r="D222" s="361"/>
      <c r="E222" s="361"/>
      <c r="F222" s="361"/>
      <c r="G222" s="361"/>
      <c r="H222" s="361"/>
      <c r="J222" s="4"/>
      <c r="K222" s="4"/>
      <c r="L222" s="4"/>
      <c r="M222" s="4"/>
      <c r="N222" s="4"/>
      <c r="O222" s="4"/>
      <c r="P222" s="4"/>
      <c r="Q222" s="201" t="s">
        <v>547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3" t="s">
        <v>501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-3.3971647283101643</v>
      </c>
      <c r="CU222" s="62">
        <f t="shared" ref="CU222:CU228" si="118">CT222+CQ222</f>
        <v>28.47883527168981</v>
      </c>
      <c r="CV222" s="62">
        <f t="shared" ref="CV222:CV227" si="119">CU222*CR222</f>
        <v>6.3805319978521551</v>
      </c>
      <c r="CW222" s="62">
        <f t="shared" ref="CW222:CW228" si="120">CV222*$CO$229</f>
        <v>2116.0438244272509</v>
      </c>
    </row>
    <row r="223" spans="2:101" x14ac:dyDescent="0.2">
      <c r="B223" s="374"/>
      <c r="C223" s="374"/>
      <c r="D223" s="374"/>
      <c r="E223" s="374"/>
      <c r="F223" s="374"/>
      <c r="G223" s="374"/>
      <c r="H223" s="37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3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-6.108472999017275</v>
      </c>
      <c r="CU223" s="4">
        <f t="shared" si="118"/>
        <v>116.14952700098264</v>
      </c>
      <c r="CV223" s="4">
        <f t="shared" si="119"/>
        <v>7.885845486641629</v>
      </c>
      <c r="CW223" s="4">
        <f t="shared" si="120"/>
        <v>2615.2669789937131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535</v>
      </c>
      <c r="L224" s="1" t="s">
        <v>529</v>
      </c>
      <c r="M224" s="3" t="s">
        <v>5</v>
      </c>
      <c r="N224" s="1" t="s">
        <v>85</v>
      </c>
      <c r="O224" s="1" t="s">
        <v>630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531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3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-7.4393028970431407</v>
      </c>
      <c r="CU224" s="4">
        <f t="shared" si="118"/>
        <v>55.13669710295688</v>
      </c>
      <c r="CV224" s="4">
        <f t="shared" si="119"/>
        <v>2.0833726812393105</v>
      </c>
      <c r="CW224" s="4">
        <f t="shared" si="120"/>
        <v>690.93108499430753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534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620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3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-9.9906938091068458</v>
      </c>
      <c r="CU225" s="4">
        <f t="shared" si="118"/>
        <v>288.64930619089318</v>
      </c>
      <c r="CV225" s="4">
        <f t="shared" si="119"/>
        <v>3.5462968363922491</v>
      </c>
      <c r="CW225" s="4">
        <f t="shared" si="120"/>
        <v>1176.0962130994387</v>
      </c>
      <c r="DB225" s="16" t="s">
        <v>604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547</v>
      </c>
      <c r="J226" s="96" t="s">
        <v>466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3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-5.9901055384348352</v>
      </c>
      <c r="CU226" s="4">
        <f t="shared" si="118"/>
        <v>11.368294461565238</v>
      </c>
      <c r="CV226" s="4">
        <f t="shared" si="119"/>
        <v>0.81313458018760409</v>
      </c>
      <c r="CW226" s="4">
        <f t="shared" si="120"/>
        <v>269.66848648567719</v>
      </c>
      <c r="CY226" s="368" t="s">
        <v>424</v>
      </c>
      <c r="CZ226" s="368"/>
      <c r="DA226" s="368"/>
      <c r="DB226" s="368"/>
      <c r="DC226" s="368"/>
      <c r="DD226" s="36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496</v>
      </c>
      <c r="AO227" s="50">
        <f>AE234</f>
        <v>7.9771214256715108</v>
      </c>
      <c r="AP227" s="48">
        <f>AP234</f>
        <v>598.81969608995871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3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-1.275376393021793</v>
      </c>
      <c r="CU227" s="4">
        <f t="shared" si="118"/>
        <v>0.25062360697827435</v>
      </c>
      <c r="CV227" s="4">
        <f t="shared" si="119"/>
        <v>0.14292959628618912</v>
      </c>
      <c r="CW227" s="4">
        <f t="shared" si="120"/>
        <v>47.40126523165798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631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3"/>
      <c r="CK228" s="1" t="s">
        <v>650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-9.367167339881636</v>
      </c>
      <c r="CU228" s="4">
        <f t="shared" si="118"/>
        <v>403.46483266011836</v>
      </c>
      <c r="CV228" s="4">
        <f>CU228*CR228</f>
        <v>6.5230679697186096</v>
      </c>
      <c r="CW228" s="4">
        <f t="shared" si="120"/>
        <v>2163.3145477976964</v>
      </c>
      <c r="CY228" s="61" t="s">
        <v>98</v>
      </c>
      <c r="CZ228" s="13" t="s">
        <v>541</v>
      </c>
      <c r="DA228" s="13" t="s">
        <v>438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529</v>
      </c>
      <c r="AF229" s="1" t="s">
        <v>530</v>
      </c>
      <c r="AG229" s="1" t="s">
        <v>532</v>
      </c>
      <c r="AH229" s="1" t="s">
        <v>85</v>
      </c>
      <c r="AI229" s="1" t="s">
        <v>630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531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27.375179148317748</v>
      </c>
      <c r="CW229" s="17">
        <f>SUM(CW222:CW228)</f>
        <v>9078.7224010297414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631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6" t="s">
        <v>496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-4.5818303565174681</v>
      </c>
      <c r="AN231" s="1">
        <f>AJ231+AM231</f>
        <v>15.318169643482566</v>
      </c>
      <c r="AO231" s="1">
        <f>AN231*AK231</f>
        <v>2.0369906440801286</v>
      </c>
      <c r="AP231" s="8">
        <f>$AH$234*AO231</f>
        <v>562.91277487631453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6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-4.6784819257704671</v>
      </c>
      <c r="AN232" s="1">
        <f t="shared" ref="AN232:AN233" si="123">AJ232+AM232</f>
        <v>4.8328620742295412</v>
      </c>
      <c r="AO232" s="1">
        <f>AN232*AK232</f>
        <v>0.61589000281072404</v>
      </c>
      <c r="AP232" s="1">
        <f t="shared" ref="AP232:AP233" si="124">$AH$234*AO232</f>
        <v>170.19830282889021</v>
      </c>
      <c r="BW232" s="3" t="s">
        <v>500</v>
      </c>
      <c r="CA232" s="50">
        <f>BQ238</f>
        <v>3494.7460959815226</v>
      </c>
      <c r="CB232" s="48">
        <f>CB238</f>
        <v>27357.025657382623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6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-0.68507942051171278</v>
      </c>
      <c r="AN233" s="1">
        <f t="shared" si="123"/>
        <v>-0.65706594051171274</v>
      </c>
      <c r="AO233" s="1">
        <f t="shared" ref="AO233" si="125">AN233*AK233</f>
        <v>-0.48595501850345424</v>
      </c>
      <c r="AP233" s="1">
        <f t="shared" si="124"/>
        <v>-134.29138161524597</v>
      </c>
      <c r="CJ233" s="308"/>
      <c r="CV233" s="65" t="s">
        <v>89</v>
      </c>
      <c r="CW233" s="64" t="s">
        <v>93</v>
      </c>
      <c r="CY233" s="357" t="s">
        <v>635</v>
      </c>
      <c r="CZ233" s="357"/>
      <c r="DA233" s="357"/>
      <c r="DB233" s="357"/>
      <c r="DC233" s="357"/>
      <c r="DL233" s="3" t="s">
        <v>636</v>
      </c>
      <c r="DP233" s="50">
        <f>DF241</f>
        <v>46.099804713468714</v>
      </c>
      <c r="DQ233" s="48">
        <f>DQ241</f>
        <v>4044220.3273382401</v>
      </c>
      <c r="DS233" s="357" t="s">
        <v>638</v>
      </c>
      <c r="DT233" s="357"/>
      <c r="DU233" s="357"/>
      <c r="DV233" s="357"/>
      <c r="DW233" s="357"/>
      <c r="EG233" s="3" t="s">
        <v>639</v>
      </c>
      <c r="EK233" s="50">
        <f>EA241</f>
        <v>46.099804713468714</v>
      </c>
      <c r="EL233" s="48">
        <f>EL241</f>
        <v>4044220.3273382401</v>
      </c>
      <c r="FA233" s="3" t="s">
        <v>639</v>
      </c>
      <c r="FF233" s="50">
        <f>EV241</f>
        <v>13.829941414040613</v>
      </c>
      <c r="FG233" s="48">
        <f>FG241</f>
        <v>1213266.0982014721</v>
      </c>
      <c r="FI233" s="366" t="s">
        <v>408</v>
      </c>
      <c r="FJ233" s="367"/>
      <c r="FK233" s="367"/>
      <c r="FL233" s="367"/>
      <c r="FM233" s="367"/>
    </row>
    <row r="234" spans="2:169" ht="18" customHeight="1" thickBot="1" x14ac:dyDescent="0.3">
      <c r="U234" s="63" t="s">
        <v>1</v>
      </c>
      <c r="V234" s="58" t="s">
        <v>0</v>
      </c>
      <c r="AC234" s="356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598.81969608995871</v>
      </c>
      <c r="BK234" s="361" t="s">
        <v>494</v>
      </c>
      <c r="BL234" s="361"/>
      <c r="BM234" s="361"/>
      <c r="BN234" s="361"/>
      <c r="BP234" s="4"/>
      <c r="BQ234" s="1" t="s">
        <v>529</v>
      </c>
      <c r="BR234" s="1" t="s">
        <v>530</v>
      </c>
      <c r="BS234" s="1" t="s">
        <v>532</v>
      </c>
      <c r="BT234" s="1" t="s">
        <v>85</v>
      </c>
      <c r="BU234" s="1" t="s">
        <v>630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531</v>
      </c>
      <c r="CB234" s="1" t="s">
        <v>50</v>
      </c>
      <c r="CJ234" s="308"/>
      <c r="CR234" s="3" t="s">
        <v>502</v>
      </c>
      <c r="CV234" s="50">
        <f>CL243</f>
        <v>46.0998047134687</v>
      </c>
      <c r="CW234" s="48">
        <f>CW243</f>
        <v>4027024.8231933108</v>
      </c>
      <c r="CY234" s="357"/>
      <c r="CZ234" s="357"/>
      <c r="DA234" s="357"/>
      <c r="DB234" s="357"/>
      <c r="DC234" s="357"/>
      <c r="DS234" s="357"/>
      <c r="DT234" s="357"/>
      <c r="DU234" s="357"/>
      <c r="DV234" s="357"/>
      <c r="DW234" s="357"/>
      <c r="FI234" s="367"/>
      <c r="FJ234" s="367"/>
      <c r="FK234" s="367"/>
      <c r="FL234" s="367"/>
      <c r="FM234" s="367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631</v>
      </c>
      <c r="AJ235" s="4"/>
      <c r="AK235" s="4"/>
      <c r="AO235" s="3" t="s">
        <v>96</v>
      </c>
      <c r="AP235" s="1" t="s">
        <v>93</v>
      </c>
      <c r="BK235" s="361"/>
      <c r="BL235" s="361"/>
      <c r="BM235" s="361"/>
      <c r="BN235" s="361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416</v>
      </c>
      <c r="CZ235" s="22" t="s">
        <v>456</v>
      </c>
      <c r="DA235" s="159" t="s">
        <v>334</v>
      </c>
      <c r="DB235" s="371" t="s">
        <v>340</v>
      </c>
      <c r="DC235" s="138" t="s">
        <v>314</v>
      </c>
      <c r="DE235" s="4"/>
      <c r="DF235" s="1" t="s">
        <v>529</v>
      </c>
      <c r="DG235" s="1" t="s">
        <v>530</v>
      </c>
      <c r="DH235" s="1" t="s">
        <v>532</v>
      </c>
      <c r="DI235" s="1" t="s">
        <v>85</v>
      </c>
      <c r="DJ235" s="1" t="s">
        <v>630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531</v>
      </c>
      <c r="DQ235" s="1" t="s">
        <v>50</v>
      </c>
      <c r="DS235" s="22" t="s">
        <v>416</v>
      </c>
      <c r="DT235" s="22" t="s">
        <v>456</v>
      </c>
      <c r="DU235" s="159" t="s">
        <v>334</v>
      </c>
      <c r="DV235" s="371" t="s">
        <v>340</v>
      </c>
      <c r="DW235" s="138" t="s">
        <v>314</v>
      </c>
      <c r="DZ235" s="4"/>
      <c r="EA235" s="1" t="s">
        <v>529</v>
      </c>
      <c r="EB235" s="1" t="s">
        <v>530</v>
      </c>
      <c r="EC235" s="1" t="s">
        <v>532</v>
      </c>
      <c r="ED235" s="1" t="s">
        <v>85</v>
      </c>
      <c r="EE235" s="1" t="s">
        <v>630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531</v>
      </c>
      <c r="EL235" s="1" t="s">
        <v>50</v>
      </c>
      <c r="EU235" s="4"/>
      <c r="EV235" s="1" t="s">
        <v>529</v>
      </c>
      <c r="EW235" s="1" t="s">
        <v>530</v>
      </c>
      <c r="EX235" s="1" t="s">
        <v>532</v>
      </c>
      <c r="EY235" s="1" t="s">
        <v>85</v>
      </c>
      <c r="EZ235" s="1" t="s">
        <v>630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531</v>
      </c>
      <c r="FG235" s="1" t="s">
        <v>50</v>
      </c>
      <c r="FI235" s="367"/>
      <c r="FJ235" s="367"/>
      <c r="FK235" s="367"/>
      <c r="FL235" s="367"/>
      <c r="FM235" s="367"/>
    </row>
    <row r="236" spans="2:169" ht="22" customHeight="1" thickBot="1" x14ac:dyDescent="0.3">
      <c r="Q236" s="3" t="s">
        <v>512</v>
      </c>
      <c r="U236" s="50">
        <f>K242</f>
        <v>7.4647476716394348</v>
      </c>
      <c r="V236" s="48">
        <f>V242</f>
        <v>58.434372046010559</v>
      </c>
      <c r="BO236" s="393" t="s">
        <v>495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08"/>
      <c r="CK236" s="4"/>
      <c r="CL236" s="1" t="s">
        <v>529</v>
      </c>
      <c r="CM236" s="1" t="s">
        <v>530</v>
      </c>
      <c r="CN236" s="1" t="s">
        <v>532</v>
      </c>
      <c r="CO236" s="1" t="s">
        <v>85</v>
      </c>
      <c r="CP236" s="1" t="s">
        <v>630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531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7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7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3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15996.355248767883</v>
      </c>
      <c r="DA237" s="141">
        <f>DP233-CV234</f>
        <v>0</v>
      </c>
      <c r="DB237" s="139" t="s">
        <v>337</v>
      </c>
      <c r="DC237" s="136">
        <f>((DI238*(DP238-CV242)))/DD229</f>
        <v>0.19607706784943255</v>
      </c>
      <c r="DD237" s="364" t="s">
        <v>636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-0.15997037281540122</v>
      </c>
      <c r="DO237" s="17">
        <f>DK237+DN237</f>
        <v>235.9400296271846</v>
      </c>
      <c r="DP237" s="17">
        <f>DO237*DL237</f>
        <v>219.8919311716252</v>
      </c>
      <c r="DQ237" s="17">
        <f>DP237*$DI$241</f>
        <v>3271655.296047383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337</v>
      </c>
      <c r="DW237" s="136" t="s">
        <v>98</v>
      </c>
      <c r="DY237" s="364" t="s">
        <v>499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-0.15997037281540122</v>
      </c>
      <c r="EJ237" s="17">
        <f>EF237+EI237</f>
        <v>235.9400296271846</v>
      </c>
      <c r="EK237" s="17">
        <f>EJ237*EG237</f>
        <v>219.8919311716252</v>
      </c>
      <c r="EL237" s="17">
        <f>EK237*$DI$241</f>
        <v>3271655.296047383</v>
      </c>
      <c r="ET237" s="365" t="s">
        <v>639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-0.15997037281540147</v>
      </c>
      <c r="FE237" s="17">
        <f>FA237+FD237</f>
        <v>235.9400296271846</v>
      </c>
      <c r="FF237" s="17">
        <f>FE237*FB237</f>
        <v>219.89193117162517</v>
      </c>
      <c r="FG237" s="17">
        <f>FF237*$EY$241</f>
        <v>981496.5888142148</v>
      </c>
    </row>
    <row r="238" spans="2:169" ht="23" customHeight="1" x14ac:dyDescent="0.25">
      <c r="E238" s="361" t="s">
        <v>494</v>
      </c>
      <c r="F238" s="361"/>
      <c r="G238" s="361"/>
      <c r="H238" s="361"/>
      <c r="J238" s="4"/>
      <c r="K238" s="1" t="s">
        <v>529</v>
      </c>
      <c r="L238" s="1" t="s">
        <v>530</v>
      </c>
      <c r="M238" s="1" t="s">
        <v>532</v>
      </c>
      <c r="N238" s="1" t="s">
        <v>85</v>
      </c>
      <c r="O238" s="1" t="s">
        <v>630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531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56" t="s">
        <v>502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-0.14617761379472408</v>
      </c>
      <c r="CU238" s="17">
        <f t="shared" ref="CU238:CU242" si="128">CQ238+CT238</f>
        <v>235.95382238620527</v>
      </c>
      <c r="CV238" s="17">
        <f t="shared" ref="CV238:CV242" si="129">CR238*CU238</f>
        <v>221.24444432355347</v>
      </c>
      <c r="CW238" s="17">
        <f>CV238*$CO$243</f>
        <v>3329251.3975574607</v>
      </c>
      <c r="CY238" s="4"/>
      <c r="CZ238" s="4"/>
      <c r="DB238" s="139" t="s">
        <v>607</v>
      </c>
      <c r="DC238" s="136">
        <f>DQ233/(CW234+DD229)</f>
        <v>0.99606022128883631</v>
      </c>
      <c r="DD238" s="364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-6.3769988229356089</v>
      </c>
      <c r="DO238" s="3">
        <f t="shared" ref="DO238:DO240" si="133">DK238+DN238</f>
        <v>825.42300117706429</v>
      </c>
      <c r="DP238" s="3">
        <f t="shared" ref="DP238:DP240" si="134">DO238*DL238</f>
        <v>49.791495876553356</v>
      </c>
      <c r="DQ238" s="3">
        <f t="shared" ref="DQ238:DQ240" si="135">DP238*$DI$241</f>
        <v>740821.2312051761</v>
      </c>
      <c r="DS238" s="4"/>
      <c r="DT238" s="4"/>
      <c r="DV238" s="139" t="s">
        <v>607</v>
      </c>
      <c r="DW238" s="136">
        <f>EL233/DQ233</f>
        <v>1</v>
      </c>
      <c r="DY238" s="364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-6.3769988229356089</v>
      </c>
      <c r="EJ238" s="3">
        <f t="shared" ref="EJ238:EJ240" si="139">EF238+EI238</f>
        <v>825.42300117706429</v>
      </c>
      <c r="EK238" s="3">
        <f t="shared" ref="EK238:EK240" si="140">EJ238*EG238</f>
        <v>49.791495876553356</v>
      </c>
      <c r="EL238" s="3">
        <f t="shared" ref="EL238:EL240" si="141">EK238*$DI$241</f>
        <v>740821.2312051761</v>
      </c>
      <c r="EM238" s="132"/>
      <c r="EN238" s="132"/>
      <c r="EO238" s="132"/>
      <c r="EP238" s="132"/>
      <c r="EQ238" s="132"/>
      <c r="ER238" s="132"/>
      <c r="ES238" s="132"/>
      <c r="ET238" s="365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-6.3769988229356107</v>
      </c>
      <c r="FE238" s="3">
        <f>FA238+FD238</f>
        <v>825.42300117706429</v>
      </c>
      <c r="FF238" s="3">
        <f>FE238*FB238</f>
        <v>49.791495876553348</v>
      </c>
      <c r="FG238" s="3">
        <f t="shared" ref="FG238:FG240" si="143">FF238*$EY$241</f>
        <v>222246.36936155282</v>
      </c>
    </row>
    <row r="239" spans="2:169" ht="19" thickBot="1" x14ac:dyDescent="0.3">
      <c r="E239" s="361"/>
      <c r="F239" s="361"/>
      <c r="G239" s="361"/>
      <c r="H239" s="361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631</v>
      </c>
      <c r="BV239" s="4"/>
      <c r="BW239" s="4"/>
      <c r="CA239" s="3" t="s">
        <v>96</v>
      </c>
      <c r="CB239" s="1" t="s">
        <v>93</v>
      </c>
      <c r="CJ239" s="356"/>
      <c r="CK239" s="3" t="s">
        <v>364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-13.434484606772353</v>
      </c>
      <c r="CU239" s="3">
        <f t="shared" si="128"/>
        <v>796.91191539322756</v>
      </c>
      <c r="CV239" s="3">
        <f t="shared" si="129"/>
        <v>2.1489826094690736</v>
      </c>
      <c r="CW239" s="3">
        <f>CV239*$CO$243</f>
        <v>32337.550340647947</v>
      </c>
      <c r="CY239" s="4"/>
      <c r="CZ239" s="4"/>
      <c r="DB239" s="140" t="s">
        <v>395</v>
      </c>
      <c r="DC239" s="137">
        <f>DQ238/(CW234+DD229)</f>
        <v>0.18245854571809561</v>
      </c>
      <c r="DD239" s="364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-12.046911217384114</v>
      </c>
      <c r="DO239" s="3">
        <f t="shared" si="133"/>
        <v>-8.046911217384114</v>
      </c>
      <c r="DP239" s="3">
        <f t="shared" si="134"/>
        <v>-3.997678586122911E-2</v>
      </c>
      <c r="DQ239" s="3">
        <f t="shared" si="135"/>
        <v>-594.79337183937332</v>
      </c>
      <c r="DS239" s="4"/>
      <c r="DT239" s="4"/>
      <c r="DV239" s="140" t="s">
        <v>395</v>
      </c>
      <c r="DW239" s="137">
        <f>EL233/DQ233</f>
        <v>1</v>
      </c>
      <c r="DY239" s="364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-12.046911217384114</v>
      </c>
      <c r="EJ239" s="3">
        <f t="shared" si="139"/>
        <v>-8.046911217384114</v>
      </c>
      <c r="EK239" s="3">
        <f t="shared" si="140"/>
        <v>-3.997678586122911E-2</v>
      </c>
      <c r="EL239" s="3">
        <f t="shared" si="141"/>
        <v>-594.79337183937332</v>
      </c>
      <c r="EM239" s="1"/>
      <c r="EN239" s="1"/>
      <c r="EO239" s="1"/>
      <c r="EP239" s="1"/>
      <c r="EQ239" s="1"/>
      <c r="ER239" s="1"/>
      <c r="ES239" s="1"/>
      <c r="ET239" s="365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-12.046911217384114</v>
      </c>
      <c r="FE239" s="3">
        <f>FA239+FD239</f>
        <v>-8.046911217384114</v>
      </c>
      <c r="FF239" s="3">
        <f>FE239*FB239</f>
        <v>-3.9976785861229103E-2</v>
      </c>
      <c r="FG239" s="3">
        <f t="shared" si="143"/>
        <v>-178.43801155181197</v>
      </c>
    </row>
    <row r="240" spans="2:169" ht="18" customHeight="1" x14ac:dyDescent="0.25">
      <c r="I240" s="356" t="s">
        <v>500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-3.5432742429276503</v>
      </c>
      <c r="T240" s="1">
        <f>P240+S240</f>
        <v>0.45672575707234975</v>
      </c>
      <c r="U240" s="1">
        <f>T240*Q240</f>
        <v>9.5950789300913816E-2</v>
      </c>
      <c r="V240" s="1">
        <f>N242*U240</f>
        <v>24.826005403346429</v>
      </c>
      <c r="CJ240" s="356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-11.491816737949305</v>
      </c>
      <c r="CU240" s="3">
        <f t="shared" si="128"/>
        <v>263.5311432620507</v>
      </c>
      <c r="CV240" s="3">
        <f t="shared" si="129"/>
        <v>1.6717275425699396</v>
      </c>
      <c r="CW240" s="3">
        <f>CV240*$CO$243</f>
        <v>25155.891595166995</v>
      </c>
      <c r="DD240" s="364"/>
      <c r="DE240" s="3" t="s">
        <v>364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-13.40877850795137</v>
      </c>
      <c r="DO240" s="3">
        <f t="shared" si="133"/>
        <v>796.93762149204849</v>
      </c>
      <c r="DP240" s="3">
        <f t="shared" si="134"/>
        <v>2.1735161938787653</v>
      </c>
      <c r="DQ240" s="3">
        <f t="shared" si="135"/>
        <v>32338.593457520255</v>
      </c>
      <c r="DY240" s="364"/>
      <c r="DZ240" s="3" t="s">
        <v>364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-13.40877850795137</v>
      </c>
      <c r="EJ240" s="3">
        <f t="shared" si="139"/>
        <v>796.93762149204849</v>
      </c>
      <c r="EK240" s="3">
        <f t="shared" si="140"/>
        <v>2.1735161938787653</v>
      </c>
      <c r="EL240" s="3">
        <f t="shared" si="141"/>
        <v>32338.593457520255</v>
      </c>
      <c r="ET240" s="365"/>
      <c r="EU240" s="7" t="s">
        <v>67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-13.40877850795137</v>
      </c>
      <c r="FE240" s="3">
        <f>FA240+FD240</f>
        <v>796.93762149204849</v>
      </c>
      <c r="FF240" s="3">
        <f>FE240*FB240</f>
        <v>2.1735161938787644</v>
      </c>
      <c r="FG240" s="3">
        <f t="shared" si="143"/>
        <v>9701.578037256073</v>
      </c>
    </row>
    <row r="241" spans="9:163" ht="19" thickBot="1" x14ac:dyDescent="0.3">
      <c r="I241" s="356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33.60836664266413</v>
      </c>
      <c r="CJ241" s="356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-14.429096466115805</v>
      </c>
      <c r="CU241" s="3">
        <f t="shared" si="128"/>
        <v>5.4709035338842291</v>
      </c>
      <c r="CV241" s="3">
        <f t="shared" si="129"/>
        <v>9.5208240600811057E-3</v>
      </c>
      <c r="CW241" s="3">
        <f>CV241*$CO$243</f>
        <v>143.26785427239435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271.81696645619604</v>
      </c>
      <c r="DQ241" s="17">
        <f>SUM(DQ237:DQ240)</f>
        <v>4044220.3273382401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271.81696645619604</v>
      </c>
      <c r="EL241" s="17">
        <f>SUM(EL237:EL240)</f>
        <v>4044220.3273382401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271.81696645619604</v>
      </c>
      <c r="FG241" s="17">
        <f>SUM(FG237:FG240)</f>
        <v>1213266.0982014721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0.22584479577057509</v>
      </c>
      <c r="V242" s="3">
        <f>SUM(V240:V241)</f>
        <v>58.434372046010559</v>
      </c>
      <c r="CA242" s="63" t="s">
        <v>1</v>
      </c>
      <c r="CB242" s="58" t="s">
        <v>0</v>
      </c>
      <c r="CJ242" s="356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-6.7334616305124975</v>
      </c>
      <c r="CU242" s="3">
        <f t="shared" si="128"/>
        <v>825.06653836948749</v>
      </c>
      <c r="CV242" s="3">
        <f t="shared" si="129"/>
        <v>42.540101385045944</v>
      </c>
      <c r="CW242" s="3">
        <f>CV242*$CO$243</f>
        <v>640136.71584576298</v>
      </c>
      <c r="DF242" s="1" t="s">
        <v>89</v>
      </c>
      <c r="DG242" s="1"/>
      <c r="DH242" s="3" t="s">
        <v>91</v>
      </c>
      <c r="DI242" s="3" t="s">
        <v>87</v>
      </c>
      <c r="DJ242" s="1" t="s">
        <v>631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631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556</v>
      </c>
      <c r="EV242" s="1" t="s">
        <v>89</v>
      </c>
      <c r="EW242" s="1"/>
      <c r="EX242" s="3" t="s">
        <v>91</v>
      </c>
      <c r="EY242" s="3" t="s">
        <v>87</v>
      </c>
      <c r="EZ242" s="1" t="s">
        <v>631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631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267.61477668469848</v>
      </c>
      <c r="CW243" s="17">
        <f>SUM(CW238:CW242)</f>
        <v>4027024.8231933108</v>
      </c>
      <c r="CY243" s="4"/>
      <c r="CZ243" s="3" t="s">
        <v>2</v>
      </c>
      <c r="DA243" s="3" t="s">
        <v>3</v>
      </c>
      <c r="DB243" s="132" t="s">
        <v>556</v>
      </c>
      <c r="EO243" s="4"/>
      <c r="EP243" s="1" t="s">
        <v>558</v>
      </c>
      <c r="EQ243" s="1" t="s">
        <v>558</v>
      </c>
      <c r="ER243" s="1" t="s">
        <v>558</v>
      </c>
    </row>
    <row r="244" spans="9:163" ht="24" customHeight="1" thickBot="1" x14ac:dyDescent="0.3">
      <c r="BW244" s="3" t="s">
        <v>454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631</v>
      </c>
      <c r="CQ244" s="4"/>
      <c r="CR244" s="4"/>
      <c r="CV244" s="3" t="s">
        <v>96</v>
      </c>
      <c r="CW244" s="1" t="s">
        <v>93</v>
      </c>
      <c r="CY244" s="4"/>
      <c r="CZ244" s="1" t="s">
        <v>558</v>
      </c>
      <c r="DA244" s="1" t="s">
        <v>558</v>
      </c>
      <c r="DB244" s="1" t="s">
        <v>558</v>
      </c>
      <c r="EO244" s="4" t="s">
        <v>60</v>
      </c>
      <c r="EP244" s="3" t="s">
        <v>557</v>
      </c>
      <c r="EQ244" s="3" t="s">
        <v>557</v>
      </c>
      <c r="ER244" s="3" t="s">
        <v>557</v>
      </c>
    </row>
    <row r="245" spans="9:163" x14ac:dyDescent="0.2">
      <c r="BO245" s="4"/>
      <c r="CY245" s="4" t="s">
        <v>60</v>
      </c>
      <c r="CZ245" s="3" t="s">
        <v>557</v>
      </c>
      <c r="DA245" s="3" t="s">
        <v>557</v>
      </c>
      <c r="DB245" s="3" t="s">
        <v>557</v>
      </c>
      <c r="EO245" s="3" t="s">
        <v>18</v>
      </c>
      <c r="EP245" s="83">
        <f>DI238</f>
        <v>897.50495218664253</v>
      </c>
      <c r="EQ245" s="83" t="e">
        <f>EY238+EE157+#REF!</f>
        <v>#REF!</v>
      </c>
      <c r="ER245" s="3" t="e">
        <f>EP245-EQ245</f>
        <v>#REF!</v>
      </c>
    </row>
    <row r="246" spans="9:163" ht="18" customHeight="1" x14ac:dyDescent="0.25">
      <c r="BI246" s="313"/>
      <c r="BJ246" s="313"/>
      <c r="BK246" s="361" t="s">
        <v>453</v>
      </c>
      <c r="BL246" s="361"/>
      <c r="BM246" s="361"/>
      <c r="BN246" s="361"/>
      <c r="BO246" s="313"/>
      <c r="BP246" s="1"/>
      <c r="BQ246" s="3" t="s">
        <v>535</v>
      </c>
      <c r="BR246" s="1" t="s">
        <v>529</v>
      </c>
      <c r="BS246" s="3" t="s">
        <v>5</v>
      </c>
      <c r="BT246" s="1" t="s">
        <v>85</v>
      </c>
      <c r="BU246" s="1" t="s">
        <v>630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531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</f>
        <v>31322.959413925193</v>
      </c>
      <c r="EQ246" s="83" t="e">
        <f>(2*EY237)+(4*EY238)+(2*EE156)+(4*EE157)+(2*#REF!)+(4*#REF!)</f>
        <v>#REF!</v>
      </c>
      <c r="ER246" s="3" t="e">
        <f t="shared" ref="ER246:ER248" si="145">EP246-EQ246</f>
        <v>#REF!</v>
      </c>
    </row>
    <row r="247" spans="9:163" ht="18" x14ac:dyDescent="0.25">
      <c r="BI247" s="313"/>
      <c r="BJ247" s="313"/>
      <c r="BK247" s="361"/>
      <c r="BL247" s="361"/>
      <c r="BM247" s="361"/>
      <c r="BN247" s="361"/>
      <c r="BO247" s="313"/>
      <c r="BP247" s="1"/>
      <c r="BQ247" s="3" t="s">
        <v>534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2*DI239</f>
        <v>147.83147366020734</v>
      </c>
      <c r="EQ247" s="83" t="e">
        <f>(2*EY239)+(2*EE158)+(2*#REF!)</f>
        <v>#REF!</v>
      </c>
      <c r="ER247" s="3" t="e">
        <f t="shared" si="145"/>
        <v>#REF!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359</v>
      </c>
      <c r="EP248" s="83">
        <f>2*DI240</f>
        <v>81.157151037681089</v>
      </c>
      <c r="EQ248" s="83" t="e">
        <f>(2*EY240)+(2*#REF!)+(2*EE159)</f>
        <v>#REF!</v>
      </c>
      <c r="ER248" s="3" t="e">
        <f t="shared" si="145"/>
        <v>#REF!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631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503</v>
      </c>
      <c r="CV251" s="50">
        <f>CL258</f>
        <v>3698.8733194995434</v>
      </c>
      <c r="CW251" s="48">
        <f>CW258</f>
        <v>325339.45293214149</v>
      </c>
    </row>
    <row r="252" spans="9:163" ht="22" customHeight="1" x14ac:dyDescent="0.2"/>
    <row r="253" spans="9:163" ht="14" customHeight="1" x14ac:dyDescent="0.25">
      <c r="CK253" s="4"/>
      <c r="CL253" s="1" t="s">
        <v>529</v>
      </c>
      <c r="CM253" s="1" t="s">
        <v>530</v>
      </c>
      <c r="CN253" s="1" t="s">
        <v>532</v>
      </c>
      <c r="CO253" s="1" t="s">
        <v>85</v>
      </c>
      <c r="CP253" s="1" t="s">
        <v>630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531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6" t="s">
        <v>503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-3.770106263699657</v>
      </c>
      <c r="CU255" s="17">
        <f>CT255+CQ255</f>
        <v>5.7412377363003513</v>
      </c>
      <c r="CV255" s="17">
        <f>CR255*CU255</f>
        <v>1.0914900639354279</v>
      </c>
      <c r="CW255" s="17">
        <f>CV255*$CO$258</f>
        <v>146102.40615304082</v>
      </c>
    </row>
    <row r="256" spans="9:163" ht="18" x14ac:dyDescent="0.25">
      <c r="CJ256" s="356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-5.3442220925034132</v>
      </c>
      <c r="CU256" s="3">
        <f>CT256+CQ256</f>
        <v>14.555777907496621</v>
      </c>
      <c r="CV256" s="3">
        <f>CR256*CU256</f>
        <v>1.3836290786593746</v>
      </c>
      <c r="CW256" s="3">
        <f>CV256*$CO$258</f>
        <v>185206.9425960517</v>
      </c>
    </row>
    <row r="257" spans="52:101" ht="18" x14ac:dyDescent="0.25">
      <c r="AZ257" s="16"/>
      <c r="CJ257" s="356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-0.76239173598594567</v>
      </c>
      <c r="CU257" s="3">
        <f>CT257+CQ257</f>
        <v>-6.2391735985945718E-2</v>
      </c>
      <c r="CV257" s="3">
        <f>CR257*CU257</f>
        <v>-4.4599415837862338E-2</v>
      </c>
      <c r="CW257" s="3">
        <f>CV257*$CO$258</f>
        <v>-5969.8958169510315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2.4305197267569403</v>
      </c>
      <c r="CW258" s="17">
        <f>SUM(CW255:CW257)</f>
        <v>325339.45293214149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631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503</v>
      </c>
      <c r="CV267" s="50">
        <f>CL282</f>
        <v>23.982067525572877</v>
      </c>
      <c r="CW267" s="48">
        <f>CW282</f>
        <v>955653.18009036488</v>
      </c>
    </row>
    <row r="268" spans="52:101" ht="18" customHeight="1" x14ac:dyDescent="0.2"/>
    <row r="269" spans="52:101" ht="18" x14ac:dyDescent="0.25">
      <c r="CK269" s="4"/>
      <c r="CL269" s="1" t="s">
        <v>529</v>
      </c>
      <c r="CM269" s="1" t="s">
        <v>530</v>
      </c>
      <c r="CN269" s="1" t="s">
        <v>532</v>
      </c>
      <c r="CO269" s="1" t="s">
        <v>85</v>
      </c>
      <c r="CP269" s="1" t="s">
        <v>630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531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3" t="s">
        <v>677</v>
      </c>
      <c r="CK271" s="17" t="s">
        <v>647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-8.4770767695667359</v>
      </c>
      <c r="CU271" s="17">
        <f>CT271+CQ271</f>
        <v>6207.0229232304337</v>
      </c>
      <c r="CV271" s="17">
        <f>CR271*CU271</f>
        <v>148.50746118426292</v>
      </c>
      <c r="CW271" s="17">
        <f t="shared" ref="CW271:CW281" si="150">CV271*$CO$282</f>
        <v>232274.56478949948</v>
      </c>
    </row>
    <row r="272" spans="52:101" ht="17" x14ac:dyDescent="0.25">
      <c r="CJ272" s="393"/>
      <c r="CK272" s="3" t="s">
        <v>648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-12.374067279239105</v>
      </c>
      <c r="CU272" s="3">
        <f t="shared" ref="CU272:CU281" si="153">CT272+CQ272</f>
        <v>8475.9059327207597</v>
      </c>
      <c r="CV272" s="3">
        <f t="shared" ref="CV272:CV281" si="154">CR272*CU272</f>
        <v>36.458624592735916</v>
      </c>
      <c r="CW272" s="3">
        <f t="shared" si="150"/>
        <v>57023.472710197137</v>
      </c>
    </row>
    <row r="273" spans="88:101" ht="17" x14ac:dyDescent="0.25">
      <c r="CJ273" s="393"/>
      <c r="CK273" s="3" t="s">
        <v>649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-13.604825277758417</v>
      </c>
      <c r="CU273" s="3">
        <f t="shared" si="153"/>
        <v>9403.3751747222414</v>
      </c>
      <c r="CV273" s="3">
        <f t="shared" si="154"/>
        <v>23.525064251338623</v>
      </c>
      <c r="CW273" s="3">
        <f t="shared" si="150"/>
        <v>36794.609624662618</v>
      </c>
    </row>
    <row r="274" spans="88:101" ht="17" x14ac:dyDescent="0.25">
      <c r="CJ274" s="393"/>
      <c r="CK274" s="3" t="s">
        <v>661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-15.633581783412039</v>
      </c>
      <c r="CU274" s="3">
        <f t="shared" si="153"/>
        <v>16515.126418216591</v>
      </c>
      <c r="CV274" s="3">
        <f t="shared" si="154"/>
        <v>16.910428361978727</v>
      </c>
      <c r="CW274" s="3">
        <f t="shared" si="150"/>
        <v>26448.922881450795</v>
      </c>
    </row>
    <row r="275" spans="88:101" ht="17" x14ac:dyDescent="0.25">
      <c r="CJ275" s="393"/>
      <c r="CK275" s="3" t="s">
        <v>668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-14.126168068318691</v>
      </c>
      <c r="CU275" s="3">
        <f t="shared" si="153"/>
        <v>7600.9938319316825</v>
      </c>
      <c r="CV275" s="3">
        <f t="shared" si="154"/>
        <v>15.115312694862192</v>
      </c>
      <c r="CW275" s="3">
        <f t="shared" si="150"/>
        <v>23641.254451856163</v>
      </c>
    </row>
    <row r="276" spans="88:101" ht="17" x14ac:dyDescent="0.25">
      <c r="CJ276" s="393"/>
      <c r="CK276" s="3" t="s">
        <v>670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-14.296495888565424</v>
      </c>
      <c r="CU276" s="3">
        <f t="shared" si="153"/>
        <v>8037.4035041114357</v>
      </c>
      <c r="CV276" s="3">
        <f t="shared" si="154"/>
        <v>14.828234962916724</v>
      </c>
      <c r="CW276" s="3">
        <f t="shared" si="150"/>
        <v>23192.247683329868</v>
      </c>
    </row>
    <row r="277" spans="88:101" ht="17" customHeight="1" x14ac:dyDescent="0.25">
      <c r="CJ277" s="393"/>
      <c r="CK277" s="4" t="s">
        <v>671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-15.017084529395856</v>
      </c>
      <c r="CU277" s="3">
        <f t="shared" si="153"/>
        <v>-14.788791249395855</v>
      </c>
      <c r="CV277" s="3">
        <f t="shared" si="154"/>
        <v>-1.9865650319215829E-2</v>
      </c>
      <c r="CW277" s="3">
        <f t="shared" si="150"/>
        <v>-31.071067038382619</v>
      </c>
    </row>
    <row r="278" spans="88:101" x14ac:dyDescent="0.2">
      <c r="CJ278" s="393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-0.6355402168202291</v>
      </c>
      <c r="CU278" s="3">
        <f t="shared" si="153"/>
        <v>409.66445978317978</v>
      </c>
      <c r="CV278" s="3">
        <f t="shared" si="154"/>
        <v>309.66288697051391</v>
      </c>
      <c r="CW278" s="3">
        <f t="shared" si="150"/>
        <v>484331.30382110423</v>
      </c>
    </row>
    <row r="279" spans="88:101" ht="17" x14ac:dyDescent="0.25">
      <c r="CJ279" s="393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-3.6739155099130243</v>
      </c>
      <c r="CU279" s="3">
        <f t="shared" si="153"/>
        <v>232.42608449008696</v>
      </c>
      <c r="CV279" s="3">
        <f t="shared" si="154"/>
        <v>46.099307592245651</v>
      </c>
      <c r="CW279" s="3">
        <f t="shared" si="150"/>
        <v>72102.078391875461</v>
      </c>
    </row>
    <row r="280" spans="88:101" ht="18" x14ac:dyDescent="0.25">
      <c r="CJ280" s="393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-13.664571512842798</v>
      </c>
      <c r="CU280" s="3">
        <f t="shared" si="153"/>
        <v>-12.964571512842799</v>
      </c>
      <c r="CV280" s="3">
        <f t="shared" si="154"/>
        <v>-3.1592173120946407E-2</v>
      </c>
      <c r="CW280" s="3">
        <f t="shared" si="150"/>
        <v>-49.412051111139398</v>
      </c>
    </row>
    <row r="281" spans="88:101" ht="18" x14ac:dyDescent="0.25">
      <c r="CJ281" s="393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-11.471724409670619</v>
      </c>
      <c r="CU281" s="3">
        <f t="shared" si="153"/>
        <v>-7.4717244096706192</v>
      </c>
      <c r="CV281" s="3">
        <f t="shared" si="154"/>
        <v>-4.7818594091812924E-2</v>
      </c>
      <c r="CW281" s="3">
        <f t="shared" si="150"/>
        <v>-74.791145461306769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611.00804419332258</v>
      </c>
      <c r="CW282" s="17">
        <f>SUM(CW271:CW281)</f>
        <v>955653.18009036488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631</v>
      </c>
      <c r="CQ283" s="4"/>
      <c r="CR283" s="4"/>
      <c r="CV283" s="3" t="s">
        <v>96</v>
      </c>
      <c r="CW283" s="1" t="s">
        <v>93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CF128:CF12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H34" sqref="H34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418</v>
      </c>
      <c r="I6" s="271" t="s">
        <v>418</v>
      </c>
    </row>
    <row r="7" spans="4:9" ht="19" x14ac:dyDescent="0.25">
      <c r="D7" s="395" t="s">
        <v>417</v>
      </c>
      <c r="E7" s="214" t="s">
        <v>543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6"/>
      <c r="E8" s="214" t="s">
        <v>419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7" t="s">
        <v>20</v>
      </c>
      <c r="E9" s="214" t="s">
        <v>543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8"/>
      <c r="E10" s="214" t="s">
        <v>544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8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9"/>
      <c r="E12" s="214" t="s">
        <v>420</v>
      </c>
      <c r="F12" s="217">
        <f>Ore_to_PI!BQ156</f>
        <v>1881501.0603161759</v>
      </c>
      <c r="G12" s="272">
        <f>F12*1.04</f>
        <v>1956761.102728823</v>
      </c>
      <c r="H12" s="273">
        <f t="shared" si="0"/>
        <v>1.8815010603161759E-3</v>
      </c>
      <c r="I12" s="274">
        <f t="shared" si="1"/>
        <v>1.9567611027288228E-3</v>
      </c>
    </row>
    <row r="13" spans="4:9" ht="19" x14ac:dyDescent="0.25">
      <c r="D13" s="400" t="s">
        <v>349</v>
      </c>
      <c r="E13" s="214" t="s">
        <v>543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01"/>
      <c r="E14" s="214" t="s">
        <v>420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02"/>
      <c r="E15" s="214" t="s">
        <v>419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03" t="s">
        <v>348</v>
      </c>
      <c r="E16" s="214" t="s">
        <v>419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03"/>
      <c r="E17" s="214" t="s">
        <v>420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04"/>
      <c r="E18" s="213" t="s">
        <v>528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201" t="s">
        <v>546</v>
      </c>
      <c r="F23" s="3" t="s">
        <v>545</v>
      </c>
      <c r="G23" s="3" t="s">
        <v>610</v>
      </c>
    </row>
    <row r="24" spans="4:9" x14ac:dyDescent="0.2">
      <c r="E24" s="201" t="s">
        <v>543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419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201" t="s">
        <v>544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528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A175" zoomScale="125" zoomScaleNormal="20" workbookViewId="0">
      <selection activeCell="BS118" sqref="BS11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555</v>
      </c>
      <c r="AT1" s="256"/>
      <c r="AU1" s="204" t="s">
        <v>402</v>
      </c>
      <c r="AV1" s="204" t="s">
        <v>403</v>
      </c>
      <c r="AW1" s="204" t="s">
        <v>404</v>
      </c>
      <c r="AX1" s="204" t="s">
        <v>536</v>
      </c>
      <c r="AY1" s="204" t="s">
        <v>515</v>
      </c>
      <c r="AZ1" s="204" t="s">
        <v>514</v>
      </c>
      <c r="BA1" s="204" t="s">
        <v>428</v>
      </c>
      <c r="BB1" s="204" t="s">
        <v>425</v>
      </c>
      <c r="BC1" s="204" t="s">
        <v>439</v>
      </c>
      <c r="BD1" s="204" t="s">
        <v>426</v>
      </c>
      <c r="BE1" s="204" t="s">
        <v>421</v>
      </c>
      <c r="BF1" s="204" t="s">
        <v>635</v>
      </c>
      <c r="BG1" s="204" t="s">
        <v>638</v>
      </c>
      <c r="BH1" s="204" t="s">
        <v>81</v>
      </c>
      <c r="BI1" s="204" t="s">
        <v>414</v>
      </c>
      <c r="BN1" s="256"/>
      <c r="BO1" s="204" t="s">
        <v>402</v>
      </c>
      <c r="BP1" s="204" t="s">
        <v>403</v>
      </c>
      <c r="BQ1" s="204" t="s">
        <v>404</v>
      </c>
      <c r="BR1" s="204" t="s">
        <v>536</v>
      </c>
      <c r="BS1" s="204" t="s">
        <v>515</v>
      </c>
      <c r="BT1" s="204" t="s">
        <v>514</v>
      </c>
      <c r="BU1" s="204" t="s">
        <v>428</v>
      </c>
      <c r="BV1" s="204" t="s">
        <v>425</v>
      </c>
      <c r="BW1" s="204" t="s">
        <v>439</v>
      </c>
      <c r="BX1" s="204" t="s">
        <v>426</v>
      </c>
      <c r="BY1" s="204" t="s">
        <v>421</v>
      </c>
      <c r="BZ1" s="204" t="s">
        <v>635</v>
      </c>
      <c r="CA1" s="204" t="s">
        <v>638</v>
      </c>
      <c r="CB1" s="204" t="s">
        <v>81</v>
      </c>
      <c r="CC1" s="204" t="s">
        <v>414</v>
      </c>
    </row>
    <row r="2" spans="2:81" x14ac:dyDescent="0.2">
      <c r="B2" s="201" t="s">
        <v>410</v>
      </c>
      <c r="C2" s="280">
        <v>1</v>
      </c>
      <c r="AT2" s="201" t="s">
        <v>410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412</v>
      </c>
      <c r="C3" s="280">
        <v>1</v>
      </c>
      <c r="AT3" s="201" t="s">
        <v>412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412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413</v>
      </c>
      <c r="C4" s="280">
        <v>1</v>
      </c>
      <c r="AT4" s="201" t="s">
        <v>413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413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432</v>
      </c>
      <c r="C5" s="280">
        <v>1</v>
      </c>
      <c r="AT5" s="201" t="s">
        <v>432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432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454</v>
      </c>
      <c r="C6" s="280">
        <v>1</v>
      </c>
      <c r="AM6" s="201"/>
      <c r="AT6" s="201" t="s">
        <v>454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454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547</v>
      </c>
      <c r="C7" s="280">
        <v>1</v>
      </c>
      <c r="AM7" s="201"/>
      <c r="AT7" s="201" t="s">
        <v>547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547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548</v>
      </c>
      <c r="C8" s="280">
        <v>1</v>
      </c>
      <c r="AM8" s="201"/>
      <c r="AT8" s="201" t="s">
        <v>548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548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491</v>
      </c>
      <c r="C9" s="280">
        <v>1</v>
      </c>
      <c r="AM9" s="201"/>
      <c r="AT9" s="201" t="s">
        <v>491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491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540</v>
      </c>
      <c r="C10" s="280">
        <v>1</v>
      </c>
      <c r="AM10" s="201"/>
      <c r="AT10" s="201" t="s">
        <v>540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540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522</v>
      </c>
      <c r="C11" s="280">
        <v>1</v>
      </c>
      <c r="AT11" s="202" t="s">
        <v>522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522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489</v>
      </c>
      <c r="C12" s="280">
        <v>1</v>
      </c>
      <c r="AT12" s="201" t="s">
        <v>489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489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492</v>
      </c>
      <c r="C13" s="280">
        <v>1</v>
      </c>
      <c r="AT13" s="202" t="s">
        <v>492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492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517</v>
      </c>
      <c r="C14" s="280">
        <v>1</v>
      </c>
      <c r="AT14" s="201" t="s">
        <v>517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517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510</v>
      </c>
      <c r="C15" s="280">
        <v>1</v>
      </c>
      <c r="AT15" s="203" t="s">
        <v>510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496</v>
      </c>
      <c r="C16" s="280">
        <v>1</v>
      </c>
      <c r="AT16" s="201" t="s">
        <v>496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496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521</v>
      </c>
      <c r="C17" s="280">
        <v>1</v>
      </c>
      <c r="AT17" s="202" t="s">
        <v>521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521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516</v>
      </c>
      <c r="C18" s="280">
        <v>1</v>
      </c>
      <c r="AT18" s="202" t="s">
        <v>516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516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513</v>
      </c>
      <c r="C19" s="280">
        <v>1</v>
      </c>
      <c r="AT19" s="202" t="s">
        <v>513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513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519</v>
      </c>
      <c r="C20" s="280">
        <v>1</v>
      </c>
      <c r="AT20" s="202" t="s">
        <v>519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519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518</v>
      </c>
      <c r="C21" s="280">
        <v>1</v>
      </c>
      <c r="AT21" s="203" t="s">
        <v>518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518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504</v>
      </c>
      <c r="C22" s="280">
        <v>1</v>
      </c>
      <c r="AT22" s="203" t="s">
        <v>504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504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537</v>
      </c>
      <c r="C23" s="280">
        <v>1</v>
      </c>
      <c r="AT23" s="203" t="s">
        <v>537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537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505</v>
      </c>
      <c r="C24" s="280">
        <v>1</v>
      </c>
      <c r="AT24" s="203" t="s">
        <v>505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505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507</v>
      </c>
      <c r="C25" s="280">
        <v>1</v>
      </c>
      <c r="AT25" s="203" t="s">
        <v>507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507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506</v>
      </c>
      <c r="C26" s="280">
        <v>1</v>
      </c>
      <c r="AT26" s="203" t="s">
        <v>506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506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602</v>
      </c>
      <c r="C27" s="280">
        <v>1</v>
      </c>
      <c r="AT27" s="203" t="s">
        <v>602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602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502</v>
      </c>
      <c r="C28" s="280">
        <v>1</v>
      </c>
      <c r="AT28" s="249" t="s">
        <v>502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502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/>
      <c r="C29" s="280"/>
      <c r="AT29" s="249" t="s">
        <v>677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677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501</v>
      </c>
      <c r="C30" s="280">
        <v>1</v>
      </c>
      <c r="AT30" s="203" t="s">
        <v>501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501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503</v>
      </c>
      <c r="C31" s="280">
        <v>1</v>
      </c>
      <c r="AT31" s="201" t="s">
        <v>503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503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499</v>
      </c>
      <c r="C32" s="280">
        <v>1</v>
      </c>
      <c r="AT32" s="203" t="s">
        <v>636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636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/>
      <c r="C33" s="280"/>
      <c r="AT33" s="203" t="s">
        <v>639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639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525</v>
      </c>
      <c r="C34" s="280">
        <v>1</v>
      </c>
      <c r="AT34" s="203" t="s">
        <v>525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525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526</v>
      </c>
      <c r="C35" s="280">
        <v>1</v>
      </c>
      <c r="AT35" s="203" t="s">
        <v>526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526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527</v>
      </c>
      <c r="C36" s="280">
        <v>1</v>
      </c>
      <c r="AT36" s="203" t="s">
        <v>527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527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538</v>
      </c>
      <c r="C37" s="280">
        <v>1</v>
      </c>
      <c r="AT37" s="203" t="s">
        <v>538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538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554</v>
      </c>
      <c r="AT38" s="203"/>
      <c r="AU38" s="405" t="s">
        <v>551</v>
      </c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N38" s="203"/>
      <c r="BO38" s="405" t="s">
        <v>552</v>
      </c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402</v>
      </c>
      <c r="AV41" s="204" t="s">
        <v>403</v>
      </c>
      <c r="AW41" s="204" t="s">
        <v>404</v>
      </c>
      <c r="AX41" s="204" t="s">
        <v>536</v>
      </c>
      <c r="AY41" s="204" t="s">
        <v>515</v>
      </c>
      <c r="AZ41" s="204" t="s">
        <v>514</v>
      </c>
      <c r="BA41" s="204" t="s">
        <v>428</v>
      </c>
      <c r="BB41" s="204" t="s">
        <v>425</v>
      </c>
      <c r="BC41" s="204" t="s">
        <v>439</v>
      </c>
      <c r="BD41" s="204" t="s">
        <v>426</v>
      </c>
      <c r="BE41" s="204" t="s">
        <v>421</v>
      </c>
      <c r="BF41" s="204" t="s">
        <v>635</v>
      </c>
      <c r="BG41" s="204" t="s">
        <v>638</v>
      </c>
      <c r="BH41" s="204" t="s">
        <v>81</v>
      </c>
      <c r="BI41" s="204" t="s">
        <v>414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410</v>
      </c>
      <c r="AU42" s="280">
        <f>AU87</f>
        <v>109233.7126431732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412</v>
      </c>
      <c r="AU43" s="280">
        <f t="shared" ref="AU43:AU68" si="1">AU88</f>
        <v>0</v>
      </c>
      <c r="AV43" s="280">
        <f t="shared" ref="AV43:BI43" si="2">AV88</f>
        <v>25394.240916408646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413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8851059.7091535721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432</v>
      </c>
      <c r="AU45" s="280">
        <f t="shared" si="1"/>
        <v>236.0188688118763</v>
      </c>
      <c r="AV45" s="280">
        <f t="shared" ref="AV45:BI45" si="4">AV90</f>
        <v>0.70761030268572533</v>
      </c>
      <c r="AW45" s="280">
        <f t="shared" si="4"/>
        <v>58.434372046010559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5043.1561155210738</v>
      </c>
      <c r="BE45" s="280">
        <f t="shared" si="4"/>
        <v>27357.025657382623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22325.965032153523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454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1951076.4755827489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547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548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491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540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522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109233.7126431732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489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492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25394.240916408646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517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510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8856308.1430966556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496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521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109233.7126431732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516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25394.240916408646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513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8856308.1430966556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519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88965.799815334409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518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504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25394.240916408646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537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8856308.1430966556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505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507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506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602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502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4027024.8231933108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677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501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503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636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4044220.3273382401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639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2830954.2291367673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525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6688312.3779436089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526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527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538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5" t="s">
        <v>553</v>
      </c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  <c r="BG78" s="405"/>
      <c r="BH78" s="405"/>
      <c r="BI78" s="405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402</v>
      </c>
      <c r="AV86" s="204" t="s">
        <v>403</v>
      </c>
      <c r="AW86" s="204" t="s">
        <v>404</v>
      </c>
      <c r="AX86" s="204" t="s">
        <v>536</v>
      </c>
      <c r="AY86" s="204" t="s">
        <v>515</v>
      </c>
      <c r="AZ86" s="204" t="s">
        <v>514</v>
      </c>
      <c r="BA86" s="204" t="s">
        <v>428</v>
      </c>
      <c r="BB86" s="204" t="s">
        <v>425</v>
      </c>
      <c r="BC86" s="204" t="s">
        <v>439</v>
      </c>
      <c r="BD86" s="204" t="s">
        <v>426</v>
      </c>
      <c r="BE86" s="204" t="s">
        <v>421</v>
      </c>
      <c r="BF86" s="204" t="s">
        <v>635</v>
      </c>
      <c r="BG86" s="204" t="s">
        <v>638</v>
      </c>
      <c r="BH86" s="204" t="s">
        <v>81</v>
      </c>
      <c r="BI86" s="204" t="s">
        <v>414</v>
      </c>
      <c r="BN86" s="204"/>
      <c r="BO86" s="204" t="s">
        <v>408</v>
      </c>
      <c r="BP86" s="204" t="s">
        <v>352</v>
      </c>
    </row>
    <row r="87" spans="36:81" x14ac:dyDescent="0.2">
      <c r="AJ87" s="201"/>
      <c r="AK87" s="201"/>
      <c r="AT87" s="201" t="s">
        <v>410</v>
      </c>
      <c r="AU87" s="227">
        <f>Ore_to_PI!$V$42</f>
        <v>109233.7126431732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109233.7126431732</v>
      </c>
      <c r="BN87" s="201" t="s">
        <v>410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412</v>
      </c>
      <c r="AU88" s="227"/>
      <c r="AV88" s="227">
        <f>Ore_to_PI!$V$126</f>
        <v>25394.240916408646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25394.240916408646</v>
      </c>
      <c r="BN88" s="201" t="s">
        <v>412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413</v>
      </c>
      <c r="AU89" s="227"/>
      <c r="AV89" s="227"/>
      <c r="AW89" s="227">
        <f>Ore_to_PI!$V$206</f>
        <v>8851059.7091535721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8851059.7091535721</v>
      </c>
      <c r="BN89" s="201" t="s">
        <v>413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432</v>
      </c>
      <c r="AU90" s="227">
        <f>Ore_to_PI!V72</f>
        <v>236.0188688118763</v>
      </c>
      <c r="AV90" s="227">
        <f>Ore_to_PI!V163</f>
        <v>0.70761030268572533</v>
      </c>
      <c r="AW90" s="227">
        <f>Ore_to_PI!V236</f>
        <v>58.434372046010559</v>
      </c>
      <c r="AX90" s="227"/>
      <c r="AY90" s="227"/>
      <c r="AZ90" s="227"/>
      <c r="BA90" s="227"/>
      <c r="BB90" s="227"/>
      <c r="BC90" s="227"/>
      <c r="BD90" s="227">
        <f>Ore_to_PI!CB140</f>
        <v>5043.1561155210738</v>
      </c>
      <c r="BE90" s="227">
        <f>Ore_to_PI!CB232</f>
        <v>27357.025657382623</v>
      </c>
      <c r="BF90" s="227"/>
      <c r="BG90" s="227"/>
      <c r="BH90" s="227"/>
      <c r="BI90" s="239">
        <f>Ore_to_PI!EM140</f>
        <v>22325.965032153523</v>
      </c>
      <c r="BJ90" s="248">
        <f t="shared" si="47"/>
        <v>55021.307656217788</v>
      </c>
      <c r="BN90" s="201" t="s">
        <v>432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454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1951076.4755827489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14864300.668385513</v>
      </c>
      <c r="BN91" s="201" t="s">
        <v>454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547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547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548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548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491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491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540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540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522</v>
      </c>
      <c r="AU96" s="227"/>
      <c r="AV96" s="227"/>
      <c r="AW96" s="227"/>
      <c r="AX96" s="227">
        <f>Ore_to_PI!$AO$42</f>
        <v>109233.7126431732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109233.7126431732</v>
      </c>
      <c r="BN96" s="202" t="s">
        <v>522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489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489</v>
      </c>
      <c r="BO97" s="240"/>
      <c r="BP97" s="240">
        <f>Ore_to_PI!AO63</f>
        <v>2418.6577581793781</v>
      </c>
      <c r="BQ97" s="248">
        <f t="shared" si="49"/>
        <v>2418.6577581793781</v>
      </c>
    </row>
    <row r="98" spans="36:74" ht="16" x14ac:dyDescent="0.2">
      <c r="AJ98" s="203"/>
      <c r="AK98" s="203"/>
      <c r="AT98" s="202" t="s">
        <v>492</v>
      </c>
      <c r="AU98" s="227"/>
      <c r="AV98" s="227"/>
      <c r="AW98" s="227"/>
      <c r="AX98" s="227"/>
      <c r="AY98" s="227">
        <f>Ore_to_PI!$AP$126</f>
        <v>25394.240916408646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25394.240916408646</v>
      </c>
      <c r="BN98" s="202" t="s">
        <v>492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517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517</v>
      </c>
      <c r="BO99" s="240"/>
      <c r="BP99" s="240">
        <f>Ore_to_PI!AP142</f>
        <v>7.2399197950896488</v>
      </c>
      <c r="BQ99" s="248">
        <f t="shared" si="49"/>
        <v>7.2399197950896488</v>
      </c>
    </row>
    <row r="100" spans="36:74" x14ac:dyDescent="0.2">
      <c r="AJ100" s="203"/>
      <c r="AK100" s="203"/>
      <c r="AT100" s="203" t="s">
        <v>510</v>
      </c>
      <c r="AU100" s="227"/>
      <c r="AV100" s="227"/>
      <c r="AW100" s="227"/>
      <c r="AX100" s="227"/>
      <c r="AY100" s="227"/>
      <c r="AZ100" s="227">
        <f>Ore_to_PI!$AP$206</f>
        <v>8856308.1430966556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8856308.1430966556</v>
      </c>
      <c r="BN100" s="203" t="s">
        <v>510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496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496</v>
      </c>
      <c r="BO101" s="240"/>
      <c r="BP101" s="240">
        <f>Ore_to_PI!AP227</f>
        <v>598.81969608995871</v>
      </c>
      <c r="BQ101" s="248">
        <f t="shared" si="49"/>
        <v>598.81969608995871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521</v>
      </c>
      <c r="AU102" s="227"/>
      <c r="AV102" s="227"/>
      <c r="AW102" s="227"/>
      <c r="AX102" s="227"/>
      <c r="AY102" s="227"/>
      <c r="AZ102" s="227"/>
      <c r="BA102" s="227">
        <f>Ore_to_PI!$BH$42</f>
        <v>109233.7126431732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109233.7126431732</v>
      </c>
      <c r="BN102" s="202" t="s">
        <v>521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516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25394.240916408646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25394.240916408646</v>
      </c>
      <c r="BN103" s="202" t="s">
        <v>516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513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8856308.1430966556</v>
      </c>
      <c r="BD104" s="227"/>
      <c r="BE104" s="227"/>
      <c r="BF104" s="227"/>
      <c r="BG104" s="227"/>
      <c r="BH104" s="227"/>
      <c r="BI104" s="227"/>
      <c r="BJ104" s="248">
        <f t="shared" si="47"/>
        <v>8856308.1430966556</v>
      </c>
      <c r="BN104" s="202" t="s">
        <v>513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519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88965.799815334409</v>
      </c>
      <c r="BI105" s="227"/>
      <c r="BJ105" s="248">
        <f t="shared" si="47"/>
        <v>88965.799815334409</v>
      </c>
      <c r="BN105" s="202" t="s">
        <v>519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518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518</v>
      </c>
      <c r="BO106" s="240"/>
      <c r="BP106" s="240">
        <f>Ore_to_PI!CA55</f>
        <v>21743.416787545681</v>
      </c>
      <c r="BQ106" s="248">
        <f t="shared" si="50"/>
        <v>21743.416787545681</v>
      </c>
    </row>
    <row r="107" spans="36:74" x14ac:dyDescent="0.2">
      <c r="AJ107" s="203"/>
      <c r="AK107" s="203"/>
      <c r="AT107" s="203" t="s">
        <v>504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25394.240916408646</v>
      </c>
      <c r="BE107" s="227"/>
      <c r="BF107" s="227"/>
      <c r="BG107" s="227"/>
      <c r="BH107" s="227"/>
      <c r="BI107" s="227"/>
      <c r="BJ107" s="248">
        <f t="shared" si="47"/>
        <v>25394.240916408646</v>
      </c>
      <c r="BN107" s="203" t="s">
        <v>504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537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8856308.1430966556</v>
      </c>
      <c r="BF108" s="227"/>
      <c r="BG108" s="227"/>
      <c r="BH108" s="227"/>
      <c r="BI108" s="227"/>
      <c r="BJ108" s="248">
        <f t="shared" si="47"/>
        <v>8856308.1430966556</v>
      </c>
      <c r="BN108" s="203" t="s">
        <v>537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505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505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507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507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506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506</v>
      </c>
      <c r="BO111" s="240"/>
      <c r="BP111" s="240">
        <f>Ore_to_PI!CW138</f>
        <v>92081.792209341191</v>
      </c>
      <c r="BQ111" s="248">
        <f t="shared" si="50"/>
        <v>92081.792209341191</v>
      </c>
    </row>
    <row r="112" spans="36:74" x14ac:dyDescent="0.2">
      <c r="AJ112" s="203"/>
      <c r="AK112" s="203"/>
      <c r="AT112" s="203" t="s">
        <v>602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602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502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4027024.8231933108</v>
      </c>
      <c r="BG113" s="227"/>
      <c r="BH113" s="227"/>
      <c r="BI113" s="227"/>
      <c r="BJ113" s="248">
        <f t="shared" si="47"/>
        <v>4027024.8231933108</v>
      </c>
      <c r="BN113" s="249" t="s">
        <v>502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677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677</v>
      </c>
      <c r="BO114" s="240"/>
      <c r="BP114" s="240">
        <f>Ore_to_PI!CW267</f>
        <v>955653.18009036488</v>
      </c>
      <c r="BQ114" s="248">
        <f t="shared" si="50"/>
        <v>955653.18009036488</v>
      </c>
    </row>
    <row r="115" spans="5:69" x14ac:dyDescent="0.2">
      <c r="AJ115" s="203"/>
      <c r="AK115" s="203"/>
      <c r="AT115" s="203" t="s">
        <v>501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501</v>
      </c>
      <c r="BO115" s="240"/>
      <c r="BP115" s="240">
        <f>Ore_to_PI!CW218</f>
        <v>9078.7224010297414</v>
      </c>
      <c r="BQ115" s="248">
        <f t="shared" si="50"/>
        <v>9078.7224010297414</v>
      </c>
    </row>
    <row r="116" spans="5:69" x14ac:dyDescent="0.2">
      <c r="AJ116" s="203"/>
      <c r="AK116" s="203"/>
      <c r="AT116" s="201" t="s">
        <v>503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503</v>
      </c>
      <c r="BO116" s="240"/>
      <c r="BP116" s="240">
        <f>Ore_to_PI!CW251</f>
        <v>325339.45293214149</v>
      </c>
      <c r="BQ116" s="248">
        <f t="shared" si="50"/>
        <v>325339.45293214149</v>
      </c>
    </row>
    <row r="117" spans="5:69" x14ac:dyDescent="0.2">
      <c r="AJ117" s="203"/>
      <c r="AK117" s="203"/>
      <c r="AT117" s="203" t="s">
        <v>636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4044220.3273382401</v>
      </c>
      <c r="BH117" s="227"/>
      <c r="BI117" s="239"/>
      <c r="BJ117" s="248">
        <f t="shared" si="47"/>
        <v>4044220.3273382401</v>
      </c>
      <c r="BN117" s="203" t="s">
        <v>636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639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2830954.2291367673</v>
      </c>
      <c r="BJ118" s="248">
        <f t="shared" si="47"/>
        <v>2830954.2291367673</v>
      </c>
      <c r="BN118" s="203" t="s">
        <v>637</v>
      </c>
      <c r="BO118" s="240">
        <f>Ore_to_PI!$FG$233</f>
        <v>1213266.0982014721</v>
      </c>
      <c r="BP118" s="240"/>
      <c r="BQ118" s="248">
        <f t="shared" si="50"/>
        <v>1213266.0982014721</v>
      </c>
    </row>
    <row r="119" spans="5:69" x14ac:dyDescent="0.2">
      <c r="AJ119" s="203"/>
      <c r="AK119" s="203"/>
      <c r="AT119" s="203" t="s">
        <v>525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6688312.3779436089</v>
      </c>
      <c r="BJ119" s="248">
        <f t="shared" si="47"/>
        <v>6688312.3779436089</v>
      </c>
      <c r="BN119" s="203" t="s">
        <v>525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526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526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527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527</v>
      </c>
      <c r="BO121" s="240"/>
      <c r="BP121" s="240">
        <f>Ore_to_PI!FM141</f>
        <v>424855.37186650094</v>
      </c>
      <c r="BQ121" s="248">
        <f t="shared" si="50"/>
        <v>424855.37186650094</v>
      </c>
    </row>
    <row r="122" spans="5:69" x14ac:dyDescent="0.2">
      <c r="AJ122" s="203"/>
      <c r="AK122" s="203"/>
      <c r="AT122" s="203" t="s">
        <v>538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538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05" t="s">
        <v>405</v>
      </c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5"/>
      <c r="BF123" s="405"/>
      <c r="BG123" s="405"/>
      <c r="BH123" s="405"/>
      <c r="BI123" s="405"/>
      <c r="BJ123" s="25" t="s">
        <v>446</v>
      </c>
      <c r="BO123" s="405" t="s">
        <v>407</v>
      </c>
      <c r="BP123" s="405"/>
      <c r="BQ123" s="25" t="s">
        <v>458</v>
      </c>
    </row>
    <row r="124" spans="5:69" x14ac:dyDescent="0.2">
      <c r="AJ124" s="203"/>
      <c r="AK124" s="203"/>
      <c r="AT124" s="203"/>
      <c r="AU124" s="248">
        <f>SUM(AU87:AU122)</f>
        <v>203615.93865263887</v>
      </c>
      <c r="AV124" s="248">
        <f>SUM(AV87:AV122)</f>
        <v>25677.018753453132</v>
      </c>
      <c r="AW124" s="248">
        <f>SUM(AW87:AW122)</f>
        <v>8955043.5590230841</v>
      </c>
      <c r="AX124" s="248">
        <f t="shared" ref="AX124:BI124" si="51">SUM(AX87:AX122)</f>
        <v>719025.96440252138</v>
      </c>
      <c r="AY124" s="248">
        <f t="shared" si="51"/>
        <v>28219.126564153565</v>
      </c>
      <c r="AZ124" s="248">
        <f t="shared" si="51"/>
        <v>8856590.2718676869</v>
      </c>
      <c r="BA124" s="248">
        <f t="shared" si="51"/>
        <v>121859.81146951189</v>
      </c>
      <c r="BB124" s="248">
        <f t="shared" si="51"/>
        <v>25428.919011572762</v>
      </c>
      <c r="BC124" s="248">
        <f t="shared" si="51"/>
        <v>8856358.501180809</v>
      </c>
      <c r="BD124" s="248">
        <f t="shared" si="51"/>
        <v>1981513.8726146785</v>
      </c>
      <c r="BE124" s="248">
        <f t="shared" si="51"/>
        <v>19467444.052330792</v>
      </c>
      <c r="BF124" s="248">
        <f t="shared" si="51"/>
        <v>4060216.682587008</v>
      </c>
      <c r="BG124" s="248">
        <f t="shared" si="51"/>
        <v>4044220.3273382401</v>
      </c>
      <c r="BH124" s="248">
        <f t="shared" si="51"/>
        <v>6739270.4970332785</v>
      </c>
      <c r="BI124" s="248">
        <f t="shared" si="51"/>
        <v>12219080.249060091</v>
      </c>
      <c r="BO124" s="25"/>
      <c r="BP124" s="25"/>
    </row>
    <row r="125" spans="5:69" ht="13" customHeight="1" x14ac:dyDescent="0.2">
      <c r="F125" s="406"/>
      <c r="G125" s="406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5" t="s">
        <v>445</v>
      </c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O125" s="25"/>
      <c r="BP125" s="25"/>
    </row>
    <row r="126" spans="5:69" ht="236" x14ac:dyDescent="0.2">
      <c r="E126" s="236"/>
      <c r="F126" s="204" t="s">
        <v>410</v>
      </c>
      <c r="G126" s="204" t="s">
        <v>412</v>
      </c>
      <c r="H126" s="204" t="s">
        <v>413</v>
      </c>
      <c r="I126" s="204" t="s">
        <v>432</v>
      </c>
      <c r="J126" s="204" t="s">
        <v>454</v>
      </c>
      <c r="K126" s="204" t="s">
        <v>547</v>
      </c>
      <c r="L126" s="204" t="s">
        <v>548</v>
      </c>
      <c r="M126" s="204" t="s">
        <v>491</v>
      </c>
      <c r="N126" s="204" t="s">
        <v>540</v>
      </c>
      <c r="O126" s="206" t="s">
        <v>522</v>
      </c>
      <c r="P126" s="204" t="s">
        <v>489</v>
      </c>
      <c r="Q126" s="206" t="s">
        <v>492</v>
      </c>
      <c r="R126" s="204" t="s">
        <v>517</v>
      </c>
      <c r="S126" s="207" t="s">
        <v>510</v>
      </c>
      <c r="T126" s="204" t="s">
        <v>496</v>
      </c>
      <c r="U126" s="206" t="s">
        <v>521</v>
      </c>
      <c r="V126" s="206" t="s">
        <v>516</v>
      </c>
      <c r="W126" s="206" t="s">
        <v>513</v>
      </c>
      <c r="X126" s="206" t="s">
        <v>519</v>
      </c>
      <c r="Y126" s="207" t="s">
        <v>518</v>
      </c>
      <c r="Z126" s="207" t="s">
        <v>504</v>
      </c>
      <c r="AA126" s="207" t="s">
        <v>537</v>
      </c>
      <c r="AB126" s="207" t="s">
        <v>505</v>
      </c>
      <c r="AC126" s="207" t="s">
        <v>507</v>
      </c>
      <c r="AD126" s="207" t="s">
        <v>506</v>
      </c>
      <c r="AE126" s="207" t="s">
        <v>602</v>
      </c>
      <c r="AF126" s="229" t="s">
        <v>502</v>
      </c>
      <c r="AG126" s="229" t="s">
        <v>677</v>
      </c>
      <c r="AH126" s="207" t="s">
        <v>501</v>
      </c>
      <c r="AI126" s="204" t="s">
        <v>503</v>
      </c>
      <c r="AJ126" s="207" t="s">
        <v>636</v>
      </c>
      <c r="AK126" s="207" t="s">
        <v>639</v>
      </c>
      <c r="AL126" s="207" t="s">
        <v>525</v>
      </c>
      <c r="AM126" s="207" t="s">
        <v>526</v>
      </c>
      <c r="AN126" s="207" t="s">
        <v>527</v>
      </c>
      <c r="AO126" s="207" t="s">
        <v>538</v>
      </c>
    </row>
    <row r="127" spans="5:69" x14ac:dyDescent="0.2">
      <c r="E127" s="201" t="s">
        <v>402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109233.7126431732</v>
      </c>
      <c r="P127" s="227">
        <f>Ore_to_PI!AO63</f>
        <v>2418.6577581793781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111652.37040135259</v>
      </c>
    </row>
    <row r="128" spans="5:69" x14ac:dyDescent="0.2">
      <c r="E128" s="201" t="s">
        <v>403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25394.240916408646</v>
      </c>
      <c r="R128" s="227">
        <f>Ore_to_PI!AP142</f>
        <v>7.2399197950896488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25401.480836203737</v>
      </c>
    </row>
    <row r="129" spans="5:68" x14ac:dyDescent="0.2">
      <c r="E129" s="201" t="s">
        <v>404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8856308.1430966556</v>
      </c>
      <c r="T129" s="227">
        <f>Ore_to_PI!AP227</f>
        <v>598.81969608995871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8856906.9627927449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536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109233.7126431732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109233.7126431732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515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25394.240916408646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25394.240916408646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514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8856308.1430966556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8856308.1430966556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428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88965.799815334409</v>
      </c>
      <c r="Y133" s="227">
        <f>Ore_to_PI!CA55</f>
        <v>21743.416787545681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110709.21660288009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425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25394.240916408646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25394.240916408646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439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8856308.1430966556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8856308.1430966556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426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92081.792209341191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341837.11946918681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421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4027024.8231933108</v>
      </c>
      <c r="AG137" s="227">
        <f>Ore_to_PI!CW267</f>
        <v>955653.18009036488</v>
      </c>
      <c r="AH137" s="227">
        <f>Ore_to_PI!CW218</f>
        <v>9078.7224010297414</v>
      </c>
      <c r="AI137" s="227">
        <f>Ore_to_PI!CW251</f>
        <v>325339.45293214149</v>
      </c>
      <c r="AJ137" s="227"/>
      <c r="AK137" s="227"/>
      <c r="AL137" s="227"/>
      <c r="AM137" s="227"/>
      <c r="AN137" s="227"/>
      <c r="AO137" s="227"/>
      <c r="AP137" s="248">
        <f t="shared" si="52"/>
        <v>11725384.799755016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635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4044220.3273382401</v>
      </c>
      <c r="AK138" s="227"/>
      <c r="AL138" s="227"/>
      <c r="AM138" s="227"/>
      <c r="AN138" s="227"/>
      <c r="AO138" s="227"/>
      <c r="AP138" s="248">
        <f t="shared" si="52"/>
        <v>4044220.3273382401</v>
      </c>
    </row>
    <row r="139" spans="5:68" x14ac:dyDescent="0.2">
      <c r="E139" s="201" t="s">
        <v>638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4044220.3273382401</v>
      </c>
      <c r="AL139" s="227"/>
      <c r="AM139" s="227"/>
      <c r="AN139" s="227"/>
      <c r="AO139" s="227"/>
      <c r="AP139" s="248">
        <f t="shared" si="52"/>
        <v>4044220.3273382401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6688312.3779436089</v>
      </c>
      <c r="AM140" s="227"/>
      <c r="AN140" s="227"/>
      <c r="AO140" s="227"/>
      <c r="AP140" s="248">
        <f t="shared" si="52"/>
        <v>6688312.3779436089</v>
      </c>
    </row>
    <row r="141" spans="5:68" x14ac:dyDescent="0.2">
      <c r="E141" s="201" t="s">
        <v>414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424855.37186650094</v>
      </c>
      <c r="AO141" s="227">
        <f>Ore_to_PI!FM104</f>
        <v>67875.356217847453</v>
      </c>
      <c r="AP141" s="248">
        <f t="shared" si="52"/>
        <v>4650626.026547228</v>
      </c>
    </row>
    <row r="142" spans="5:68" x14ac:dyDescent="0.2">
      <c r="E142" s="201"/>
      <c r="F142" s="405" t="s">
        <v>406</v>
      </c>
      <c r="G142" s="405"/>
      <c r="H142" s="405"/>
      <c r="I142" s="405"/>
      <c r="J142" s="405"/>
      <c r="K142" s="405"/>
      <c r="L142" s="405"/>
      <c r="M142" s="405"/>
      <c r="N142" s="405"/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25" t="s">
        <v>442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109233.7126431732</v>
      </c>
      <c r="P143" s="248">
        <f t="shared" si="53"/>
        <v>2418.6577581793781</v>
      </c>
      <c r="Q143" s="248">
        <f t="shared" si="53"/>
        <v>25394.240916408646</v>
      </c>
      <c r="R143" s="248">
        <f t="shared" si="53"/>
        <v>7.2399197950896488</v>
      </c>
      <c r="S143" s="248">
        <f t="shared" si="53"/>
        <v>8856308.1430966556</v>
      </c>
      <c r="T143" s="248">
        <f t="shared" si="53"/>
        <v>598.81969608995871</v>
      </c>
      <c r="U143" s="248">
        <f t="shared" si="53"/>
        <v>109233.7126431732</v>
      </c>
      <c r="V143" s="248">
        <f t="shared" si="53"/>
        <v>25394.240916408646</v>
      </c>
      <c r="W143" s="248">
        <f t="shared" si="53"/>
        <v>8856308.1430966556</v>
      </c>
      <c r="X143" s="248">
        <f t="shared" si="53"/>
        <v>88965.799815334409</v>
      </c>
      <c r="Y143" s="248">
        <f t="shared" si="53"/>
        <v>21743.416787545681</v>
      </c>
      <c r="Z143" s="248">
        <f t="shared" si="53"/>
        <v>25394.240916408646</v>
      </c>
      <c r="AA143" s="248">
        <f t="shared" si="53"/>
        <v>8856308.1430966556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92081.792209341191</v>
      </c>
      <c r="AE143" s="248">
        <f t="shared" si="53"/>
        <v>6408288.6211381694</v>
      </c>
      <c r="AF143" s="248">
        <f t="shared" si="53"/>
        <v>4027024.8231933108</v>
      </c>
      <c r="AG143" s="248">
        <f t="shared" si="53"/>
        <v>955653.18009036488</v>
      </c>
      <c r="AH143" s="248">
        <f t="shared" si="53"/>
        <v>9078.7224010297414</v>
      </c>
      <c r="AI143" s="248">
        <f t="shared" si="53"/>
        <v>325339.45293214149</v>
      </c>
      <c r="AJ143" s="248">
        <f t="shared" si="53"/>
        <v>4044220.3273382401</v>
      </c>
      <c r="AK143" s="248">
        <f t="shared" si="53"/>
        <v>4044220.3273382401</v>
      </c>
      <c r="AL143" s="248">
        <f t="shared" si="53"/>
        <v>6688312.3779436089</v>
      </c>
      <c r="AM143" s="248">
        <f t="shared" si="53"/>
        <v>4157895.2984628798</v>
      </c>
      <c r="AN143" s="248">
        <f t="shared" si="53"/>
        <v>424855.37186650094</v>
      </c>
      <c r="AO143" s="248">
        <f t="shared" si="53"/>
        <v>67875.356217847453</v>
      </c>
    </row>
    <row r="144" spans="5:68" x14ac:dyDescent="0.2">
      <c r="E144" s="201"/>
      <c r="F144" s="405" t="s">
        <v>443</v>
      </c>
      <c r="G144" s="405"/>
      <c r="H144" s="405"/>
      <c r="I144" s="405"/>
      <c r="J144" s="405"/>
      <c r="K144" s="405"/>
      <c r="L144" s="405"/>
      <c r="M144" s="405"/>
      <c r="N144" s="405"/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410</v>
      </c>
      <c r="G155" s="204" t="s">
        <v>412</v>
      </c>
      <c r="H155" s="204" t="s">
        <v>413</v>
      </c>
      <c r="I155" s="204" t="s">
        <v>432</v>
      </c>
      <c r="J155" s="204" t="s">
        <v>454</v>
      </c>
      <c r="K155" s="204" t="s">
        <v>547</v>
      </c>
      <c r="L155" s="204" t="s">
        <v>548</v>
      </c>
      <c r="M155" s="204" t="s">
        <v>491</v>
      </c>
      <c r="N155" s="204" t="s">
        <v>540</v>
      </c>
      <c r="O155" s="206" t="s">
        <v>522</v>
      </c>
      <c r="P155" s="204" t="s">
        <v>489</v>
      </c>
      <c r="Q155" s="206" t="s">
        <v>492</v>
      </c>
      <c r="R155" s="204" t="s">
        <v>517</v>
      </c>
      <c r="S155" s="207" t="s">
        <v>510</v>
      </c>
      <c r="T155" s="204" t="s">
        <v>496</v>
      </c>
      <c r="U155" s="206" t="s">
        <v>521</v>
      </c>
      <c r="V155" s="206" t="s">
        <v>516</v>
      </c>
      <c r="W155" s="206" t="s">
        <v>513</v>
      </c>
      <c r="X155" s="206" t="s">
        <v>519</v>
      </c>
      <c r="Y155" s="207" t="s">
        <v>518</v>
      </c>
      <c r="Z155" s="207" t="s">
        <v>504</v>
      </c>
      <c r="AA155" s="207" t="s">
        <v>537</v>
      </c>
      <c r="AB155" s="207" t="s">
        <v>505</v>
      </c>
      <c r="AC155" s="207" t="s">
        <v>507</v>
      </c>
      <c r="AD155" s="207" t="s">
        <v>506</v>
      </c>
      <c r="AE155" s="207" t="s">
        <v>602</v>
      </c>
      <c r="AF155" s="229" t="s">
        <v>502</v>
      </c>
      <c r="AG155" s="229" t="s">
        <v>677</v>
      </c>
      <c r="AH155" s="207" t="s">
        <v>501</v>
      </c>
      <c r="AI155" s="204" t="s">
        <v>503</v>
      </c>
      <c r="AJ155" s="207" t="s">
        <v>636</v>
      </c>
      <c r="AK155" s="207" t="s">
        <v>639</v>
      </c>
      <c r="AL155" s="207" t="s">
        <v>525</v>
      </c>
      <c r="AM155" s="207" t="s">
        <v>526</v>
      </c>
      <c r="AN155" s="207" t="s">
        <v>527</v>
      </c>
      <c r="AO155" s="207" t="s">
        <v>538</v>
      </c>
      <c r="AP155" s="207"/>
      <c r="AQ155" s="207"/>
    </row>
    <row r="156" spans="5:43" x14ac:dyDescent="0.2">
      <c r="E156" s="201" t="s">
        <v>409</v>
      </c>
      <c r="F156" s="240">
        <f>Ore_to_PI!V42</f>
        <v>109233.7126431732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411</v>
      </c>
      <c r="F157" s="240"/>
      <c r="G157" s="240">
        <f>Ore_to_PI!V126</f>
        <v>25394.240916408646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433</v>
      </c>
      <c r="F158" s="240"/>
      <c r="G158" s="240"/>
      <c r="H158" s="240">
        <f>Ore_to_PI!V206</f>
        <v>8851059.7091535721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457</v>
      </c>
      <c r="F159" s="240"/>
      <c r="G159" s="240"/>
      <c r="H159" s="240"/>
      <c r="I159" s="246">
        <f>Ore_to_PI!V236+Ore_to_PI!V163+Ore_to_PI!V72+Ore_to_PI!CB232+Ore_to_PI!CB140+Ore_to_PI!EM140</f>
        <v>55021.307656217788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453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550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549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539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5" t="s">
        <v>57</v>
      </c>
      <c r="G165" s="405"/>
      <c r="H165" s="405"/>
      <c r="I165" s="405"/>
      <c r="J165" s="405"/>
      <c r="K165" s="405"/>
      <c r="L165" s="405"/>
      <c r="M165" s="405"/>
      <c r="N165" s="405"/>
      <c r="O165" s="405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25"/>
      <c r="AQ165" s="25"/>
    </row>
    <row r="166" spans="5:47" x14ac:dyDescent="0.2">
      <c r="F166" s="248">
        <f t="shared" ref="F166:AO166" si="54">SUM(F156:F164)</f>
        <v>109233.7126431732</v>
      </c>
      <c r="G166" s="248">
        <f t="shared" si="54"/>
        <v>25394.240916408646</v>
      </c>
      <c r="H166" s="248">
        <f t="shared" si="54"/>
        <v>8851059.7091535721</v>
      </c>
      <c r="I166" s="248">
        <f t="shared" si="54"/>
        <v>55021.307656217788</v>
      </c>
      <c r="J166" s="248">
        <f t="shared" si="54"/>
        <v>14864300.668385513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05" t="s">
        <v>444</v>
      </c>
      <c r="G167" s="405"/>
      <c r="H167" s="405"/>
      <c r="I167" s="405"/>
      <c r="J167" s="405"/>
      <c r="K167" s="405"/>
      <c r="L167" s="405"/>
      <c r="M167" s="405"/>
      <c r="N167" s="405"/>
      <c r="O167" s="405"/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25"/>
      <c r="AQ167" s="25"/>
    </row>
    <row r="171" spans="5:47" x14ac:dyDescent="0.2">
      <c r="F171" s="405" t="s">
        <v>542</v>
      </c>
      <c r="G171" s="405"/>
      <c r="H171" s="405"/>
      <c r="I171" s="405"/>
      <c r="J171" s="405"/>
      <c r="K171" s="405"/>
      <c r="L171" s="405"/>
      <c r="M171" s="405"/>
      <c r="N171" s="405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410</v>
      </c>
      <c r="F174" s="248" cm="1">
        <f t="array" ref="F174:F209">TRANSPOSE((F166:AO166))</f>
        <v>109233.7126431732</v>
      </c>
      <c r="H174" s="248" cm="1">
        <f t="array" ref="H174:H209">TRANSPOSE(F143:AO143)</f>
        <v>0</v>
      </c>
      <c r="J174" s="248">
        <f t="shared" ref="J174:J200" si="55">BJ87</f>
        <v>109233.7126431732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412</v>
      </c>
      <c r="F175" s="248">
        <v>25394.240916408646</v>
      </c>
      <c r="H175" s="248">
        <v>0</v>
      </c>
      <c r="J175" s="248">
        <f t="shared" si="55"/>
        <v>25394.240916408646</v>
      </c>
      <c r="L175" s="248">
        <v>0</v>
      </c>
      <c r="N175" s="295">
        <f>F175+H175-J175-L175</f>
        <v>0</v>
      </c>
    </row>
    <row r="176" spans="5:47" x14ac:dyDescent="0.2">
      <c r="E176" s="201" t="s">
        <v>413</v>
      </c>
      <c r="F176" s="248">
        <v>8851059.7091535721</v>
      </c>
      <c r="H176" s="248">
        <v>0</v>
      </c>
      <c r="J176" s="248">
        <f t="shared" si="55"/>
        <v>8851059.7091535721</v>
      </c>
      <c r="L176" s="248">
        <v>0</v>
      </c>
      <c r="N176" s="295">
        <f>F176+H176-J176-L176</f>
        <v>0</v>
      </c>
    </row>
    <row r="177" spans="5:14" x14ac:dyDescent="0.2">
      <c r="E177" s="201" t="s">
        <v>432</v>
      </c>
      <c r="F177" s="248">
        <v>55021.307656217788</v>
      </c>
      <c r="H177" s="248">
        <v>0</v>
      </c>
      <c r="J177" s="248">
        <f t="shared" si="55"/>
        <v>55021.307656217788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454</v>
      </c>
      <c r="F178" s="248">
        <v>14864300.668385513</v>
      </c>
      <c r="H178" s="248">
        <v>0</v>
      </c>
      <c r="J178" s="248">
        <f t="shared" si="55"/>
        <v>14864300.668385513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547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548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491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540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522</v>
      </c>
      <c r="F183" s="248">
        <v>0</v>
      </c>
      <c r="H183" s="248">
        <v>109233.7126431732</v>
      </c>
      <c r="J183" s="248">
        <f t="shared" si="55"/>
        <v>109233.7126431732</v>
      </c>
      <c r="L183" s="248">
        <v>0</v>
      </c>
      <c r="N183" s="295">
        <f t="shared" si="56"/>
        <v>0</v>
      </c>
    </row>
    <row r="184" spans="5:14" x14ac:dyDescent="0.2">
      <c r="E184" s="201" t="s">
        <v>489</v>
      </c>
      <c r="F184" s="248">
        <v>0</v>
      </c>
      <c r="H184" s="248">
        <v>2418.6577581793781</v>
      </c>
      <c r="J184" s="248">
        <f t="shared" si="55"/>
        <v>0</v>
      </c>
      <c r="L184" s="248">
        <v>2418.6577581793781</v>
      </c>
      <c r="N184" s="295">
        <f t="shared" si="56"/>
        <v>0</v>
      </c>
    </row>
    <row r="185" spans="5:14" ht="16" x14ac:dyDescent="0.2">
      <c r="E185" s="202" t="s">
        <v>492</v>
      </c>
      <c r="F185" s="248">
        <v>0</v>
      </c>
      <c r="H185" s="248">
        <v>25394.240916408646</v>
      </c>
      <c r="J185" s="248">
        <f t="shared" si="55"/>
        <v>25394.240916408646</v>
      </c>
      <c r="L185" s="248">
        <v>0</v>
      </c>
      <c r="N185" s="295">
        <f t="shared" si="56"/>
        <v>0</v>
      </c>
    </row>
    <row r="186" spans="5:14" x14ac:dyDescent="0.2">
      <c r="E186" s="201" t="s">
        <v>517</v>
      </c>
      <c r="F186" s="248">
        <v>0</v>
      </c>
      <c r="H186" s="248">
        <v>7.2399197950896488</v>
      </c>
      <c r="J186" s="248">
        <f t="shared" si="55"/>
        <v>0</v>
      </c>
      <c r="L186" s="248">
        <v>7.2399197950896488</v>
      </c>
      <c r="N186" s="295">
        <f t="shared" si="56"/>
        <v>0</v>
      </c>
    </row>
    <row r="187" spans="5:14" x14ac:dyDescent="0.2">
      <c r="E187" s="203" t="s">
        <v>510</v>
      </c>
      <c r="F187" s="248">
        <v>0</v>
      </c>
      <c r="G187" s="255" t="s">
        <v>448</v>
      </c>
      <c r="H187" s="248">
        <v>8856308.1430966556</v>
      </c>
      <c r="I187" s="169" t="s">
        <v>450</v>
      </c>
      <c r="J187" s="248">
        <f t="shared" si="55"/>
        <v>8856308.1430966556</v>
      </c>
      <c r="K187" s="169" t="s">
        <v>450</v>
      </c>
      <c r="L187" s="248">
        <v>0</v>
      </c>
      <c r="M187" s="255" t="s">
        <v>451</v>
      </c>
      <c r="N187" s="295">
        <f t="shared" si="56"/>
        <v>0</v>
      </c>
    </row>
    <row r="188" spans="5:14" x14ac:dyDescent="0.2">
      <c r="E188" s="201" t="s">
        <v>496</v>
      </c>
      <c r="F188" s="248">
        <v>0</v>
      </c>
      <c r="H188" s="248">
        <v>598.81969608995871</v>
      </c>
      <c r="J188" s="248">
        <f t="shared" si="55"/>
        <v>0</v>
      </c>
      <c r="L188" s="248">
        <v>598.81969608995871</v>
      </c>
      <c r="N188" s="295">
        <f t="shared" si="56"/>
        <v>0</v>
      </c>
    </row>
    <row r="189" spans="5:14" ht="16" x14ac:dyDescent="0.2">
      <c r="E189" s="202" t="s">
        <v>521</v>
      </c>
      <c r="F189" s="248">
        <v>0</v>
      </c>
      <c r="H189" s="248">
        <v>109233.7126431732</v>
      </c>
      <c r="J189" s="248">
        <f t="shared" si="55"/>
        <v>109233.7126431732</v>
      </c>
      <c r="L189" s="248">
        <v>0</v>
      </c>
      <c r="N189" s="295">
        <f t="shared" si="56"/>
        <v>0</v>
      </c>
    </row>
    <row r="190" spans="5:14" ht="16" x14ac:dyDescent="0.2">
      <c r="E190" s="202" t="s">
        <v>516</v>
      </c>
      <c r="F190" s="248">
        <v>0</v>
      </c>
      <c r="H190" s="248">
        <v>25394.240916408646</v>
      </c>
      <c r="J190" s="248">
        <f t="shared" si="55"/>
        <v>25394.240916408646</v>
      </c>
      <c r="L190" s="248">
        <v>0</v>
      </c>
      <c r="N190" s="295">
        <f t="shared" si="56"/>
        <v>0</v>
      </c>
    </row>
    <row r="191" spans="5:14" ht="16" x14ac:dyDescent="0.2">
      <c r="E191" s="202" t="s">
        <v>513</v>
      </c>
      <c r="F191" s="248">
        <v>0</v>
      </c>
      <c r="H191" s="248">
        <v>8856308.1430966556</v>
      </c>
      <c r="J191" s="248">
        <f t="shared" si="55"/>
        <v>8856308.1430966556</v>
      </c>
      <c r="L191" s="248">
        <v>0</v>
      </c>
      <c r="N191" s="295">
        <f t="shared" si="56"/>
        <v>0</v>
      </c>
    </row>
    <row r="192" spans="5:14" ht="16" x14ac:dyDescent="0.2">
      <c r="E192" s="202" t="s">
        <v>519</v>
      </c>
      <c r="F192" s="248">
        <v>0</v>
      </c>
      <c r="H192" s="248">
        <v>88965.799815334409</v>
      </c>
      <c r="J192" s="248">
        <f t="shared" si="55"/>
        <v>88965.799815334409</v>
      </c>
      <c r="L192" s="248">
        <v>0</v>
      </c>
      <c r="N192" s="295">
        <f t="shared" si="56"/>
        <v>0</v>
      </c>
    </row>
    <row r="193" spans="5:22" x14ac:dyDescent="0.2">
      <c r="E193" s="203" t="s">
        <v>518</v>
      </c>
      <c r="F193" s="248">
        <v>0</v>
      </c>
      <c r="H193" s="248">
        <v>21743.416787545681</v>
      </c>
      <c r="J193" s="248">
        <f t="shared" si="55"/>
        <v>0</v>
      </c>
      <c r="L193" s="248">
        <v>21743.416787545681</v>
      </c>
      <c r="N193" s="295">
        <f t="shared" si="56"/>
        <v>0</v>
      </c>
    </row>
    <row r="194" spans="5:22" x14ac:dyDescent="0.2">
      <c r="E194" s="203" t="s">
        <v>504</v>
      </c>
      <c r="F194" s="248">
        <v>0</v>
      </c>
      <c r="H194" s="248">
        <v>25394.240916408646</v>
      </c>
      <c r="J194" s="248">
        <f t="shared" si="55"/>
        <v>25394.240916408646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537</v>
      </c>
      <c r="F195" s="248">
        <v>0</v>
      </c>
      <c r="H195" s="248">
        <v>8856308.1430966556</v>
      </c>
      <c r="J195" s="248">
        <f t="shared" si="55"/>
        <v>8856308.1430966556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505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507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506</v>
      </c>
      <c r="F198" s="248">
        <v>0</v>
      </c>
      <c r="H198" s="248">
        <v>92081.792209341191</v>
      </c>
      <c r="J198" s="248">
        <f t="shared" si="55"/>
        <v>0</v>
      </c>
      <c r="L198" s="248">
        <v>92081.792209341191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602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502</v>
      </c>
      <c r="F200" s="248">
        <v>0</v>
      </c>
      <c r="H200" s="248">
        <v>4027024.8231933108</v>
      </c>
      <c r="J200" s="248">
        <f t="shared" si="55"/>
        <v>4027024.8231933108</v>
      </c>
      <c r="L200" s="248">
        <v>0</v>
      </c>
      <c r="N200" s="295">
        <f t="shared" si="57"/>
        <v>0</v>
      </c>
    </row>
    <row r="201" spans="5:22" ht="16" x14ac:dyDescent="0.2">
      <c r="E201" s="249" t="s">
        <v>677</v>
      </c>
      <c r="F201" s="248">
        <v>0</v>
      </c>
      <c r="H201" s="248">
        <v>955653.18009036488</v>
      </c>
      <c r="J201" s="248">
        <f t="shared" ref="J201:J209" si="58">BJ114</f>
        <v>0</v>
      </c>
      <c r="L201" s="248">
        <v>955653.18009036488</v>
      </c>
      <c r="N201" s="295">
        <f t="shared" si="57"/>
        <v>0</v>
      </c>
    </row>
    <row r="202" spans="5:22" x14ac:dyDescent="0.2">
      <c r="E202" s="203" t="s">
        <v>501</v>
      </c>
      <c r="F202" s="248">
        <v>0</v>
      </c>
      <c r="H202" s="248">
        <v>9078.7224010297414</v>
      </c>
      <c r="J202" s="248">
        <f t="shared" si="58"/>
        <v>0</v>
      </c>
      <c r="L202" s="248">
        <v>9078.7224010297414</v>
      </c>
      <c r="N202" s="295">
        <f t="shared" si="57"/>
        <v>0</v>
      </c>
      <c r="O202" s="25"/>
    </row>
    <row r="203" spans="5:22" x14ac:dyDescent="0.2">
      <c r="E203" s="201" t="s">
        <v>503</v>
      </c>
      <c r="F203" s="248">
        <v>0</v>
      </c>
      <c r="H203" s="248">
        <v>325339.45293214149</v>
      </c>
      <c r="J203" s="248">
        <f t="shared" si="58"/>
        <v>0</v>
      </c>
      <c r="L203" s="248">
        <v>325339.45293214149</v>
      </c>
      <c r="N203" s="295">
        <f t="shared" si="57"/>
        <v>0</v>
      </c>
    </row>
    <row r="204" spans="5:22" x14ac:dyDescent="0.2">
      <c r="E204" s="203" t="s">
        <v>636</v>
      </c>
      <c r="F204" s="248">
        <v>0</v>
      </c>
      <c r="H204" s="248">
        <v>4044220.3273382401</v>
      </c>
      <c r="J204" s="248">
        <f t="shared" si="58"/>
        <v>4044220.3273382401</v>
      </c>
      <c r="L204" s="248">
        <v>0</v>
      </c>
      <c r="N204" s="295">
        <f t="shared" si="57"/>
        <v>0</v>
      </c>
    </row>
    <row r="205" spans="5:22" x14ac:dyDescent="0.2">
      <c r="E205" s="203" t="s">
        <v>639</v>
      </c>
      <c r="F205" s="248">
        <v>0</v>
      </c>
      <c r="H205" s="248">
        <v>4044220.3273382401</v>
      </c>
      <c r="J205" s="248">
        <f t="shared" si="58"/>
        <v>2830954.2291367673</v>
      </c>
      <c r="L205" s="248">
        <v>1213266.0982014721</v>
      </c>
      <c r="N205" s="295">
        <f t="shared" si="57"/>
        <v>0</v>
      </c>
    </row>
    <row r="206" spans="5:22" x14ac:dyDescent="0.2">
      <c r="E206" s="203" t="s">
        <v>525</v>
      </c>
      <c r="F206" s="248">
        <v>0</v>
      </c>
      <c r="H206" s="248">
        <v>6688312.3779436089</v>
      </c>
      <c r="J206" s="248">
        <f t="shared" si="58"/>
        <v>6688312.3779436089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526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527</v>
      </c>
      <c r="F208" s="248">
        <v>0</v>
      </c>
      <c r="H208" s="248">
        <v>424855.37186650094</v>
      </c>
      <c r="J208" s="248">
        <f t="shared" si="58"/>
        <v>0</v>
      </c>
      <c r="L208" s="248">
        <v>424855.37186650094</v>
      </c>
      <c r="N208" s="295">
        <f t="shared" si="57"/>
        <v>0</v>
      </c>
    </row>
    <row r="209" spans="5:18" x14ac:dyDescent="0.2">
      <c r="E209" s="203" t="s">
        <v>538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447</v>
      </c>
      <c r="H210" s="3" t="s">
        <v>449</v>
      </c>
      <c r="J210" s="25" t="s">
        <v>446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5" t="s">
        <v>608</v>
      </c>
      <c r="G213" s="405"/>
      <c r="H213" s="405"/>
      <c r="I213" s="405"/>
      <c r="J213" s="405"/>
      <c r="O213" s="241"/>
      <c r="P213" s="241"/>
    </row>
    <row r="216" spans="5:18" x14ac:dyDescent="0.2">
      <c r="E216" s="201" t="s">
        <v>402</v>
      </c>
      <c r="F216" s="248" cm="1">
        <f t="array" ref="F216:F230">TRANSPOSE((AU124:BI124))</f>
        <v>203615.93865263887</v>
      </c>
      <c r="H216" s="248">
        <f t="shared" ref="H216:H230" si="59">AP127</f>
        <v>111652.37040135259</v>
      </c>
      <c r="J216" s="248">
        <f>F216-H216</f>
        <v>91963.568251286284</v>
      </c>
    </row>
    <row r="217" spans="5:18" x14ac:dyDescent="0.2">
      <c r="E217" s="201" t="s">
        <v>403</v>
      </c>
      <c r="F217" s="248">
        <v>25677.018753453132</v>
      </c>
      <c r="H217" s="248">
        <f t="shared" si="59"/>
        <v>25401.480836203737</v>
      </c>
      <c r="J217" s="248">
        <f t="shared" ref="J217:J230" si="60">F217-H217</f>
        <v>275.53791724939583</v>
      </c>
      <c r="Q217" s="241"/>
      <c r="R217" s="241"/>
    </row>
    <row r="218" spans="5:18" x14ac:dyDescent="0.2">
      <c r="E218" s="201" t="s">
        <v>404</v>
      </c>
      <c r="F218" s="248">
        <v>8955043.5590230841</v>
      </c>
      <c r="H218" s="248">
        <f t="shared" si="59"/>
        <v>8856906.9627927449</v>
      </c>
      <c r="J218" s="248">
        <f t="shared" si="60"/>
        <v>98136.596230339259</v>
      </c>
    </row>
    <row r="219" spans="5:18" x14ac:dyDescent="0.2">
      <c r="E219" s="201" t="s">
        <v>536</v>
      </c>
      <c r="F219" s="248">
        <v>719025.96440252138</v>
      </c>
      <c r="G219" s="250"/>
      <c r="H219" s="248">
        <f t="shared" si="59"/>
        <v>109233.7126431732</v>
      </c>
      <c r="I219" s="250"/>
      <c r="J219" s="248">
        <f t="shared" si="60"/>
        <v>609792.2517593482</v>
      </c>
    </row>
    <row r="220" spans="5:18" x14ac:dyDescent="0.2">
      <c r="E220" s="201" t="s">
        <v>515</v>
      </c>
      <c r="F220" s="248">
        <v>28219.126564153565</v>
      </c>
      <c r="H220" s="248">
        <f t="shared" si="59"/>
        <v>25394.240916408646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514</v>
      </c>
      <c r="F221" s="248">
        <v>8856590.2718676869</v>
      </c>
      <c r="H221" s="248">
        <f t="shared" si="59"/>
        <v>8856308.1430966556</v>
      </c>
      <c r="J221" s="248">
        <f t="shared" si="60"/>
        <v>282.12877103127539</v>
      </c>
    </row>
    <row r="222" spans="5:18" x14ac:dyDescent="0.2">
      <c r="E222" s="201" t="s">
        <v>428</v>
      </c>
      <c r="F222" s="248">
        <v>121859.81146951189</v>
      </c>
      <c r="H222" s="248">
        <f t="shared" si="59"/>
        <v>110709.21660288009</v>
      </c>
      <c r="J222" s="248">
        <f t="shared" si="60"/>
        <v>11150.5948666318</v>
      </c>
    </row>
    <row r="223" spans="5:18" x14ac:dyDescent="0.2">
      <c r="E223" s="201" t="s">
        <v>425</v>
      </c>
      <c r="F223" s="248">
        <v>25428.919011572762</v>
      </c>
      <c r="G223" s="169" t="s">
        <v>455</v>
      </c>
      <c r="H223" s="248">
        <f t="shared" si="59"/>
        <v>25394.240916408646</v>
      </c>
      <c r="I223" s="169" t="s">
        <v>451</v>
      </c>
      <c r="J223" s="248">
        <f t="shared" si="60"/>
        <v>34.678095164115803</v>
      </c>
    </row>
    <row r="224" spans="5:18" x14ac:dyDescent="0.2">
      <c r="E224" s="201" t="s">
        <v>439</v>
      </c>
      <c r="F224" s="248">
        <v>8856358.501180809</v>
      </c>
      <c r="H224" s="248">
        <f t="shared" si="59"/>
        <v>8856308.1430966556</v>
      </c>
      <c r="J224" s="248">
        <f t="shared" si="60"/>
        <v>50.35808415338397</v>
      </c>
    </row>
    <row r="225" spans="5:14" x14ac:dyDescent="0.2">
      <c r="E225" s="201" t="s">
        <v>426</v>
      </c>
      <c r="F225" s="248">
        <v>1981513.8726146785</v>
      </c>
      <c r="H225" s="248">
        <f t="shared" si="59"/>
        <v>341837.11946918681</v>
      </c>
      <c r="J225" s="248">
        <f t="shared" si="60"/>
        <v>1639676.7531454917</v>
      </c>
    </row>
    <row r="226" spans="5:14" x14ac:dyDescent="0.2">
      <c r="E226" s="201" t="s">
        <v>421</v>
      </c>
      <c r="F226" s="248">
        <v>19467444.052330792</v>
      </c>
      <c r="H226" s="248">
        <f t="shared" si="59"/>
        <v>11725384.799755016</v>
      </c>
      <c r="J226" s="248">
        <f t="shared" si="60"/>
        <v>7742059.2525757756</v>
      </c>
    </row>
    <row r="227" spans="5:14" x14ac:dyDescent="0.2">
      <c r="E227" s="201" t="s">
        <v>635</v>
      </c>
      <c r="F227" s="248">
        <v>4060216.682587008</v>
      </c>
      <c r="H227" s="248">
        <f t="shared" si="59"/>
        <v>4044220.3273382401</v>
      </c>
      <c r="J227" s="248">
        <f t="shared" si="60"/>
        <v>15996.355248767883</v>
      </c>
    </row>
    <row r="228" spans="5:14" x14ac:dyDescent="0.2">
      <c r="E228" s="201" t="s">
        <v>638</v>
      </c>
      <c r="F228" s="248">
        <v>4044220.3273382401</v>
      </c>
      <c r="H228" s="248">
        <f t="shared" si="59"/>
        <v>4044220.3273382401</v>
      </c>
      <c r="J228" s="248">
        <f t="shared" si="60"/>
        <v>0</v>
      </c>
    </row>
    <row r="229" spans="5:14" x14ac:dyDescent="0.2">
      <c r="E229" s="201" t="s">
        <v>81</v>
      </c>
      <c r="F229" s="248">
        <v>6739270.4970332785</v>
      </c>
      <c r="H229" s="248">
        <f t="shared" si="59"/>
        <v>6688312.3779436089</v>
      </c>
      <c r="J229" s="248">
        <f t="shared" si="60"/>
        <v>50958.119089669548</v>
      </c>
    </row>
    <row r="230" spans="5:14" x14ac:dyDescent="0.2">
      <c r="E230" s="201" t="s">
        <v>414</v>
      </c>
      <c r="F230" s="248">
        <v>12219080.249060091</v>
      </c>
      <c r="G230" s="169"/>
      <c r="H230" s="248">
        <f t="shared" si="59"/>
        <v>4650626.026547228</v>
      </c>
      <c r="J230" s="248">
        <f t="shared" si="60"/>
        <v>7568454.2225128626</v>
      </c>
    </row>
    <row r="231" spans="5:14" x14ac:dyDescent="0.2">
      <c r="E231" s="203"/>
      <c r="F231" s="169" t="s">
        <v>445</v>
      </c>
      <c r="G231" s="169"/>
      <c r="H231" s="169" t="s">
        <v>442</v>
      </c>
      <c r="I231" s="169"/>
      <c r="J231" s="169" t="s">
        <v>456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M4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559</v>
      </c>
      <c r="AQ1" s="256"/>
      <c r="AR1" s="204" t="s">
        <v>402</v>
      </c>
      <c r="AS1" s="204" t="s">
        <v>403</v>
      </c>
      <c r="AT1" s="204" t="s">
        <v>404</v>
      </c>
      <c r="AU1" s="204" t="s">
        <v>536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437</v>
      </c>
      <c r="BD1" s="204" t="s">
        <v>638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536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638</v>
      </c>
      <c r="BX1" s="204" t="s">
        <v>81</v>
      </c>
      <c r="BY1" s="204" t="s">
        <v>414</v>
      </c>
    </row>
    <row r="2" spans="2:77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547</v>
      </c>
      <c r="C7" s="280">
        <v>1</v>
      </c>
      <c r="AQ7" s="201" t="s">
        <v>547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547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548</v>
      </c>
      <c r="C8" s="280">
        <v>1</v>
      </c>
      <c r="AQ8" s="201" t="s">
        <v>548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548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540</v>
      </c>
      <c r="C10" s="280">
        <v>1</v>
      </c>
      <c r="AQ10" s="201" t="s">
        <v>540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540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537</v>
      </c>
      <c r="C23" s="280">
        <v>1</v>
      </c>
      <c r="AQ23" s="203" t="s">
        <v>537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537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602</v>
      </c>
      <c r="C27" s="280">
        <v>1</v>
      </c>
      <c r="AQ27" s="203" t="s">
        <v>602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602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677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677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499</v>
      </c>
      <c r="C32" s="280">
        <v>1</v>
      </c>
      <c r="AQ32" s="203" t="s">
        <v>636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636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525</v>
      </c>
      <c r="C33" s="280">
        <v>1</v>
      </c>
      <c r="AQ33" s="203" t="s">
        <v>639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639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526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527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538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554</v>
      </c>
      <c r="AQ37" s="203" t="s">
        <v>538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538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5" t="s">
        <v>551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552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536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635</v>
      </c>
      <c r="BD41" s="204" t="s">
        <v>638</v>
      </c>
      <c r="BE41" s="204" t="s">
        <v>81</v>
      </c>
      <c r="BF41" s="204" t="s">
        <v>414</v>
      </c>
    </row>
    <row r="42" spans="2:77" x14ac:dyDescent="0.2">
      <c r="AQ42" s="201" t="s">
        <v>410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412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432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644.2421909044931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37.630021206323519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547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548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540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537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602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677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501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503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636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639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525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526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527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538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05" t="s">
        <v>553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G82" s="201"/>
      <c r="AH82" s="201"/>
      <c r="AQ82" s="256"/>
      <c r="AR82" s="204" t="s">
        <v>402</v>
      </c>
      <c r="AS82" s="204" t="s">
        <v>403</v>
      </c>
      <c r="AT82" s="204" t="s">
        <v>404</v>
      </c>
      <c r="AU82" s="204" t="s">
        <v>536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635</v>
      </c>
      <c r="BD82" s="204" t="s">
        <v>638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644.2421909044931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7028.7429099762066</v>
      </c>
      <c r="BK86" s="201" t="s">
        <v>432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37.630021206323519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286.68478984220775</v>
      </c>
      <c r="BK87" s="201" t="s">
        <v>454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547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547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548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548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491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540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540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522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522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489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492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517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510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496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521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516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513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519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518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504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537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537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505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507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506</v>
      </c>
      <c r="BL107" s="240"/>
      <c r="BM107" s="240">
        <f>Ore_to_PI!CV138</f>
        <v>774.43493010294708</v>
      </c>
      <c r="BN107" s="248">
        <f t="shared" si="82"/>
        <v>774.43493010294708</v>
      </c>
    </row>
    <row r="108" spans="33:71" x14ac:dyDescent="0.2">
      <c r="AG108" s="203"/>
      <c r="AH108" s="203"/>
      <c r="AQ108" s="203" t="s">
        <v>602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602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502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677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677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501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503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636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636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639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639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525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526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527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538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538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890.42781548807159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G121" s="25"/>
      <c r="BL121" s="25"/>
      <c r="BM121" s="25"/>
      <c r="BN121" s="25"/>
    </row>
    <row r="122" spans="2:66" ht="13" customHeight="1" x14ac:dyDescent="0.2">
      <c r="C122" s="406"/>
      <c r="D122" s="406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410</v>
      </c>
      <c r="D123" s="204" t="s">
        <v>412</v>
      </c>
      <c r="E123" s="204" t="s">
        <v>413</v>
      </c>
      <c r="F123" s="204" t="s">
        <v>432</v>
      </c>
      <c r="G123" s="204" t="s">
        <v>454</v>
      </c>
      <c r="H123" s="204" t="s">
        <v>487</v>
      </c>
      <c r="I123" s="204" t="s">
        <v>547</v>
      </c>
      <c r="J123" s="204" t="s">
        <v>548</v>
      </c>
      <c r="K123" s="204" t="s">
        <v>540</v>
      </c>
      <c r="L123" s="206" t="s">
        <v>522</v>
      </c>
      <c r="M123" s="204" t="s">
        <v>489</v>
      </c>
      <c r="N123" s="206" t="s">
        <v>492</v>
      </c>
      <c r="O123" s="204" t="s">
        <v>517</v>
      </c>
      <c r="P123" s="207" t="s">
        <v>510</v>
      </c>
      <c r="Q123" s="204" t="s">
        <v>496</v>
      </c>
      <c r="R123" s="206" t="s">
        <v>521</v>
      </c>
      <c r="S123" s="206" t="s">
        <v>516</v>
      </c>
      <c r="T123" s="206" t="s">
        <v>513</v>
      </c>
      <c r="U123" s="206" t="s">
        <v>519</v>
      </c>
      <c r="V123" s="207" t="s">
        <v>518</v>
      </c>
      <c r="W123" s="207" t="s">
        <v>504</v>
      </c>
      <c r="X123" s="207" t="s">
        <v>537</v>
      </c>
      <c r="Y123" s="207" t="s">
        <v>505</v>
      </c>
      <c r="Z123" s="207" t="s">
        <v>507</v>
      </c>
      <c r="AA123" s="207" t="s">
        <v>506</v>
      </c>
      <c r="AB123" s="207" t="s">
        <v>602</v>
      </c>
      <c r="AC123" s="229" t="s">
        <v>502</v>
      </c>
      <c r="AD123" s="229" t="s">
        <v>677</v>
      </c>
      <c r="AE123" s="207" t="s">
        <v>501</v>
      </c>
      <c r="AF123" s="204" t="s">
        <v>503</v>
      </c>
      <c r="AG123" s="207" t="s">
        <v>636</v>
      </c>
      <c r="AH123" s="207" t="s">
        <v>639</v>
      </c>
      <c r="AI123" s="207" t="s">
        <v>525</v>
      </c>
      <c r="AJ123" s="207" t="s">
        <v>526</v>
      </c>
      <c r="AK123" s="207" t="s">
        <v>527</v>
      </c>
      <c r="AL123" s="207" t="s">
        <v>538</v>
      </c>
      <c r="AQ123" s="203"/>
      <c r="BL123" s="25"/>
      <c r="BM123" s="25"/>
    </row>
    <row r="124" spans="2:66" x14ac:dyDescent="0.2">
      <c r="B124" s="201" t="s">
        <v>402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403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536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515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514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428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425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439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426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774.43493010294708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421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635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638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414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05" t="s">
        <v>406</v>
      </c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25" t="s">
        <v>442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774.43493010294708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05" t="s">
        <v>443</v>
      </c>
      <c r="D141" s="405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410</v>
      </c>
      <c r="D152" s="204" t="s">
        <v>412</v>
      </c>
      <c r="E152" s="204" t="s">
        <v>413</v>
      </c>
      <c r="F152" s="204" t="s">
        <v>432</v>
      </c>
      <c r="G152" s="204" t="s">
        <v>454</v>
      </c>
      <c r="H152" s="204" t="s">
        <v>487</v>
      </c>
      <c r="I152" s="204" t="s">
        <v>547</v>
      </c>
      <c r="J152" s="204" t="s">
        <v>548</v>
      </c>
      <c r="K152" s="204" t="s">
        <v>540</v>
      </c>
      <c r="L152" s="206" t="s">
        <v>522</v>
      </c>
      <c r="M152" s="204" t="s">
        <v>489</v>
      </c>
      <c r="N152" s="206" t="s">
        <v>492</v>
      </c>
      <c r="O152" s="204" t="s">
        <v>517</v>
      </c>
      <c r="P152" s="207" t="s">
        <v>510</v>
      </c>
      <c r="Q152" s="204" t="s">
        <v>496</v>
      </c>
      <c r="R152" s="206" t="s">
        <v>521</v>
      </c>
      <c r="S152" s="206" t="s">
        <v>516</v>
      </c>
      <c r="T152" s="206" t="s">
        <v>513</v>
      </c>
      <c r="U152" s="206" t="s">
        <v>519</v>
      </c>
      <c r="V152" s="207" t="s">
        <v>518</v>
      </c>
      <c r="W152" s="207" t="s">
        <v>504</v>
      </c>
      <c r="X152" s="207" t="s">
        <v>537</v>
      </c>
      <c r="Y152" s="207" t="s">
        <v>505</v>
      </c>
      <c r="Z152" s="207" t="s">
        <v>507</v>
      </c>
      <c r="AA152" s="207" t="s">
        <v>506</v>
      </c>
      <c r="AB152" s="207" t="s">
        <v>602</v>
      </c>
      <c r="AC152" s="229" t="s">
        <v>502</v>
      </c>
      <c r="AD152" s="229" t="s">
        <v>677</v>
      </c>
      <c r="AE152" s="207" t="s">
        <v>501</v>
      </c>
      <c r="AF152" s="204" t="s">
        <v>503</v>
      </c>
      <c r="AG152" s="207" t="s">
        <v>636</v>
      </c>
      <c r="AH152" s="207" t="s">
        <v>639</v>
      </c>
      <c r="AI152" s="207" t="s">
        <v>525</v>
      </c>
      <c r="AJ152" s="207" t="s">
        <v>526</v>
      </c>
      <c r="AK152" s="207" t="s">
        <v>527</v>
      </c>
      <c r="AL152" s="207" t="s">
        <v>538</v>
      </c>
      <c r="AM152" s="207"/>
      <c r="AN152" s="207"/>
    </row>
    <row r="153" spans="2:44" x14ac:dyDescent="0.2">
      <c r="B153" s="201" t="s">
        <v>409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411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433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457</v>
      </c>
      <c r="C156" s="240"/>
      <c r="D156" s="240"/>
      <c r="E156" s="240"/>
      <c r="F156" s="246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453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550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549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539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5" t="s">
        <v>57</v>
      </c>
      <c r="D162" s="405"/>
      <c r="E162" s="405"/>
      <c r="F162" s="405"/>
      <c r="G162" s="405"/>
      <c r="H162" s="405"/>
      <c r="I162" s="405"/>
      <c r="J162" s="405"/>
      <c r="K162" s="405"/>
      <c r="L162" s="405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7028.7429099762057</v>
      </c>
      <c r="G163" s="248">
        <f t="shared" si="86"/>
        <v>286.68478984220775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05" t="s">
        <v>444</v>
      </c>
      <c r="D164" s="405"/>
      <c r="E164" s="405"/>
      <c r="F164" s="405"/>
      <c r="G164" s="405"/>
      <c r="H164" s="405"/>
      <c r="I164" s="405"/>
      <c r="J164" s="405"/>
      <c r="K164" s="405"/>
      <c r="L164" s="405"/>
      <c r="M164" s="405"/>
      <c r="N164" s="405"/>
      <c r="O164" s="405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25"/>
      <c r="AN164" s="25"/>
    </row>
    <row r="168" spans="2:40" x14ac:dyDescent="0.2">
      <c r="C168" s="405" t="s">
        <v>441</v>
      </c>
      <c r="D168" s="405"/>
      <c r="E168" s="405"/>
      <c r="F168" s="405"/>
      <c r="G168" s="405"/>
      <c r="H168" s="405"/>
      <c r="I168" s="405"/>
      <c r="J168" s="405"/>
      <c r="K168" s="405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410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412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413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432</v>
      </c>
      <c r="C174" s="248">
        <v>7028.7429099762057</v>
      </c>
      <c r="E174" s="248">
        <v>0</v>
      </c>
      <c r="G174" s="248">
        <f t="shared" si="87"/>
        <v>7028.7429099762066</v>
      </c>
      <c r="I174" s="248">
        <v>0</v>
      </c>
      <c r="K174" s="295">
        <f>ROUND(C174+E174-G174-I174, 10)</f>
        <v>0</v>
      </c>
    </row>
    <row r="175" spans="2:40" x14ac:dyDescent="0.2">
      <c r="B175" s="201" t="s">
        <v>454</v>
      </c>
      <c r="C175" s="248">
        <v>286.68478984220775</v>
      </c>
      <c r="E175" s="248">
        <v>0</v>
      </c>
      <c r="G175" s="248">
        <f t="shared" si="87"/>
        <v>286.68478984220775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487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488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491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540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522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489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492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517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510</v>
      </c>
      <c r="C184" s="248">
        <v>0</v>
      </c>
      <c r="D184" s="255" t="s">
        <v>448</v>
      </c>
      <c r="E184" s="248">
        <v>298.6148747230165</v>
      </c>
      <c r="F184" s="169" t="s">
        <v>450</v>
      </c>
      <c r="G184" s="248">
        <f t="shared" si="87"/>
        <v>298.6148747230165</v>
      </c>
      <c r="H184" s="169" t="s">
        <v>450</v>
      </c>
      <c r="I184" s="248">
        <v>0</v>
      </c>
      <c r="J184" s="255" t="s">
        <v>451</v>
      </c>
      <c r="K184" s="295">
        <f t="shared" si="88"/>
        <v>0</v>
      </c>
    </row>
    <row r="185" spans="2:18" x14ac:dyDescent="0.2">
      <c r="B185" s="201" t="s">
        <v>496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521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516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513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519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518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504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537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505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507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506</v>
      </c>
      <c r="C195" s="248">
        <v>0</v>
      </c>
      <c r="E195" s="248">
        <v>774.43493010294708</v>
      </c>
      <c r="G195" s="248">
        <f t="shared" si="87"/>
        <v>0</v>
      </c>
      <c r="I195" s="248">
        <v>774.43493010294708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602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502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677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501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503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636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639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525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526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527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538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447</v>
      </c>
      <c r="E207" s="3" t="s">
        <v>449</v>
      </c>
      <c r="G207" s="25" t="s">
        <v>446</v>
      </c>
      <c r="I207" s="25" t="s">
        <v>39</v>
      </c>
      <c r="K207" s="25">
        <f>SUM(K171:K206)</f>
        <v>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5" t="s">
        <v>452</v>
      </c>
      <c r="D210" s="405"/>
      <c r="E210" s="405"/>
      <c r="F210" s="405"/>
      <c r="G210" s="405"/>
      <c r="L210" s="241"/>
      <c r="M210" s="241"/>
    </row>
    <row r="213" spans="2:15" x14ac:dyDescent="0.2">
      <c r="B213" s="201" t="s">
        <v>402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403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404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536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515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514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428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425</v>
      </c>
      <c r="C220" s="248">
        <v>208.55560337725498</v>
      </c>
      <c r="D220" s="169" t="s">
        <v>455</v>
      </c>
      <c r="E220" s="248">
        <f t="shared" si="92"/>
        <v>208.55560337725498</v>
      </c>
      <c r="F220" s="169" t="s">
        <v>451</v>
      </c>
      <c r="G220" s="295">
        <f t="shared" si="93"/>
        <v>0</v>
      </c>
    </row>
    <row r="221" spans="2:15" x14ac:dyDescent="0.2">
      <c r="B221" s="201" t="s">
        <v>439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426</v>
      </c>
      <c r="C222" s="248">
        <v>890.42781548807159</v>
      </c>
      <c r="E222" s="248">
        <f t="shared" si="92"/>
        <v>890.4278154880717</v>
      </c>
      <c r="G222" s="295">
        <f t="shared" si="93"/>
        <v>0</v>
      </c>
    </row>
    <row r="223" spans="2:15" x14ac:dyDescent="0.2">
      <c r="B223" s="201" t="s">
        <v>421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635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638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414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445</v>
      </c>
      <c r="D228" s="169"/>
      <c r="E228" s="169" t="s">
        <v>442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06" zoomScale="75" workbookViewId="0">
      <selection activeCell="L149" sqref="L149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692</v>
      </c>
      <c r="AQ1" s="256"/>
      <c r="AR1" s="204" t="s">
        <v>402</v>
      </c>
      <c r="AS1" s="204" t="s">
        <v>403</v>
      </c>
      <c r="AT1" s="204" t="s">
        <v>404</v>
      </c>
      <c r="AU1" s="204" t="s">
        <v>536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635</v>
      </c>
      <c r="BD1" s="204" t="s">
        <v>638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536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635</v>
      </c>
      <c r="BX1" s="204" t="s">
        <v>638</v>
      </c>
      <c r="BY1" s="204" t="s">
        <v>81</v>
      </c>
      <c r="BZ1" s="204" t="s">
        <v>414</v>
      </c>
    </row>
    <row r="2" spans="2:78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547</v>
      </c>
      <c r="C7" s="280">
        <v>1</v>
      </c>
      <c r="AQ7" s="201" t="s">
        <v>547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547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548</v>
      </c>
      <c r="C8" s="280">
        <v>1</v>
      </c>
      <c r="AQ8" s="201" t="s">
        <v>548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548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540</v>
      </c>
      <c r="C10" s="280">
        <v>1</v>
      </c>
      <c r="AQ10" s="201" t="s">
        <v>540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540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537</v>
      </c>
      <c r="C23" s="280">
        <v>1</v>
      </c>
      <c r="AQ23" s="203" t="s">
        <v>537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537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602</v>
      </c>
      <c r="C27" s="280">
        <v>1</v>
      </c>
      <c r="AQ27" s="203" t="s">
        <v>602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602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677</v>
      </c>
      <c r="C29" s="280">
        <v>1</v>
      </c>
      <c r="AQ29" s="249" t="s">
        <v>677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677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636</v>
      </c>
      <c r="C32" s="280">
        <v>1</v>
      </c>
      <c r="AQ32" s="203" t="s">
        <v>636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636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639</v>
      </c>
      <c r="C33" s="280">
        <v>1</v>
      </c>
      <c r="AQ33" s="203" t="s">
        <v>639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639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525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526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527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538</v>
      </c>
      <c r="C37" s="280">
        <v>1</v>
      </c>
      <c r="AQ37" s="203" t="s">
        <v>538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538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554</v>
      </c>
      <c r="AQ38" s="203"/>
      <c r="AR38" s="405" t="s">
        <v>551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552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536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635</v>
      </c>
      <c r="BD41" s="204" t="s">
        <v>638</v>
      </c>
      <c r="BE41" s="204" t="s">
        <v>81</v>
      </c>
      <c r="BF41" s="204" t="s">
        <v>414</v>
      </c>
    </row>
    <row r="42" spans="2:78" x14ac:dyDescent="0.2">
      <c r="AQ42" s="201" t="s">
        <v>410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412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432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547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548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540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537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602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677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501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503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636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639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525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526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527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538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05" t="s">
        <v>553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Q82" s="256"/>
      <c r="AR82" s="204" t="s">
        <v>402</v>
      </c>
      <c r="AS82" s="204" t="s">
        <v>403</v>
      </c>
      <c r="AT82" s="204" t="s">
        <v>404</v>
      </c>
      <c r="AU82" s="204" t="s">
        <v>536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635</v>
      </c>
      <c r="BD82" s="204" t="s">
        <v>638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432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454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547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547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548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548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491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540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540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522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522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489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492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517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510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496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521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516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513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519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518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504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537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537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505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507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506</v>
      </c>
      <c r="BL107" s="240"/>
      <c r="BM107" s="240">
        <f>Ore_to_PI!CP145</f>
        <v>-125.87204049624027</v>
      </c>
      <c r="BN107" s="248">
        <f t="shared" si="12"/>
        <v>-125.87204049624027</v>
      </c>
    </row>
    <row r="108" spans="33:71" x14ac:dyDescent="0.2">
      <c r="AG108" s="203"/>
      <c r="AH108" s="203"/>
      <c r="AQ108" s="203" t="s">
        <v>602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602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502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677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677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501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503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636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636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639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639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525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526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527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538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538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06"/>
      <c r="D121" s="406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L121" s="25"/>
      <c r="BM121" s="25"/>
    </row>
    <row r="122" spans="2:66" ht="236" x14ac:dyDescent="0.2">
      <c r="B122" s="236"/>
      <c r="C122" s="204" t="s">
        <v>410</v>
      </c>
      <c r="D122" s="204" t="s">
        <v>412</v>
      </c>
      <c r="E122" s="204" t="s">
        <v>413</v>
      </c>
      <c r="F122" s="204" t="s">
        <v>432</v>
      </c>
      <c r="G122" s="204" t="s">
        <v>454</v>
      </c>
      <c r="H122" s="204" t="s">
        <v>547</v>
      </c>
      <c r="I122" s="204" t="s">
        <v>548</v>
      </c>
      <c r="J122" s="204" t="s">
        <v>491</v>
      </c>
      <c r="K122" s="204" t="s">
        <v>540</v>
      </c>
      <c r="L122" s="206" t="s">
        <v>522</v>
      </c>
      <c r="M122" s="204" t="s">
        <v>489</v>
      </c>
      <c r="N122" s="206" t="s">
        <v>492</v>
      </c>
      <c r="O122" s="204" t="s">
        <v>517</v>
      </c>
      <c r="P122" s="207" t="s">
        <v>510</v>
      </c>
      <c r="Q122" s="204" t="s">
        <v>496</v>
      </c>
      <c r="R122" s="206" t="s">
        <v>521</v>
      </c>
      <c r="S122" s="206" t="s">
        <v>516</v>
      </c>
      <c r="T122" s="206" t="s">
        <v>513</v>
      </c>
      <c r="U122" s="206" t="s">
        <v>519</v>
      </c>
      <c r="V122" s="207" t="s">
        <v>518</v>
      </c>
      <c r="W122" s="207" t="s">
        <v>504</v>
      </c>
      <c r="X122" s="207" t="s">
        <v>537</v>
      </c>
      <c r="Y122" s="207" t="s">
        <v>505</v>
      </c>
      <c r="Z122" s="207" t="s">
        <v>507</v>
      </c>
      <c r="AA122" s="207" t="s">
        <v>506</v>
      </c>
      <c r="AB122" s="207" t="s">
        <v>602</v>
      </c>
      <c r="AC122" s="229" t="s">
        <v>502</v>
      </c>
      <c r="AD122" s="229" t="s">
        <v>677</v>
      </c>
      <c r="AE122" s="207" t="s">
        <v>501</v>
      </c>
      <c r="AF122" s="204" t="s">
        <v>547</v>
      </c>
      <c r="AG122" s="204" t="s">
        <v>548</v>
      </c>
      <c r="AH122" s="204" t="s">
        <v>540</v>
      </c>
      <c r="AI122" s="206" t="s">
        <v>522</v>
      </c>
      <c r="AJ122" s="204" t="s">
        <v>489</v>
      </c>
      <c r="AK122" s="206" t="s">
        <v>492</v>
      </c>
      <c r="AL122" s="204" t="s">
        <v>517</v>
      </c>
      <c r="AM122" s="207" t="s">
        <v>510</v>
      </c>
    </row>
    <row r="123" spans="2:66" x14ac:dyDescent="0.2">
      <c r="B123" s="201" t="s">
        <v>402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>
        <f>Ore_to_PI!BE52</f>
        <v>0</v>
      </c>
      <c r="AJ123" s="227">
        <f>Ore_to_PI!BE70</f>
        <v>0</v>
      </c>
      <c r="AK123" s="227"/>
      <c r="AL123" s="227"/>
      <c r="AM123" s="227"/>
    </row>
    <row r="124" spans="2:66" x14ac:dyDescent="0.2">
      <c r="B124" s="201" t="s">
        <v>403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>
        <f>Ore_to_PI!BF132</f>
        <v>0</v>
      </c>
      <c r="AL124" s="227">
        <f>Ore_to_PI!BF149</f>
        <v>0</v>
      </c>
      <c r="AM124" s="227"/>
    </row>
    <row r="125" spans="2:66" x14ac:dyDescent="0.2">
      <c r="B125" s="201" t="s">
        <v>404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>
        <f>Ore_to_PI!BF217</f>
        <v>-20.915097846405036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536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428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425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439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426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-125.87204049624027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421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/>
      <c r="AG133" s="227"/>
      <c r="AH133" s="227"/>
      <c r="AI133" s="227"/>
      <c r="AJ133" s="227"/>
      <c r="AK133" s="227"/>
      <c r="AL133" s="227"/>
      <c r="AM133" s="227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635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</row>
    <row r="135" spans="2:65" x14ac:dyDescent="0.2">
      <c r="B135" s="201" t="s">
        <v>638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</row>
    <row r="137" spans="2:65" x14ac:dyDescent="0.2">
      <c r="B137" s="201" t="s">
        <v>414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</row>
    <row r="138" spans="2:65" x14ac:dyDescent="0.2">
      <c r="B138" s="201"/>
      <c r="C138" s="405" t="s">
        <v>406</v>
      </c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25" t="s">
        <v>442</v>
      </c>
      <c r="AN138" s="25"/>
    </row>
    <row r="139" spans="2:65" x14ac:dyDescent="0.2">
      <c r="B139" s="201"/>
      <c r="C139" s="248">
        <f t="shared" ref="C139:G139" si="14">SUM(C123:C137)</f>
        <v>0</v>
      </c>
      <c r="D139" s="248">
        <f t="shared" si="14"/>
        <v>0</v>
      </c>
      <c r="E139" s="248">
        <f t="shared" si="14"/>
        <v>0</v>
      </c>
      <c r="F139" s="248">
        <f t="shared" si="14"/>
        <v>0</v>
      </c>
      <c r="G139" s="248">
        <f t="shared" si="14"/>
        <v>0</v>
      </c>
      <c r="H139" s="248">
        <f t="shared" ref="H139:AL139" si="15">SUM(H123:H137)</f>
        <v>0</v>
      </c>
      <c r="I139" s="248">
        <f t="shared" si="15"/>
        <v>0</v>
      </c>
      <c r="J139" s="248">
        <f t="shared" si="15"/>
        <v>0</v>
      </c>
      <c r="K139" s="248">
        <f t="shared" si="15"/>
        <v>0</v>
      </c>
      <c r="L139" s="248">
        <f t="shared" si="15"/>
        <v>-841.69623437072971</v>
      </c>
      <c r="M139" s="248">
        <f t="shared" si="15"/>
        <v>-99.008821849873215</v>
      </c>
      <c r="N139" s="248">
        <f t="shared" si="15"/>
        <v>-1202.01</v>
      </c>
      <c r="O139" s="248">
        <f t="shared" si="15"/>
        <v>-98.84370786785361</v>
      </c>
      <c r="P139" s="248">
        <f t="shared" si="15"/>
        <v>-284.89999999999998</v>
      </c>
      <c r="Q139" s="248">
        <f t="shared" si="15"/>
        <v>-99.008821849873215</v>
      </c>
      <c r="R139" s="248">
        <f t="shared" si="15"/>
        <v>-841.69623437072971</v>
      </c>
      <c r="S139" s="248">
        <f t="shared" si="15"/>
        <v>-1202.01</v>
      </c>
      <c r="T139" s="248">
        <f t="shared" si="15"/>
        <v>-284.89999999999998</v>
      </c>
      <c r="U139" s="248">
        <f t="shared" si="15"/>
        <v>-834.48831000000007</v>
      </c>
      <c r="V139" s="248">
        <f t="shared" si="15"/>
        <v>-1454.2261001517452</v>
      </c>
      <c r="W139" s="248">
        <f t="shared" si="15"/>
        <v>-1202.01</v>
      </c>
      <c r="X139" s="248">
        <f t="shared" si="15"/>
        <v>-284.89999999999998</v>
      </c>
      <c r="Y139" s="248">
        <f t="shared" si="15"/>
        <v>-634.9</v>
      </c>
      <c r="Z139" s="248">
        <f t="shared" si="15"/>
        <v>-601.6</v>
      </c>
      <c r="AA139" s="248">
        <f t="shared" si="15"/>
        <v>-125.87204049624027</v>
      </c>
      <c r="AB139" s="248">
        <f t="shared" si="15"/>
        <v>6546468.5968566798</v>
      </c>
      <c r="AC139" s="248">
        <f t="shared" si="15"/>
        <v>-37.006500000000003</v>
      </c>
      <c r="AD139" s="248">
        <f t="shared" si="15"/>
        <v>-221.69899000000004</v>
      </c>
      <c r="AE139" s="248">
        <f t="shared" si="15"/>
        <v>-284.89999999999998</v>
      </c>
      <c r="AF139" s="248">
        <f t="shared" si="15"/>
        <v>0</v>
      </c>
      <c r="AG139" s="248">
        <f t="shared" si="15"/>
        <v>0</v>
      </c>
      <c r="AH139" s="248">
        <f t="shared" si="15"/>
        <v>0</v>
      </c>
      <c r="AI139" s="248">
        <f t="shared" si="15"/>
        <v>0</v>
      </c>
      <c r="AJ139" s="248">
        <f t="shared" si="15"/>
        <v>0</v>
      </c>
      <c r="AK139" s="248">
        <f t="shared" si="15"/>
        <v>0</v>
      </c>
      <c r="AL139" s="248">
        <f t="shared" si="15"/>
        <v>0</v>
      </c>
    </row>
    <row r="140" spans="2:65" x14ac:dyDescent="0.2">
      <c r="B140" s="201"/>
      <c r="C140" s="405" t="s">
        <v>443</v>
      </c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410</v>
      </c>
      <c r="D151" s="204" t="s">
        <v>412</v>
      </c>
      <c r="E151" s="204" t="s">
        <v>413</v>
      </c>
      <c r="F151" s="204" t="s">
        <v>432</v>
      </c>
      <c r="G151" s="204" t="s">
        <v>454</v>
      </c>
      <c r="H151" s="204" t="s">
        <v>547</v>
      </c>
      <c r="I151" s="204" t="s">
        <v>548</v>
      </c>
      <c r="J151" s="204" t="s">
        <v>491</v>
      </c>
      <c r="K151" s="204" t="s">
        <v>540</v>
      </c>
      <c r="L151" s="206" t="s">
        <v>522</v>
      </c>
      <c r="M151" s="204" t="s">
        <v>489</v>
      </c>
      <c r="N151" s="206" t="s">
        <v>492</v>
      </c>
      <c r="O151" s="204" t="s">
        <v>517</v>
      </c>
      <c r="P151" s="207" t="s">
        <v>510</v>
      </c>
      <c r="Q151" s="204" t="s">
        <v>496</v>
      </c>
      <c r="R151" s="206" t="s">
        <v>521</v>
      </c>
      <c r="S151" s="206" t="s">
        <v>516</v>
      </c>
      <c r="T151" s="206" t="s">
        <v>513</v>
      </c>
      <c r="U151" s="206" t="s">
        <v>519</v>
      </c>
      <c r="V151" s="207" t="s">
        <v>518</v>
      </c>
      <c r="W151" s="207" t="s">
        <v>504</v>
      </c>
      <c r="X151" s="207" t="s">
        <v>537</v>
      </c>
      <c r="Y151" s="207" t="s">
        <v>505</v>
      </c>
      <c r="Z151" s="207" t="s">
        <v>507</v>
      </c>
      <c r="AA151" s="207" t="s">
        <v>506</v>
      </c>
      <c r="AB151" s="207" t="s">
        <v>602</v>
      </c>
      <c r="AC151" s="229" t="s">
        <v>502</v>
      </c>
      <c r="AD151" s="229" t="s">
        <v>677</v>
      </c>
      <c r="AE151" s="207" t="s">
        <v>501</v>
      </c>
      <c r="AF151" s="204" t="s">
        <v>503</v>
      </c>
      <c r="AG151" s="207" t="s">
        <v>636</v>
      </c>
      <c r="AH151" s="207" t="s">
        <v>639</v>
      </c>
      <c r="AI151" s="207" t="s">
        <v>525</v>
      </c>
      <c r="AJ151" s="207" t="s">
        <v>526</v>
      </c>
      <c r="AK151" s="207" t="s">
        <v>527</v>
      </c>
      <c r="AL151" s="207" t="s">
        <v>538</v>
      </c>
      <c r="AM151" s="207"/>
      <c r="AN151" s="207"/>
    </row>
    <row r="152" spans="2:44" x14ac:dyDescent="0.2">
      <c r="B152" s="201" t="s">
        <v>409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411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433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457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453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550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549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539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5" t="s">
        <v>57</v>
      </c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25"/>
      <c r="AN161" s="25"/>
    </row>
    <row r="162" spans="2:40" x14ac:dyDescent="0.2">
      <c r="C162" s="248">
        <f t="shared" ref="C162:AL162" si="16">SUM(C152:C160)</f>
        <v>-841.69623437072971</v>
      </c>
      <c r="D162" s="248">
        <f t="shared" si="16"/>
        <v>-1202.01</v>
      </c>
      <c r="E162" s="248">
        <f t="shared" si="16"/>
        <v>23054812.906863328</v>
      </c>
      <c r="F162" s="248">
        <f t="shared" si="16"/>
        <v>0</v>
      </c>
      <c r="G162" s="248">
        <f t="shared" si="16"/>
        <v>-74.599999999999994</v>
      </c>
      <c r="H162" s="248">
        <f t="shared" si="16"/>
        <v>7127.6028120000001</v>
      </c>
      <c r="I162" s="248">
        <f t="shared" si="16"/>
        <v>-250.1</v>
      </c>
      <c r="J162" s="248">
        <f t="shared" si="16"/>
        <v>5540.6175999999996</v>
      </c>
      <c r="K162" s="248">
        <f t="shared" si="16"/>
        <v>0</v>
      </c>
      <c r="L162" s="248">
        <f t="shared" si="16"/>
        <v>0</v>
      </c>
      <c r="M162" s="248">
        <f t="shared" si="16"/>
        <v>0</v>
      </c>
      <c r="N162" s="248">
        <f t="shared" si="16"/>
        <v>0</v>
      </c>
      <c r="O162" s="248">
        <f t="shared" si="16"/>
        <v>0</v>
      </c>
      <c r="P162" s="248">
        <f t="shared" si="16"/>
        <v>0</v>
      </c>
      <c r="Q162" s="248">
        <f t="shared" si="16"/>
        <v>0</v>
      </c>
      <c r="R162" s="248">
        <f t="shared" si="16"/>
        <v>0</v>
      </c>
      <c r="S162" s="248">
        <f t="shared" si="16"/>
        <v>0</v>
      </c>
      <c r="T162" s="248">
        <f t="shared" si="16"/>
        <v>0</v>
      </c>
      <c r="U162" s="248">
        <f t="shared" si="16"/>
        <v>0</v>
      </c>
      <c r="V162" s="248">
        <f t="shared" si="16"/>
        <v>0</v>
      </c>
      <c r="W162" s="248">
        <f t="shared" si="16"/>
        <v>0</v>
      </c>
      <c r="X162" s="248">
        <f t="shared" si="16"/>
        <v>0</v>
      </c>
      <c r="Y162" s="248">
        <f t="shared" si="16"/>
        <v>0</v>
      </c>
      <c r="Z162" s="248">
        <f t="shared" si="16"/>
        <v>0</v>
      </c>
      <c r="AA162" s="248">
        <f t="shared" si="16"/>
        <v>0</v>
      </c>
      <c r="AB162" s="248">
        <f t="shared" si="16"/>
        <v>0</v>
      </c>
      <c r="AC162" s="248">
        <f t="shared" si="16"/>
        <v>0</v>
      </c>
      <c r="AD162" s="248">
        <f t="shared" si="16"/>
        <v>0</v>
      </c>
      <c r="AE162" s="248">
        <f t="shared" si="16"/>
        <v>0</v>
      </c>
      <c r="AF162" s="248">
        <f t="shared" si="16"/>
        <v>0</v>
      </c>
      <c r="AG162" s="248">
        <f t="shared" si="16"/>
        <v>0</v>
      </c>
      <c r="AH162" s="248">
        <f t="shared" si="16"/>
        <v>0</v>
      </c>
      <c r="AI162" s="248">
        <f t="shared" si="16"/>
        <v>0</v>
      </c>
      <c r="AJ162" s="248">
        <f t="shared" si="16"/>
        <v>0</v>
      </c>
      <c r="AK162" s="248">
        <f t="shared" si="16"/>
        <v>0</v>
      </c>
      <c r="AL162" s="248">
        <f t="shared" si="16"/>
        <v>0</v>
      </c>
    </row>
    <row r="163" spans="2:40" x14ac:dyDescent="0.2">
      <c r="C163" s="405" t="s">
        <v>444</v>
      </c>
      <c r="D163" s="405"/>
      <c r="E163" s="405"/>
      <c r="F163" s="405"/>
      <c r="G163" s="405"/>
      <c r="H163" s="405"/>
      <c r="I163" s="405"/>
      <c r="J163" s="405"/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25"/>
      <c r="AN163" s="25"/>
    </row>
    <row r="167" spans="2:40" x14ac:dyDescent="0.2">
      <c r="C167" s="405" t="s">
        <v>633</v>
      </c>
      <c r="D167" s="405"/>
      <c r="E167" s="405"/>
      <c r="F167" s="405"/>
      <c r="G167" s="405"/>
      <c r="H167" s="405"/>
      <c r="I167" s="405"/>
      <c r="J167" s="405"/>
      <c r="K167" s="405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410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7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412</v>
      </c>
      <c r="C171" s="248">
        <v>-1202.01</v>
      </c>
      <c r="E171" s="248">
        <v>0</v>
      </c>
      <c r="G171" s="248">
        <f t="shared" si="17"/>
        <v>-1202.01</v>
      </c>
      <c r="I171" s="248">
        <v>0</v>
      </c>
      <c r="K171" s="295">
        <f t="shared" ref="K171:K205" si="18">C171+E171-G171-I171</f>
        <v>0</v>
      </c>
    </row>
    <row r="172" spans="2:40" x14ac:dyDescent="0.2">
      <c r="B172" s="201" t="s">
        <v>413</v>
      </c>
      <c r="C172" s="248">
        <v>23054812.906863328</v>
      </c>
      <c r="E172" s="248">
        <v>0</v>
      </c>
      <c r="G172" s="248">
        <f t="shared" si="17"/>
        <v>23054812.906863328</v>
      </c>
      <c r="I172" s="248">
        <v>0</v>
      </c>
      <c r="K172" s="295">
        <f t="shared" si="18"/>
        <v>0</v>
      </c>
    </row>
    <row r="173" spans="2:40" x14ac:dyDescent="0.2">
      <c r="B173" s="201" t="s">
        <v>432</v>
      </c>
      <c r="C173" s="248">
        <v>0</v>
      </c>
      <c r="E173" s="248">
        <v>0</v>
      </c>
      <c r="G173" s="248">
        <f t="shared" si="17"/>
        <v>0</v>
      </c>
      <c r="I173" s="248">
        <v>0</v>
      </c>
      <c r="K173" s="295">
        <f t="shared" si="18"/>
        <v>0</v>
      </c>
    </row>
    <row r="174" spans="2:40" x14ac:dyDescent="0.2">
      <c r="B174" s="201" t="s">
        <v>454</v>
      </c>
      <c r="C174" s="248">
        <v>-74.599999999999994</v>
      </c>
      <c r="E174" s="248">
        <v>0</v>
      </c>
      <c r="G174" s="248">
        <f t="shared" si="17"/>
        <v>-223.79999999999998</v>
      </c>
      <c r="I174" s="248">
        <v>0</v>
      </c>
      <c r="K174" s="295" t="s">
        <v>640</v>
      </c>
    </row>
    <row r="175" spans="2:40" x14ac:dyDescent="0.2">
      <c r="B175" s="201" t="s">
        <v>487</v>
      </c>
      <c r="C175" s="248">
        <v>7127.6028120000001</v>
      </c>
      <c r="E175" s="248">
        <v>0</v>
      </c>
      <c r="G175" s="248">
        <f t="shared" si="17"/>
        <v>21382.808435999999</v>
      </c>
      <c r="I175" s="248">
        <v>0</v>
      </c>
      <c r="K175" s="295" t="s">
        <v>640</v>
      </c>
    </row>
    <row r="176" spans="2:40" x14ac:dyDescent="0.2">
      <c r="B176" s="201" t="s">
        <v>488</v>
      </c>
      <c r="C176" s="248">
        <v>-250.1</v>
      </c>
      <c r="E176" s="248">
        <v>0</v>
      </c>
      <c r="G176" s="248">
        <f t="shared" si="17"/>
        <v>-250.1</v>
      </c>
      <c r="I176" s="248">
        <v>0</v>
      </c>
      <c r="K176" s="295">
        <f t="shared" si="18"/>
        <v>0</v>
      </c>
    </row>
    <row r="177" spans="2:18" x14ac:dyDescent="0.2">
      <c r="B177" s="201" t="s">
        <v>491</v>
      </c>
      <c r="C177" s="248">
        <v>5540.6175999999996</v>
      </c>
      <c r="E177" s="248">
        <v>0</v>
      </c>
      <c r="G177" s="248">
        <f t="shared" si="17"/>
        <v>5540.6175999999996</v>
      </c>
      <c r="I177" s="248">
        <v>0</v>
      </c>
      <c r="K177" s="295">
        <f t="shared" si="18"/>
        <v>0</v>
      </c>
    </row>
    <row r="178" spans="2:18" x14ac:dyDescent="0.2">
      <c r="B178" s="201" t="s">
        <v>540</v>
      </c>
      <c r="C178" s="248">
        <v>0</v>
      </c>
      <c r="E178" s="248">
        <v>0</v>
      </c>
      <c r="G178" s="248">
        <f t="shared" si="17"/>
        <v>0</v>
      </c>
      <c r="I178" s="248">
        <v>0</v>
      </c>
      <c r="K178" s="295">
        <f t="shared" si="18"/>
        <v>0</v>
      </c>
    </row>
    <row r="179" spans="2:18" ht="16" x14ac:dyDescent="0.2">
      <c r="B179" s="202" t="s">
        <v>522</v>
      </c>
      <c r="C179" s="248">
        <v>0</v>
      </c>
      <c r="E179" s="248">
        <v>-841.69623437072971</v>
      </c>
      <c r="G179" s="248">
        <f t="shared" si="17"/>
        <v>-841.69623437072971</v>
      </c>
      <c r="I179" s="248">
        <v>0</v>
      </c>
      <c r="K179" s="295">
        <f t="shared" si="18"/>
        <v>0</v>
      </c>
    </row>
    <row r="180" spans="2:18" x14ac:dyDescent="0.2">
      <c r="B180" s="201" t="s">
        <v>489</v>
      </c>
      <c r="C180" s="248">
        <v>0</v>
      </c>
      <c r="E180" s="248">
        <v>-99.008821849873215</v>
      </c>
      <c r="G180" s="248">
        <f t="shared" si="17"/>
        <v>0</v>
      </c>
      <c r="I180" s="248">
        <v>-99.008821849873215</v>
      </c>
      <c r="K180" s="295">
        <f t="shared" si="18"/>
        <v>0</v>
      </c>
    </row>
    <row r="181" spans="2:18" ht="16" x14ac:dyDescent="0.2">
      <c r="B181" s="202" t="s">
        <v>492</v>
      </c>
      <c r="C181" s="248">
        <v>0</v>
      </c>
      <c r="E181" s="248">
        <v>-1202.01</v>
      </c>
      <c r="G181" s="248">
        <f t="shared" si="17"/>
        <v>-1202.01</v>
      </c>
      <c r="I181" s="248">
        <v>0</v>
      </c>
      <c r="K181" s="295">
        <f t="shared" si="18"/>
        <v>0</v>
      </c>
    </row>
    <row r="182" spans="2:18" x14ac:dyDescent="0.2">
      <c r="B182" s="201" t="s">
        <v>517</v>
      </c>
      <c r="C182" s="248">
        <v>0</v>
      </c>
      <c r="E182" s="248">
        <v>-98.84370786785361</v>
      </c>
      <c r="G182" s="248">
        <f t="shared" si="17"/>
        <v>0</v>
      </c>
      <c r="I182" s="248">
        <v>-98.84370786785361</v>
      </c>
      <c r="K182" s="295">
        <f t="shared" si="18"/>
        <v>0</v>
      </c>
    </row>
    <row r="183" spans="2:18" x14ac:dyDescent="0.2">
      <c r="B183" s="203" t="s">
        <v>510</v>
      </c>
      <c r="C183" s="248">
        <v>0</v>
      </c>
      <c r="D183" s="255" t="s">
        <v>448</v>
      </c>
      <c r="E183" s="248">
        <v>-284.89999999999998</v>
      </c>
      <c r="F183" s="169" t="s">
        <v>450</v>
      </c>
      <c r="G183" s="248">
        <f t="shared" si="17"/>
        <v>-284.89999999999998</v>
      </c>
      <c r="H183" s="169" t="s">
        <v>450</v>
      </c>
      <c r="I183" s="248">
        <v>0</v>
      </c>
      <c r="J183" s="255" t="s">
        <v>451</v>
      </c>
      <c r="K183" s="295">
        <f t="shared" si="18"/>
        <v>0</v>
      </c>
      <c r="P183" s="204"/>
    </row>
    <row r="184" spans="2:18" x14ac:dyDescent="0.2">
      <c r="B184" s="201" t="s">
        <v>496</v>
      </c>
      <c r="C184" s="248">
        <v>0</v>
      </c>
      <c r="E184" s="248">
        <v>-99.008821849873215</v>
      </c>
      <c r="G184" s="248">
        <f t="shared" si="17"/>
        <v>0</v>
      </c>
      <c r="I184" s="248">
        <v>-99.008821849873215</v>
      </c>
      <c r="K184" s="295">
        <f t="shared" si="18"/>
        <v>0</v>
      </c>
    </row>
    <row r="185" spans="2:18" ht="16" x14ac:dyDescent="0.2">
      <c r="B185" s="202" t="s">
        <v>521</v>
      </c>
      <c r="C185" s="248">
        <v>0</v>
      </c>
      <c r="E185" s="248">
        <v>-841.69623437072971</v>
      </c>
      <c r="G185" s="248">
        <f t="shared" si="17"/>
        <v>-841.69623437072971</v>
      </c>
      <c r="I185" s="248">
        <v>0</v>
      </c>
      <c r="K185" s="295">
        <f t="shared" si="18"/>
        <v>0</v>
      </c>
    </row>
    <row r="186" spans="2:18" ht="16" x14ac:dyDescent="0.2">
      <c r="B186" s="202" t="s">
        <v>516</v>
      </c>
      <c r="C186" s="248">
        <v>0</v>
      </c>
      <c r="E186" s="248">
        <v>-1202.01</v>
      </c>
      <c r="G186" s="248">
        <f t="shared" si="17"/>
        <v>-1202.01</v>
      </c>
      <c r="I186" s="248">
        <v>0</v>
      </c>
      <c r="K186" s="295">
        <f t="shared" si="18"/>
        <v>0</v>
      </c>
    </row>
    <row r="187" spans="2:18" ht="16" x14ac:dyDescent="0.2">
      <c r="B187" s="202" t="s">
        <v>513</v>
      </c>
      <c r="C187" s="248">
        <v>0</v>
      </c>
      <c r="E187" s="248">
        <v>-284.89999999999998</v>
      </c>
      <c r="G187" s="248">
        <f t="shared" si="17"/>
        <v>-284.89999999999998</v>
      </c>
      <c r="I187" s="248">
        <v>0</v>
      </c>
      <c r="K187" s="295">
        <f t="shared" si="18"/>
        <v>0</v>
      </c>
    </row>
    <row r="188" spans="2:18" ht="16" x14ac:dyDescent="0.2">
      <c r="B188" s="202" t="s">
        <v>519</v>
      </c>
      <c r="C188" s="248">
        <v>0</v>
      </c>
      <c r="E188" s="248">
        <v>-834.48831000000007</v>
      </c>
      <c r="G188" s="248">
        <f t="shared" si="17"/>
        <v>-834.48831000000007</v>
      </c>
      <c r="I188" s="248">
        <v>0</v>
      </c>
      <c r="K188" s="295">
        <f t="shared" si="18"/>
        <v>0</v>
      </c>
    </row>
    <row r="189" spans="2:18" x14ac:dyDescent="0.2">
      <c r="B189" s="203" t="s">
        <v>518</v>
      </c>
      <c r="C189" s="248">
        <v>0</v>
      </c>
      <c r="E189" s="248">
        <v>-1454.2261001517452</v>
      </c>
      <c r="G189" s="248">
        <f t="shared" si="17"/>
        <v>0</v>
      </c>
      <c r="I189" s="248">
        <v>-1454.2261001517452</v>
      </c>
      <c r="K189" s="295">
        <f t="shared" si="18"/>
        <v>0</v>
      </c>
    </row>
    <row r="190" spans="2:18" x14ac:dyDescent="0.2">
      <c r="B190" s="203" t="s">
        <v>504</v>
      </c>
      <c r="C190" s="248">
        <v>0</v>
      </c>
      <c r="E190" s="248">
        <v>-1202.01</v>
      </c>
      <c r="G190" s="248">
        <f t="shared" si="17"/>
        <v>-1202.01</v>
      </c>
      <c r="I190" s="248">
        <v>0</v>
      </c>
      <c r="K190" s="295">
        <f t="shared" si="18"/>
        <v>0</v>
      </c>
      <c r="N190" s="25"/>
      <c r="P190" s="25"/>
      <c r="Q190" s="25"/>
      <c r="R190" s="25"/>
    </row>
    <row r="191" spans="2:18" x14ac:dyDescent="0.2">
      <c r="B191" s="203" t="s">
        <v>537</v>
      </c>
      <c r="C191" s="248">
        <v>0</v>
      </c>
      <c r="E191" s="248">
        <v>-284.89999999999998</v>
      </c>
      <c r="G191" s="248">
        <f t="shared" si="17"/>
        <v>-284.89999999999998</v>
      </c>
      <c r="I191" s="248">
        <v>0</v>
      </c>
      <c r="K191" s="295">
        <f t="shared" si="18"/>
        <v>0</v>
      </c>
      <c r="N191" s="25"/>
      <c r="P191" s="25"/>
      <c r="Q191" s="25"/>
      <c r="R191" s="25"/>
    </row>
    <row r="192" spans="2:18" x14ac:dyDescent="0.2">
      <c r="B192" s="203" t="s">
        <v>505</v>
      </c>
      <c r="C192" s="248">
        <v>0</v>
      </c>
      <c r="E192" s="248">
        <v>-634.9</v>
      </c>
      <c r="G192" s="248">
        <f t="shared" si="17"/>
        <v>-634.9</v>
      </c>
      <c r="I192" s="248">
        <v>0</v>
      </c>
      <c r="K192" s="295">
        <f t="shared" si="18"/>
        <v>0</v>
      </c>
      <c r="N192" s="25"/>
      <c r="P192" s="25"/>
      <c r="Q192" s="25"/>
      <c r="R192" s="25"/>
    </row>
    <row r="193" spans="2:19" x14ac:dyDescent="0.2">
      <c r="B193" s="203" t="s">
        <v>507</v>
      </c>
      <c r="C193" s="248">
        <v>0</v>
      </c>
      <c r="E193" s="248">
        <v>-601.6</v>
      </c>
      <c r="G193" s="248">
        <f t="shared" si="17"/>
        <v>0</v>
      </c>
      <c r="I193" s="248">
        <v>-601.6</v>
      </c>
      <c r="K193" s="295">
        <f t="shared" si="18"/>
        <v>0</v>
      </c>
      <c r="N193" s="25"/>
      <c r="P193" s="25"/>
      <c r="Q193" s="25"/>
      <c r="R193" s="25"/>
    </row>
    <row r="194" spans="2:19" x14ac:dyDescent="0.2">
      <c r="B194" s="203" t="s">
        <v>506</v>
      </c>
      <c r="C194" s="248">
        <v>0</v>
      </c>
      <c r="E194" s="248">
        <v>-125.87204049624027</v>
      </c>
      <c r="G194" s="248">
        <f t="shared" si="17"/>
        <v>0</v>
      </c>
      <c r="I194" s="248">
        <v>-125.87204049624027</v>
      </c>
      <c r="K194" s="295">
        <f t="shared" si="18"/>
        <v>0</v>
      </c>
      <c r="N194" s="25"/>
      <c r="P194" s="25"/>
      <c r="Q194" s="25"/>
      <c r="R194" s="25"/>
    </row>
    <row r="195" spans="2:19" x14ac:dyDescent="0.2">
      <c r="B195" s="203" t="s">
        <v>602</v>
      </c>
      <c r="C195" s="248">
        <v>0</v>
      </c>
      <c r="E195" s="248">
        <v>6546468.5968566798</v>
      </c>
      <c r="G195" s="248">
        <f t="shared" si="17"/>
        <v>6546468.5968566798</v>
      </c>
      <c r="I195" s="248">
        <v>0</v>
      </c>
      <c r="K195" s="295">
        <f t="shared" si="18"/>
        <v>0</v>
      </c>
    </row>
    <row r="196" spans="2:19" ht="16" x14ac:dyDescent="0.2">
      <c r="B196" s="249" t="s">
        <v>502</v>
      </c>
      <c r="C196" s="248">
        <v>0</v>
      </c>
      <c r="E196" s="248">
        <v>-37.006500000000003</v>
      </c>
      <c r="G196" s="248">
        <f t="shared" si="17"/>
        <v>-37.006500000000003</v>
      </c>
      <c r="I196" s="248">
        <v>0</v>
      </c>
      <c r="K196" s="295">
        <f t="shared" si="18"/>
        <v>0</v>
      </c>
    </row>
    <row r="197" spans="2:19" ht="16" x14ac:dyDescent="0.2">
      <c r="B197" s="249" t="s">
        <v>677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8"/>
        <v>0</v>
      </c>
    </row>
    <row r="198" spans="2:19" x14ac:dyDescent="0.2">
      <c r="B198" s="203" t="s">
        <v>501</v>
      </c>
      <c r="C198" s="248">
        <v>0</v>
      </c>
      <c r="E198" s="248">
        <v>-284.89999999999998</v>
      </c>
      <c r="G198" s="248">
        <f t="shared" ref="G198:G205" si="19">BG111</f>
        <v>0</v>
      </c>
      <c r="I198" s="248">
        <v>-284.89999999999998</v>
      </c>
      <c r="K198" s="295">
        <f t="shared" si="18"/>
        <v>0</v>
      </c>
      <c r="L198" s="25"/>
    </row>
    <row r="199" spans="2:19" x14ac:dyDescent="0.2">
      <c r="B199" s="201" t="s">
        <v>503</v>
      </c>
      <c r="C199" s="248">
        <v>0</v>
      </c>
      <c r="E199" s="248">
        <v>0</v>
      </c>
      <c r="G199" s="248">
        <f t="shared" si="19"/>
        <v>0</v>
      </c>
      <c r="I199" s="248">
        <v>-89.542108138870873</v>
      </c>
      <c r="K199" s="295">
        <f t="shared" si="18"/>
        <v>89.542108138870873</v>
      </c>
    </row>
    <row r="200" spans="2:19" x14ac:dyDescent="0.2">
      <c r="B200" s="203" t="s">
        <v>636</v>
      </c>
      <c r="C200" s="248">
        <v>0</v>
      </c>
      <c r="E200" s="248">
        <v>0</v>
      </c>
      <c r="G200" s="248">
        <f t="shared" si="19"/>
        <v>-23.917987170512152</v>
      </c>
      <c r="I200" s="248">
        <v>0</v>
      </c>
      <c r="K200" s="295">
        <f t="shared" si="18"/>
        <v>23.917987170512152</v>
      </c>
    </row>
    <row r="201" spans="2:19" x14ac:dyDescent="0.2">
      <c r="B201" s="203" t="s">
        <v>639</v>
      </c>
      <c r="C201" s="248">
        <v>0</v>
      </c>
      <c r="E201" s="248">
        <v>0</v>
      </c>
      <c r="G201" s="248">
        <f t="shared" si="19"/>
        <v>-23.917987170512156</v>
      </c>
      <c r="I201" s="248">
        <v>-23.917987170512156</v>
      </c>
      <c r="K201" s="295" t="s">
        <v>640</v>
      </c>
    </row>
    <row r="202" spans="2:19" x14ac:dyDescent="0.2">
      <c r="B202" s="203" t="s">
        <v>525</v>
      </c>
      <c r="C202" s="248">
        <v>0</v>
      </c>
      <c r="E202" s="248">
        <v>0</v>
      </c>
      <c r="G202" s="248">
        <f t="shared" si="19"/>
        <v>3963.8871338071585</v>
      </c>
      <c r="I202" s="248">
        <v>0</v>
      </c>
      <c r="K202" s="295">
        <f t="shared" si="18"/>
        <v>-3963.8871338071585</v>
      </c>
      <c r="P202" s="241"/>
      <c r="Q202" s="241"/>
      <c r="R202" s="241"/>
      <c r="S202" s="241"/>
    </row>
    <row r="203" spans="2:19" x14ac:dyDescent="0.2">
      <c r="B203" s="203" t="s">
        <v>526</v>
      </c>
      <c r="C203" s="248">
        <v>0</v>
      </c>
      <c r="E203" s="248">
        <v>0</v>
      </c>
      <c r="G203" s="248">
        <f t="shared" si="19"/>
        <v>0</v>
      </c>
      <c r="I203" s="248">
        <v>0</v>
      </c>
      <c r="K203" s="295">
        <f t="shared" si="18"/>
        <v>0</v>
      </c>
    </row>
    <row r="204" spans="2:19" x14ac:dyDescent="0.2">
      <c r="B204" s="203" t="s">
        <v>527</v>
      </c>
      <c r="C204" s="248">
        <v>0</v>
      </c>
      <c r="E204" s="248">
        <v>0</v>
      </c>
      <c r="G204" s="248">
        <f t="shared" si="19"/>
        <v>0</v>
      </c>
      <c r="I204" s="248">
        <v>-126.30390709179704</v>
      </c>
      <c r="K204" s="295">
        <f t="shared" si="18"/>
        <v>126.30390709179704</v>
      </c>
    </row>
    <row r="205" spans="2:19" x14ac:dyDescent="0.2">
      <c r="B205" s="203" t="s">
        <v>538</v>
      </c>
      <c r="C205" s="248">
        <v>0</v>
      </c>
      <c r="E205" s="248">
        <v>0</v>
      </c>
      <c r="G205" s="248">
        <f t="shared" si="19"/>
        <v>0</v>
      </c>
      <c r="I205" s="248">
        <v>-89.61</v>
      </c>
      <c r="K205" s="295">
        <f t="shared" si="18"/>
        <v>89.61</v>
      </c>
    </row>
    <row r="206" spans="2:19" ht="17" x14ac:dyDescent="0.2">
      <c r="B206" s="203"/>
      <c r="C206" s="3" t="s">
        <v>447</v>
      </c>
      <c r="E206" s="3" t="s">
        <v>449</v>
      </c>
      <c r="G206" s="25" t="s">
        <v>446</v>
      </c>
      <c r="I206" s="25" t="s">
        <v>39</v>
      </c>
      <c r="K206" s="25">
        <f>SUM(K170:K205)</f>
        <v>-3634.5131314059781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402</v>
      </c>
      <c r="C213" s="301">
        <v>0</v>
      </c>
      <c r="N213" s="241"/>
      <c r="O213" s="241"/>
    </row>
    <row r="214" spans="2:15" x14ac:dyDescent="0.2">
      <c r="B214" s="300" t="s">
        <v>403</v>
      </c>
      <c r="C214" s="301">
        <v>0</v>
      </c>
    </row>
    <row r="215" spans="2:15" x14ac:dyDescent="0.2">
      <c r="B215" s="300" t="s">
        <v>404</v>
      </c>
      <c r="C215" s="301">
        <f>Ore_to_PI!AA195</f>
        <v>80616.370239891301</v>
      </c>
    </row>
    <row r="216" spans="2:15" x14ac:dyDescent="0.2">
      <c r="B216" s="300" t="s">
        <v>536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515</v>
      </c>
      <c r="C217" s="301">
        <f>Ore_to_PI!AS113</f>
        <v>2824.8856477449194</v>
      </c>
    </row>
    <row r="218" spans="2:15" x14ac:dyDescent="0.2">
      <c r="B218" s="300" t="s">
        <v>514</v>
      </c>
      <c r="C218" s="301">
        <f>Ore_to_PI!AS190</f>
        <v>282.1287710315147</v>
      </c>
    </row>
    <row r="219" spans="2:15" x14ac:dyDescent="0.2">
      <c r="B219" s="300" t="s">
        <v>428</v>
      </c>
      <c r="C219" s="301">
        <f>Ore_to_PI!BL35</f>
        <v>12479.249680000003</v>
      </c>
    </row>
    <row r="220" spans="2:15" x14ac:dyDescent="0.2">
      <c r="B220" s="300" t="s">
        <v>425</v>
      </c>
      <c r="C220" s="301">
        <f>Ore_to_PI!BK116</f>
        <v>34.678095164114971</v>
      </c>
    </row>
    <row r="221" spans="2:15" x14ac:dyDescent="0.2">
      <c r="B221" s="300" t="s">
        <v>439</v>
      </c>
      <c r="C221" s="301">
        <f>Ore_to_PI!BK195</f>
        <v>50.358084153937838</v>
      </c>
    </row>
    <row r="222" spans="2:15" x14ac:dyDescent="0.2">
      <c r="B222" s="300" t="s">
        <v>426</v>
      </c>
      <c r="C222" s="301">
        <v>0</v>
      </c>
    </row>
    <row r="223" spans="2:15" x14ac:dyDescent="0.2">
      <c r="B223" s="300" t="s">
        <v>421</v>
      </c>
      <c r="C223" s="301">
        <v>0</v>
      </c>
    </row>
    <row r="224" spans="2:15" x14ac:dyDescent="0.2">
      <c r="B224" s="201" t="s">
        <v>635</v>
      </c>
      <c r="C224" s="301">
        <f>Ore_to_PI!DB229</f>
        <v>33191.859393697465</v>
      </c>
    </row>
    <row r="225" spans="2:11" x14ac:dyDescent="0.2">
      <c r="B225" s="201" t="s">
        <v>638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414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5" t="s">
        <v>407</v>
      </c>
      <c r="AD50" s="405"/>
      <c r="AE50" s="405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5" t="s">
        <v>405</v>
      </c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AD53" s="25"/>
      <c r="AE53" s="25"/>
      <c r="AF53" s="25"/>
      <c r="AG53" s="25"/>
      <c r="AH53" s="25"/>
      <c r="AI53" s="25"/>
    </row>
    <row r="58" spans="2:35" x14ac:dyDescent="0.2">
      <c r="C58" s="406"/>
      <c r="D58" s="406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5" t="s">
        <v>406</v>
      </c>
      <c r="D73" s="405"/>
      <c r="E73" s="405"/>
      <c r="F73" s="405"/>
      <c r="G73" s="405"/>
      <c r="H73" s="405"/>
      <c r="I73" s="405"/>
      <c r="J73" s="405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419</v>
      </c>
      <c r="C88" s="205"/>
      <c r="D88" s="205"/>
      <c r="E88" s="205"/>
      <c r="F88" s="205"/>
      <c r="G88" s="205"/>
    </row>
    <row r="89" spans="2:7" x14ac:dyDescent="0.2">
      <c r="B89" s="201" t="s">
        <v>420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5" t="s">
        <v>57</v>
      </c>
      <c r="D92" s="405"/>
      <c r="E92" s="405"/>
      <c r="F92" s="405"/>
      <c r="G92" s="40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5" t="s">
        <v>314</v>
      </c>
      <c r="E2" s="325"/>
      <c r="F2" s="325"/>
      <c r="G2" s="325"/>
      <c r="V2" s="164"/>
    </row>
    <row r="3" spans="2:22" x14ac:dyDescent="0.2">
      <c r="B3" s="3"/>
      <c r="C3" s="3"/>
      <c r="D3" s="430" t="s">
        <v>82</v>
      </c>
      <c r="E3" s="430"/>
      <c r="F3" s="430"/>
      <c r="G3" s="430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10" t="s">
        <v>4</v>
      </c>
      <c r="C4" s="3"/>
      <c r="D4" s="193" t="s">
        <v>360</v>
      </c>
      <c r="E4" s="193" t="s">
        <v>189</v>
      </c>
      <c r="F4" s="193" t="s">
        <v>176</v>
      </c>
      <c r="G4" s="193" t="s">
        <v>346</v>
      </c>
      <c r="I4" s="3"/>
      <c r="K4" s="3"/>
      <c r="L4" s="3"/>
      <c r="O4" s="164"/>
      <c r="P4" s="164"/>
      <c r="Q4" s="164"/>
      <c r="R4" s="407" t="s">
        <v>351</v>
      </c>
      <c r="S4" s="407"/>
      <c r="T4" s="407"/>
      <c r="U4" s="407"/>
      <c r="V4" s="164"/>
    </row>
    <row r="5" spans="2:22" ht="14.5" customHeight="1" x14ac:dyDescent="0.2">
      <c r="B5" s="410"/>
      <c r="C5" s="145" t="s">
        <v>337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7"/>
      <c r="S5" s="407"/>
      <c r="T5" s="407"/>
      <c r="U5" s="407"/>
      <c r="V5" s="164"/>
    </row>
    <row r="6" spans="2:22" x14ac:dyDescent="0.2">
      <c r="B6" s="410"/>
      <c r="C6" s="147" t="s">
        <v>607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7"/>
      <c r="S6" s="407"/>
      <c r="T6" s="407"/>
      <c r="U6" s="407"/>
      <c r="V6" s="164"/>
    </row>
    <row r="7" spans="2:22" ht="16" thickBot="1" x14ac:dyDescent="0.25">
      <c r="B7" s="410"/>
      <c r="C7" s="146" t="s">
        <v>395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8"/>
      <c r="S7" s="408"/>
      <c r="T7" s="408"/>
      <c r="U7" s="40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7" t="s">
        <v>350</v>
      </c>
      <c r="Q8" s="423"/>
      <c r="R8" s="425" t="s">
        <v>337</v>
      </c>
      <c r="S8" s="426"/>
      <c r="T8" s="411" t="s">
        <v>395</v>
      </c>
      <c r="U8" s="41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7"/>
      <c r="Q9" s="423"/>
      <c r="R9" s="427"/>
      <c r="S9" s="428"/>
      <c r="T9" s="413"/>
      <c r="U9" s="414"/>
      <c r="V9" s="164"/>
    </row>
    <row r="10" spans="2:22" x14ac:dyDescent="0.2">
      <c r="L10" s="3"/>
      <c r="M10" s="3"/>
      <c r="O10" s="164"/>
      <c r="P10" s="407"/>
      <c r="Q10" s="423"/>
      <c r="R10" s="427"/>
      <c r="S10" s="428"/>
      <c r="T10" s="413"/>
      <c r="U10" s="414"/>
      <c r="V10" s="164"/>
    </row>
    <row r="11" spans="2:22" x14ac:dyDescent="0.2">
      <c r="B11" s="3"/>
      <c r="C11" s="3"/>
      <c r="D11" s="325" t="s">
        <v>314</v>
      </c>
      <c r="E11" s="325"/>
      <c r="F11" s="325"/>
      <c r="G11" s="325"/>
      <c r="H11" s="325"/>
      <c r="L11" s="3"/>
      <c r="M11" s="3"/>
      <c r="O11" s="164"/>
      <c r="P11" s="407"/>
      <c r="Q11" s="423"/>
      <c r="R11" s="427"/>
      <c r="S11" s="428"/>
      <c r="T11" s="413"/>
      <c r="U11" s="414"/>
      <c r="V11" s="164"/>
    </row>
    <row r="12" spans="2:22" x14ac:dyDescent="0.2">
      <c r="B12" s="3"/>
      <c r="C12" s="3"/>
      <c r="D12" s="430" t="s">
        <v>82</v>
      </c>
      <c r="E12" s="430"/>
      <c r="F12" s="430"/>
      <c r="G12" s="430"/>
      <c r="H12" s="430"/>
      <c r="L12" s="3"/>
      <c r="M12" s="3"/>
      <c r="O12" s="164"/>
      <c r="P12" s="424" t="s">
        <v>394</v>
      </c>
      <c r="Q12" s="423"/>
      <c r="R12" s="419" t="s">
        <v>313</v>
      </c>
      <c r="S12" s="420"/>
      <c r="T12" s="415" t="s">
        <v>607</v>
      </c>
      <c r="U12" s="416"/>
      <c r="V12" s="164"/>
    </row>
    <row r="13" spans="2:22" ht="14.5" customHeight="1" x14ac:dyDescent="0.2">
      <c r="B13" s="409" t="s">
        <v>20</v>
      </c>
      <c r="C13" s="3"/>
      <c r="D13" s="194" t="s">
        <v>360</v>
      </c>
      <c r="E13" s="194" t="s">
        <v>189</v>
      </c>
      <c r="F13" s="194" t="s">
        <v>176</v>
      </c>
      <c r="G13" s="194" t="s">
        <v>346</v>
      </c>
      <c r="H13" s="194" t="s">
        <v>347</v>
      </c>
      <c r="J13" s="3"/>
      <c r="L13" s="3"/>
      <c r="M13" s="3"/>
      <c r="O13" s="164"/>
      <c r="P13" s="407"/>
      <c r="Q13" s="423"/>
      <c r="R13" s="419"/>
      <c r="S13" s="420"/>
      <c r="T13" s="415"/>
      <c r="U13" s="416"/>
      <c r="V13" s="164"/>
    </row>
    <row r="14" spans="2:22" x14ac:dyDescent="0.2">
      <c r="B14" s="409"/>
      <c r="C14" s="145" t="s">
        <v>337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7"/>
      <c r="Q14" s="423"/>
      <c r="R14" s="419"/>
      <c r="S14" s="420"/>
      <c r="T14" s="415"/>
      <c r="U14" s="416"/>
      <c r="V14" s="164"/>
    </row>
    <row r="15" spans="2:22" ht="16" thickBot="1" x14ac:dyDescent="0.25">
      <c r="B15" s="409"/>
      <c r="C15" s="147" t="s">
        <v>607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0.17251310939252748</v>
      </c>
      <c r="J15" s="3"/>
      <c r="L15" s="3"/>
      <c r="M15" s="3"/>
      <c r="O15" s="164"/>
      <c r="P15" s="407"/>
      <c r="Q15" s="423"/>
      <c r="R15" s="421"/>
      <c r="S15" s="422"/>
      <c r="T15" s="417"/>
      <c r="U15" s="418"/>
      <c r="V15" s="164"/>
    </row>
    <row r="16" spans="2:22" x14ac:dyDescent="0.2">
      <c r="B16" s="409"/>
      <c r="C16" s="146" t="s">
        <v>395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0.12213695771931468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5" t="s">
        <v>314</v>
      </c>
      <c r="E19" s="325"/>
      <c r="F19" s="325"/>
      <c r="G19" s="325"/>
      <c r="L19" s="3"/>
      <c r="M19" s="3"/>
    </row>
    <row r="20" spans="2:13" x14ac:dyDescent="0.2">
      <c r="B20" s="3"/>
      <c r="C20" s="3"/>
      <c r="D20" s="430" t="s">
        <v>82</v>
      </c>
      <c r="E20" s="430"/>
      <c r="F20" s="430"/>
      <c r="G20" s="430"/>
      <c r="K20" s="3"/>
      <c r="L20" s="3"/>
    </row>
    <row r="21" spans="2:13" x14ac:dyDescent="0.2">
      <c r="B21" s="431" t="s">
        <v>349</v>
      </c>
      <c r="C21" s="3"/>
      <c r="D21" s="154" t="s">
        <v>360</v>
      </c>
      <c r="E21" s="154" t="s">
        <v>189</v>
      </c>
      <c r="F21" s="154" t="s">
        <v>176</v>
      </c>
      <c r="G21" s="154" t="s">
        <v>371</v>
      </c>
      <c r="I21" s="3"/>
      <c r="K21" s="3"/>
      <c r="L21" s="3"/>
    </row>
    <row r="22" spans="2:13" x14ac:dyDescent="0.2">
      <c r="B22" s="431"/>
      <c r="C22" s="145" t="s">
        <v>337</v>
      </c>
      <c r="D22" s="3">
        <f>Bejan_MEROI_Coal</f>
        <v>109.11285414380214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31"/>
      <c r="C23" s="147" t="s">
        <v>607</v>
      </c>
      <c r="D23" s="3">
        <f>Rational_MEROI_Coal</f>
        <v>109.79233724881615</v>
      </c>
      <c r="E23" s="3">
        <f>Rational_CoalExtraction</f>
        <v>0.98904119275539903</v>
      </c>
      <c r="F23" s="3">
        <f>Rational_CoalHauling</f>
        <v>0.99996814476425233</v>
      </c>
      <c r="G23" s="3">
        <f>Rational_Cokeoven</f>
        <v>0.60230735828677828</v>
      </c>
      <c r="I23" s="3"/>
      <c r="K23" s="3"/>
      <c r="L23" s="3"/>
    </row>
    <row r="24" spans="2:13" x14ac:dyDescent="0.2">
      <c r="B24" s="431"/>
      <c r="C24" s="146" t="s">
        <v>395</v>
      </c>
      <c r="D24" s="163">
        <f>Resource_MEROI_Coal</f>
        <v>109.79233073405253</v>
      </c>
      <c r="E24" s="3">
        <f>Resource_CoalExtraction</f>
        <v>0.98838817763635167</v>
      </c>
      <c r="F24" s="3">
        <f>Resource_CoalHauling</f>
        <v>0.99937548336990578</v>
      </c>
      <c r="G24" s="3">
        <f>Resource_CokeBeneficiation</f>
        <v>0.32917976309123737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9" t="s">
        <v>391</v>
      </c>
      <c r="D30" s="192" t="s">
        <v>81</v>
      </c>
      <c r="E30" s="192" t="s">
        <v>348</v>
      </c>
    </row>
    <row r="31" spans="2:13" x14ac:dyDescent="0.2">
      <c r="B31" s="429"/>
      <c r="C31" s="145" t="s">
        <v>337</v>
      </c>
      <c r="D31" s="3" t="s">
        <v>98</v>
      </c>
      <c r="E31" s="3" t="str">
        <f>Bejan_BF</f>
        <v>[-]</v>
      </c>
    </row>
    <row r="32" spans="2:13" x14ac:dyDescent="0.2">
      <c r="B32" s="429"/>
      <c r="C32" s="147" t="s">
        <v>607</v>
      </c>
      <c r="D32" s="3">
        <f>Rational_mixer</f>
        <v>0.99243862980242414</v>
      </c>
      <c r="E32" s="3">
        <f>Rational_BF</f>
        <v>0.3806036077801323</v>
      </c>
    </row>
    <row r="33" spans="2:5" x14ac:dyDescent="0.2">
      <c r="B33" s="429"/>
      <c r="C33" s="146" t="s">
        <v>395</v>
      </c>
      <c r="D33" s="3">
        <f>Resource_Mixer</f>
        <v>1.1245286096249765E-2</v>
      </c>
      <c r="E33" s="3">
        <f>Resource_BF</f>
        <v>0.34027890919062509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606</v>
      </c>
    </row>
    <row r="38" spans="2:5" ht="18" x14ac:dyDescent="0.25">
      <c r="B38" s="294" t="s">
        <v>605</v>
      </c>
      <c r="C38" s="3">
        <f>E_tot/(Ore_to_PI!FL126/1000)</f>
        <v>25472106.046493623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352</v>
      </c>
      <c r="F3" s="432"/>
      <c r="G3" s="432"/>
      <c r="H3"/>
      <c r="I3"/>
      <c r="L3" s="405" t="s">
        <v>431</v>
      </c>
      <c r="M3" s="405"/>
      <c r="N3" s="405"/>
      <c r="P3"/>
      <c r="T3" s="169" t="s">
        <v>430</v>
      </c>
    </row>
    <row r="4" spans="3:20" ht="16" thickBot="1" x14ac:dyDescent="0.25">
      <c r="E4" s="430" t="s">
        <v>11</v>
      </c>
      <c r="F4" s="430"/>
      <c r="G4" s="430"/>
      <c r="H4"/>
      <c r="I4"/>
      <c r="L4" s="430" t="s">
        <v>48</v>
      </c>
      <c r="M4" s="430"/>
      <c r="N4" s="430"/>
      <c r="P4"/>
      <c r="T4" s="3" t="s">
        <v>48</v>
      </c>
    </row>
    <row r="5" spans="3:20" ht="14.5" customHeight="1" thickBot="1" x14ac:dyDescent="0.25">
      <c r="C5" s="410" t="s">
        <v>4</v>
      </c>
      <c r="E5" s="150" t="s">
        <v>346</v>
      </c>
      <c r="F5" s="151" t="s">
        <v>81</v>
      </c>
      <c r="G5" s="152" t="s">
        <v>348</v>
      </c>
      <c r="L5" s="193" t="s">
        <v>189</v>
      </c>
      <c r="M5" s="193" t="s">
        <v>176</v>
      </c>
      <c r="N5" s="193" t="s">
        <v>346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27166040.45263613</v>
      </c>
    </row>
    <row r="6" spans="3:20" x14ac:dyDescent="0.2">
      <c r="C6" s="410"/>
      <c r="D6" s="153" t="s">
        <v>353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1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5" t="s">
        <v>431</v>
      </c>
      <c r="M9" s="405"/>
      <c r="N9" s="405"/>
      <c r="O9" s="405"/>
    </row>
    <row r="10" spans="3:20" x14ac:dyDescent="0.2">
      <c r="E10" s="432" t="s">
        <v>352</v>
      </c>
      <c r="F10" s="432"/>
      <c r="L10" s="430" t="s">
        <v>48</v>
      </c>
      <c r="M10" s="430"/>
      <c r="N10" s="430"/>
      <c r="O10" s="430"/>
    </row>
    <row r="11" spans="3:20" x14ac:dyDescent="0.2">
      <c r="E11" s="430" t="s">
        <v>11</v>
      </c>
      <c r="F11" s="430"/>
      <c r="L11" s="194" t="s">
        <v>189</v>
      </c>
      <c r="M11" s="194" t="s">
        <v>176</v>
      </c>
      <c r="N11" s="194" t="s">
        <v>346</v>
      </c>
      <c r="O11" s="194" t="s">
        <v>347</v>
      </c>
      <c r="P11"/>
    </row>
    <row r="12" spans="3:20" x14ac:dyDescent="0.2">
      <c r="C12" s="409" t="s">
        <v>20</v>
      </c>
      <c r="E12" s="148" t="s">
        <v>346</v>
      </c>
      <c r="F12" s="149" t="s">
        <v>347</v>
      </c>
      <c r="K12" s="223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99821.043389412342</v>
      </c>
      <c r="P12"/>
    </row>
    <row r="13" spans="3:20" ht="14.5" customHeight="1" x14ac:dyDescent="0.2">
      <c r="C13" s="409"/>
      <c r="D13" s="153" t="s">
        <v>353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9"/>
      <c r="D14" s="153" t="s">
        <v>23</v>
      </c>
      <c r="E14" s="3" t="s">
        <v>98</v>
      </c>
      <c r="F14" s="3">
        <f>Kiln_H2OWaste</f>
        <v>84.513558569455128</v>
      </c>
      <c r="L14" s="405" t="s">
        <v>431</v>
      </c>
      <c r="M14" s="405"/>
      <c r="N14" s="405"/>
    </row>
    <row r="15" spans="3:20" x14ac:dyDescent="0.2">
      <c r="C15" s="409"/>
      <c r="D15" s="3" t="s">
        <v>19</v>
      </c>
      <c r="E15" s="17">
        <f>SUM(E13:E14)</f>
        <v>0</v>
      </c>
      <c r="F15" s="17">
        <f>SUM(F13:F14)</f>
        <v>89.498311114553246</v>
      </c>
      <c r="L15" s="430" t="s">
        <v>48</v>
      </c>
      <c r="M15" s="430"/>
      <c r="N15" s="430"/>
    </row>
    <row r="16" spans="3:20" x14ac:dyDescent="0.2">
      <c r="L16" s="154" t="s">
        <v>189</v>
      </c>
      <c r="M16" s="154" t="s">
        <v>176</v>
      </c>
      <c r="N16" s="154" t="s">
        <v>371</v>
      </c>
    </row>
    <row r="17" spans="3:16" x14ac:dyDescent="0.2">
      <c r="K17" s="224" t="s">
        <v>349</v>
      </c>
      <c r="L17" s="3">
        <f>B_lost_coal_ext</f>
        <v>598.81969608995871</v>
      </c>
      <c r="M17" s="3">
        <f>B_lost_coal_haul</f>
        <v>282.12877103127539</v>
      </c>
      <c r="N17" s="3">
        <f>B_lost_coke_oven</f>
        <v>8697712.4326661415</v>
      </c>
    </row>
    <row r="18" spans="3:16" x14ac:dyDescent="0.2">
      <c r="E18" s="169" t="s">
        <v>352</v>
      </c>
    </row>
    <row r="19" spans="3:16" ht="17" x14ac:dyDescent="0.25">
      <c r="E19" s="28" t="s">
        <v>11</v>
      </c>
      <c r="L19" s="405" t="s">
        <v>431</v>
      </c>
      <c r="M19" s="405"/>
    </row>
    <row r="20" spans="3:16" x14ac:dyDescent="0.2">
      <c r="C20" s="431" t="s">
        <v>349</v>
      </c>
      <c r="E20" s="154" t="s">
        <v>346</v>
      </c>
      <c r="L20" s="430" t="s">
        <v>48</v>
      </c>
      <c r="M20" s="430"/>
    </row>
    <row r="21" spans="3:16" ht="14.5" customHeight="1" x14ac:dyDescent="0.2">
      <c r="C21" s="431"/>
      <c r="D21" s="153" t="s">
        <v>353</v>
      </c>
      <c r="E21" s="3">
        <f>Beneficiation_CoalWaste</f>
        <v>25.253201846716312</v>
      </c>
      <c r="L21" s="192" t="s">
        <v>81</v>
      </c>
      <c r="M21" s="192" t="s">
        <v>348</v>
      </c>
      <c r="P21"/>
    </row>
    <row r="22" spans="3:16" ht="17" customHeight="1" x14ac:dyDescent="0.25">
      <c r="C22" s="431"/>
      <c r="D22" s="153" t="s">
        <v>23</v>
      </c>
      <c r="E22" s="3" t="s">
        <v>98</v>
      </c>
      <c r="K22" s="221" t="s">
        <v>391</v>
      </c>
      <c r="L22" s="3">
        <f>B_lost_mixer</f>
        <v>0</v>
      </c>
      <c r="M22" s="3">
        <f>B_lost_blast_furnace</f>
        <v>492730.72808434837</v>
      </c>
    </row>
    <row r="23" spans="3:16" x14ac:dyDescent="0.2">
      <c r="C23" s="431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24" t="s">
        <v>70</v>
      </c>
      <c r="I2" s="324"/>
      <c r="J2" s="324"/>
      <c r="K2" s="324"/>
      <c r="L2" s="324"/>
      <c r="M2" s="32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24" t="s">
        <v>74</v>
      </c>
      <c r="I3" s="324"/>
      <c r="J3" s="324"/>
      <c r="K3" s="13"/>
      <c r="L3" s="332" t="s">
        <v>75</v>
      </c>
      <c r="M3" s="332"/>
      <c r="N3" s="7"/>
      <c r="AN3" s="440" t="s">
        <v>78</v>
      </c>
      <c r="AO3" s="440"/>
      <c r="AP3" s="440"/>
      <c r="AQ3" s="440"/>
      <c r="AR3" s="440"/>
      <c r="AS3" s="440"/>
      <c r="AT3" s="440"/>
      <c r="AU3" s="440"/>
      <c r="AV3" s="440"/>
      <c r="AW3" s="440"/>
      <c r="AX3" s="440"/>
      <c r="AY3" s="440"/>
      <c r="AZ3" s="440"/>
      <c r="BA3" s="440"/>
      <c r="BB3" s="440"/>
      <c r="BC3" s="440"/>
      <c r="BD3" s="440"/>
      <c r="BE3" s="440"/>
      <c r="BF3" s="440"/>
      <c r="BG3" s="440"/>
      <c r="BH3" s="440"/>
      <c r="BI3" s="440"/>
      <c r="BJ3" s="440"/>
      <c r="BK3" s="440"/>
    </row>
    <row r="4" spans="3:69" ht="17" x14ac:dyDescent="0.25">
      <c r="C4" s="13" t="s">
        <v>11</v>
      </c>
      <c r="D4" s="13" t="s">
        <v>76</v>
      </c>
      <c r="E4" s="13"/>
      <c r="F4" s="13"/>
      <c r="AN4" s="440"/>
      <c r="AO4" s="440"/>
      <c r="AP4" s="440"/>
      <c r="AQ4" s="440"/>
      <c r="AR4" s="440"/>
      <c r="AS4" s="440"/>
      <c r="AT4" s="440"/>
      <c r="AU4" s="440"/>
      <c r="AV4" s="440"/>
      <c r="AW4" s="440"/>
      <c r="AX4" s="440"/>
      <c r="AY4" s="440"/>
      <c r="AZ4" s="440"/>
      <c r="BA4" s="440"/>
      <c r="BB4" s="440"/>
      <c r="BC4" s="440"/>
      <c r="BD4" s="440"/>
      <c r="BE4" s="440"/>
      <c r="BF4" s="440"/>
      <c r="BG4" s="440"/>
      <c r="BH4" s="440"/>
      <c r="BI4" s="440"/>
      <c r="BJ4" s="440"/>
      <c r="BK4" s="44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2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24"/>
      <c r="J5" s="324"/>
      <c r="K5" s="324"/>
      <c r="L5" s="324"/>
      <c r="M5" s="324"/>
      <c r="AN5" s="440"/>
      <c r="AO5" s="440"/>
      <c r="AP5" s="440"/>
      <c r="AQ5" s="440"/>
      <c r="AR5" s="440"/>
      <c r="AS5" s="440"/>
      <c r="AT5" s="440"/>
      <c r="AU5" s="440"/>
      <c r="AV5" s="440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9">
        <v>6</v>
      </c>
      <c r="BJ10" s="439"/>
      <c r="BK10" s="439"/>
      <c r="BL10" s="439"/>
      <c r="BM10" s="439"/>
      <c r="BN10" s="439"/>
      <c r="BO10" s="439"/>
      <c r="BP10" s="439"/>
      <c r="BQ10" s="43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9"/>
      <c r="BJ11" s="439"/>
      <c r="BK11" s="439"/>
      <c r="BL11" s="439"/>
      <c r="BM11" s="439"/>
      <c r="BN11" s="439"/>
      <c r="BO11" s="439"/>
      <c r="BP11" s="439"/>
      <c r="BQ11" s="43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6" t="s">
        <v>112</v>
      </c>
    </row>
    <row r="18" spans="3:87" ht="18.5" customHeight="1" x14ac:dyDescent="0.25">
      <c r="BI18" s="43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4">
        <v>1</v>
      </c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1"/>
      <c r="Q28" s="1"/>
      <c r="R28" s="1"/>
      <c r="S28" s="1"/>
      <c r="T28" s="1"/>
      <c r="U28" s="1"/>
      <c r="V28" s="1"/>
      <c r="W28" s="433">
        <v>3</v>
      </c>
      <c r="X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4">
        <v>4</v>
      </c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T28" s="434">
        <v>5</v>
      </c>
      <c r="BU28" s="434"/>
      <c r="BV28" s="434"/>
      <c r="BW28" s="434"/>
      <c r="BX28" s="434"/>
      <c r="BY28" s="434"/>
      <c r="BZ28" s="434"/>
      <c r="CA28" s="434"/>
      <c r="CB28" s="434"/>
      <c r="CC28" s="434"/>
      <c r="CD28" s="434"/>
      <c r="CE28" s="434"/>
      <c r="CF28" s="434"/>
      <c r="CG28" s="434"/>
      <c r="CH28" s="434"/>
      <c r="CI28" s="43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341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342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7" t="s">
        <v>80</v>
      </c>
      <c r="AK37" s="437"/>
      <c r="AL37" s="437"/>
      <c r="AM37" s="437"/>
      <c r="AN37" s="437"/>
      <c r="AO37" s="43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7" t="s">
        <v>81</v>
      </c>
      <c r="S38" s="437"/>
      <c r="T38" s="437"/>
      <c r="U38" s="43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37"/>
      <c r="AK38" s="437"/>
      <c r="AL38" s="437"/>
      <c r="AM38" s="437"/>
      <c r="AN38" s="437"/>
      <c r="AO38" s="43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3437.8613375431123</v>
      </c>
      <c r="BL38" s="437" t="s">
        <v>97</v>
      </c>
      <c r="BM38" s="437"/>
      <c r="BN38" s="437"/>
      <c r="BO38" s="43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7"/>
      <c r="S39" s="437"/>
      <c r="T39" s="437"/>
      <c r="U39" s="43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7"/>
      <c r="AK39" s="437"/>
      <c r="AL39" s="437"/>
      <c r="AM39" s="437"/>
      <c r="AN39" s="437"/>
      <c r="AO39" s="437"/>
      <c r="AP39" s="51"/>
      <c r="AQ39" s="51"/>
      <c r="AR39" s="1"/>
      <c r="AS39" s="1"/>
      <c r="AT39" s="1"/>
      <c r="AU39" s="1"/>
      <c r="AV39" s="1"/>
      <c r="AW39" s="1"/>
      <c r="AX39" s="1"/>
      <c r="BL39" s="437"/>
      <c r="BM39" s="437"/>
      <c r="BN39" s="437"/>
      <c r="BO39" s="43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7"/>
      <c r="S40" s="437"/>
      <c r="T40" s="437"/>
      <c r="U40" s="43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7"/>
      <c r="AK40" s="437"/>
      <c r="AL40" s="437"/>
      <c r="AM40" s="437"/>
      <c r="AN40" s="437"/>
      <c r="AO40" s="437"/>
      <c r="AP40" s="51"/>
      <c r="AQ40" s="51"/>
      <c r="AR40" s="1"/>
      <c r="AS40" s="56"/>
      <c r="AT40" s="1"/>
      <c r="AU40" s="1"/>
      <c r="AV40" s="1"/>
      <c r="AW40" s="1"/>
      <c r="AX40" s="1"/>
      <c r="BL40" s="437"/>
      <c r="BM40" s="437"/>
      <c r="BN40" s="437"/>
      <c r="BO40" s="43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7"/>
      <c r="AK41" s="437"/>
      <c r="AL41" s="437"/>
      <c r="AM41" s="437"/>
      <c r="AN41" s="437"/>
      <c r="AO41" s="43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344</v>
      </c>
      <c r="T42" s="371" t="s">
        <v>340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7"/>
      <c r="AK42" s="437"/>
      <c r="AL42" s="437"/>
      <c r="AM42" s="437"/>
      <c r="AN42" s="437"/>
      <c r="AO42" s="43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344</v>
      </c>
      <c r="BN42" s="358" t="s">
        <v>340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7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-39.810313197956589</v>
      </c>
      <c r="BI43" s="62">
        <f>BH43*$AW$46</f>
        <v>-26105.513941647405</v>
      </c>
      <c r="BJ43" s="1"/>
      <c r="BL43" s="111" t="s">
        <v>48</v>
      </c>
      <c r="BM43" s="6" t="s">
        <v>321</v>
      </c>
      <c r="BN43" s="35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337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323</v>
      </c>
      <c r="AL44" s="135" t="s">
        <v>344</v>
      </c>
      <c r="AM44" s="358" t="s">
        <v>340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1844.0540671306017</v>
      </c>
      <c r="BM44" s="13">
        <f>BH38-CH38</f>
        <v>0</v>
      </c>
      <c r="BN44" s="139" t="s">
        <v>337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338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321</v>
      </c>
      <c r="AM45" s="35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338</v>
      </c>
      <c r="BO45" s="103">
        <f>CI38/BI38</f>
        <v>0.46360429171687717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339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48181.61018752167</v>
      </c>
      <c r="AL46" s="13">
        <f>BH38-AF38</f>
        <v>0</v>
      </c>
      <c r="AM46" s="139" t="s">
        <v>337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5.2426601094565655</v>
      </c>
      <c r="BI46" s="17">
        <f>SUM(BI43:BI45)</f>
        <v>3437.8613375431123</v>
      </c>
      <c r="BL46" s="6"/>
      <c r="BM46" s="4"/>
      <c r="BN46" s="140" t="s">
        <v>339</v>
      </c>
      <c r="BO46" s="99">
        <f>CI42/BI43</f>
        <v>-3.475554366476058E-2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338</v>
      </c>
      <c r="AN47" s="103">
        <f>BI38/AG38</f>
        <v>6.6600087834564434E-2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339</v>
      </c>
      <c r="AN48" s="99">
        <f>BI43/AG38</f>
        <v>-0.50572997301941369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357</v>
      </c>
      <c r="Z56" s="1"/>
      <c r="AA56" s="1" t="s">
        <v>356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3">
        <v>2</v>
      </c>
      <c r="D57" s="433"/>
      <c r="E57" s="433"/>
      <c r="F57" s="433"/>
      <c r="G57" s="433"/>
      <c r="H57" s="433"/>
      <c r="I57" s="433"/>
      <c r="J57" s="433"/>
      <c r="K57" s="433"/>
      <c r="L57" s="433"/>
      <c r="M57" s="433"/>
      <c r="N57" s="433"/>
      <c r="O57" s="43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zoomScale="108" workbookViewId="0">
      <selection activeCell="I52" sqref="I52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5" t="s">
        <v>314</v>
      </c>
      <c r="E4" s="325"/>
      <c r="F4" s="325"/>
      <c r="G4" s="325"/>
      <c r="H4" s="164"/>
      <c r="I4" s="164"/>
      <c r="P4" s="164"/>
      <c r="Q4" s="164"/>
      <c r="R4" s="164"/>
      <c r="S4" s="407" t="s">
        <v>351</v>
      </c>
      <c r="T4" s="407"/>
      <c r="U4" s="407"/>
      <c r="V4" s="407"/>
      <c r="W4" s="164"/>
    </row>
    <row r="5" spans="1:23" x14ac:dyDescent="0.2">
      <c r="A5" s="164"/>
      <c r="B5" s="166"/>
      <c r="C5" s="166"/>
      <c r="D5" s="430" t="s">
        <v>82</v>
      </c>
      <c r="E5" s="430"/>
      <c r="F5" s="430"/>
      <c r="G5" s="430"/>
      <c r="H5" s="164"/>
      <c r="I5" s="164"/>
      <c r="P5" s="164"/>
      <c r="Q5" s="164"/>
      <c r="R5" s="164"/>
      <c r="S5" s="407"/>
      <c r="T5" s="407"/>
      <c r="U5" s="407"/>
      <c r="V5" s="407"/>
      <c r="W5" s="164"/>
    </row>
    <row r="6" spans="1:23" ht="15" customHeight="1" x14ac:dyDescent="0.2">
      <c r="A6" s="164"/>
      <c r="B6" s="410" t="s">
        <v>4</v>
      </c>
      <c r="C6" s="3"/>
      <c r="D6" s="193" t="s">
        <v>360</v>
      </c>
      <c r="E6" s="193" t="s">
        <v>189</v>
      </c>
      <c r="F6" s="193" t="s">
        <v>176</v>
      </c>
      <c r="G6" s="193" t="s">
        <v>346</v>
      </c>
      <c r="H6" s="164"/>
      <c r="I6" s="164"/>
      <c r="P6" s="164"/>
      <c r="Q6" s="164"/>
      <c r="R6" s="164"/>
      <c r="S6" s="407"/>
      <c r="T6" s="407"/>
      <c r="U6" s="407"/>
      <c r="V6" s="407"/>
      <c r="W6" s="164"/>
    </row>
    <row r="7" spans="1:23" ht="16" thickBot="1" x14ac:dyDescent="0.25">
      <c r="A7" s="164"/>
      <c r="B7" s="410"/>
      <c r="C7" s="145" t="s">
        <v>337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8"/>
      <c r="T7" s="408"/>
      <c r="U7" s="408"/>
      <c r="V7" s="408"/>
      <c r="W7" s="164"/>
    </row>
    <row r="8" spans="1:23" x14ac:dyDescent="0.2">
      <c r="A8" s="164"/>
      <c r="B8" s="410"/>
      <c r="C8" s="147" t="s">
        <v>338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7" t="s">
        <v>350</v>
      </c>
      <c r="R8" s="423"/>
      <c r="S8" s="425" t="s">
        <v>337</v>
      </c>
      <c r="T8" s="426"/>
      <c r="U8" s="411" t="s">
        <v>395</v>
      </c>
      <c r="V8" s="412"/>
      <c r="W8" s="164"/>
    </row>
    <row r="9" spans="1:23" x14ac:dyDescent="0.2">
      <c r="A9" s="164"/>
      <c r="B9" s="410"/>
      <c r="C9" s="146" t="s">
        <v>395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7"/>
      <c r="R9" s="423"/>
      <c r="S9" s="427"/>
      <c r="T9" s="428"/>
      <c r="U9" s="413"/>
      <c r="V9" s="414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7"/>
      <c r="R10" s="423"/>
      <c r="S10" s="427"/>
      <c r="T10" s="428"/>
      <c r="U10" s="413"/>
      <c r="V10" s="414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7"/>
      <c r="R11" s="423"/>
      <c r="S11" s="427"/>
      <c r="T11" s="428"/>
      <c r="U11" s="413"/>
      <c r="V11" s="414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41" t="s">
        <v>394</v>
      </c>
      <c r="R12" s="423"/>
      <c r="S12" s="419" t="s">
        <v>313</v>
      </c>
      <c r="T12" s="420"/>
      <c r="U12" s="415" t="s">
        <v>338</v>
      </c>
      <c r="V12" s="416"/>
      <c r="W12" s="164"/>
    </row>
    <row r="13" spans="1:23" x14ac:dyDescent="0.2">
      <c r="A13" s="164"/>
      <c r="B13" s="166"/>
      <c r="C13" s="166"/>
      <c r="D13" s="325" t="s">
        <v>314</v>
      </c>
      <c r="E13" s="325"/>
      <c r="F13" s="325"/>
      <c r="G13" s="325"/>
      <c r="H13" s="325"/>
      <c r="I13" s="164"/>
      <c r="P13" s="164"/>
      <c r="Q13" s="407"/>
      <c r="R13" s="423"/>
      <c r="S13" s="419"/>
      <c r="T13" s="420"/>
      <c r="U13" s="415"/>
      <c r="V13" s="416"/>
      <c r="W13" s="164"/>
    </row>
    <row r="14" spans="1:23" ht="15" customHeight="1" x14ac:dyDescent="0.2">
      <c r="A14" s="164"/>
      <c r="B14" s="166"/>
      <c r="C14" s="166"/>
      <c r="D14" s="430" t="s">
        <v>82</v>
      </c>
      <c r="E14" s="430"/>
      <c r="F14" s="430"/>
      <c r="G14" s="430"/>
      <c r="H14" s="430"/>
      <c r="I14" s="164"/>
      <c r="P14" s="164"/>
      <c r="Q14" s="407"/>
      <c r="R14" s="423"/>
      <c r="S14" s="419"/>
      <c r="T14" s="420"/>
      <c r="U14" s="415"/>
      <c r="V14" s="416"/>
      <c r="W14" s="164"/>
    </row>
    <row r="15" spans="1:23" ht="16" thickBot="1" x14ac:dyDescent="0.25">
      <c r="A15" s="164"/>
      <c r="B15" s="409" t="s">
        <v>20</v>
      </c>
      <c r="C15" s="3"/>
      <c r="D15" s="194" t="s">
        <v>360</v>
      </c>
      <c r="E15" s="194" t="s">
        <v>189</v>
      </c>
      <c r="F15" s="194" t="s">
        <v>176</v>
      </c>
      <c r="G15" s="194" t="s">
        <v>346</v>
      </c>
      <c r="H15" s="194" t="s">
        <v>347</v>
      </c>
      <c r="I15" s="164"/>
      <c r="P15" s="164"/>
      <c r="Q15" s="407"/>
      <c r="R15" s="423"/>
      <c r="S15" s="421"/>
      <c r="T15" s="422"/>
      <c r="U15" s="417"/>
      <c r="V15" s="418"/>
      <c r="W15" s="164"/>
    </row>
    <row r="16" spans="1:23" x14ac:dyDescent="0.2">
      <c r="A16" s="164"/>
      <c r="B16" s="409"/>
      <c r="C16" s="145" t="s">
        <v>337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9"/>
      <c r="C17" s="147" t="s">
        <v>338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0.17251310939252748</v>
      </c>
      <c r="I17" s="164"/>
    </row>
    <row r="18" spans="1:12" x14ac:dyDescent="0.2">
      <c r="A18" s="164"/>
      <c r="B18" s="409"/>
      <c r="C18" s="146" t="s">
        <v>395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0.12213695771931468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434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5" t="s">
        <v>314</v>
      </c>
      <c r="E21" s="325"/>
      <c r="F21" s="325"/>
      <c r="G21" s="325"/>
      <c r="H21" s="164"/>
      <c r="I21" s="164"/>
    </row>
    <row r="22" spans="1:12" ht="15" customHeight="1" x14ac:dyDescent="0.2">
      <c r="A22" s="164"/>
      <c r="B22" s="166"/>
      <c r="C22" s="166"/>
      <c r="D22" s="430" t="s">
        <v>82</v>
      </c>
      <c r="E22" s="430"/>
      <c r="F22" s="430"/>
      <c r="G22" s="430"/>
      <c r="H22" s="164"/>
      <c r="I22" s="164"/>
    </row>
    <row r="23" spans="1:12" x14ac:dyDescent="0.2">
      <c r="A23" s="164"/>
      <c r="B23" s="431" t="s">
        <v>349</v>
      </c>
      <c r="C23" s="3"/>
      <c r="D23" s="154" t="s">
        <v>360</v>
      </c>
      <c r="E23" s="154" t="s">
        <v>189</v>
      </c>
      <c r="F23" s="154" t="s">
        <v>176</v>
      </c>
      <c r="G23" s="154" t="s">
        <v>371</v>
      </c>
      <c r="H23" s="164"/>
      <c r="I23" s="164"/>
    </row>
    <row r="24" spans="1:12" x14ac:dyDescent="0.2">
      <c r="A24" s="164"/>
      <c r="B24" s="431"/>
      <c r="C24" s="145" t="s">
        <v>337</v>
      </c>
      <c r="D24" s="3">
        <f>Bejan_MEROI_Coal</f>
        <v>109.11285414380214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31"/>
      <c r="C25" s="147" t="s">
        <v>338</v>
      </c>
      <c r="D25" s="3">
        <f>Rational_MEROI_Coal</f>
        <v>109.79233724881615</v>
      </c>
      <c r="E25" s="3">
        <f>Rational_CoalExtraction</f>
        <v>0.98904119275539903</v>
      </c>
      <c r="F25" s="3">
        <f>Rational_CoalHauling</f>
        <v>0.99996814476425233</v>
      </c>
      <c r="G25" s="3">
        <f>Rational_Cokeoven</f>
        <v>0.60230735828677828</v>
      </c>
      <c r="H25" s="164"/>
      <c r="I25" s="164"/>
    </row>
    <row r="26" spans="1:12" x14ac:dyDescent="0.2">
      <c r="A26" s="164"/>
      <c r="B26" s="431"/>
      <c r="C26" s="146" t="s">
        <v>395</v>
      </c>
      <c r="D26" s="163">
        <f>Resource_MEROI_Coal</f>
        <v>109.79233073405253</v>
      </c>
      <c r="E26" s="3">
        <f>Resource_CoalExtraction</f>
        <v>0.98838817763635167</v>
      </c>
      <c r="F26" s="3">
        <f>Resource_CoalHauling</f>
        <v>0.99937548336990578</v>
      </c>
      <c r="G26" s="3">
        <f>Resource_CokeBeneficiation</f>
        <v>0.32917976309123737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9" t="s">
        <v>391</v>
      </c>
      <c r="D32" s="192" t="s">
        <v>81</v>
      </c>
      <c r="E32" s="192" t="s">
        <v>348</v>
      </c>
      <c r="F32" s="164"/>
      <c r="G32" s="164"/>
      <c r="H32" s="164"/>
      <c r="I32" s="164"/>
    </row>
    <row r="33" spans="1:9" x14ac:dyDescent="0.2">
      <c r="A33" s="164"/>
      <c r="B33" s="429"/>
      <c r="C33" s="145" t="s">
        <v>337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9"/>
      <c r="C34" s="147" t="s">
        <v>338</v>
      </c>
      <c r="D34" s="3">
        <f>Rational_mixer</f>
        <v>0.99243862980242414</v>
      </c>
      <c r="E34" s="3">
        <f>Rational_BF</f>
        <v>0.3806036077801323</v>
      </c>
      <c r="F34" s="164"/>
      <c r="G34" s="164"/>
      <c r="H34" s="164"/>
      <c r="I34" s="164"/>
    </row>
    <row r="35" spans="1:9" x14ac:dyDescent="0.2">
      <c r="A35" s="164"/>
      <c r="B35" s="429"/>
      <c r="C35" s="146" t="s">
        <v>395</v>
      </c>
      <c r="D35" s="3">
        <f>Resource_Mixer</f>
        <v>1.1245286096249765E-2</v>
      </c>
      <c r="E35" s="3">
        <f>Resource_BF</f>
        <v>0.34027890919062509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653</v>
      </c>
      <c r="D50" s="201" t="s">
        <v>654</v>
      </c>
      <c r="E50" s="201" t="s">
        <v>655</v>
      </c>
    </row>
    <row r="51" spans="2:5" x14ac:dyDescent="0.2">
      <c r="B51" s="201" t="s">
        <v>402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 x14ac:dyDescent="0.2">
      <c r="B52" s="201" t="s">
        <v>403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 x14ac:dyDescent="0.2">
      <c r="B53" s="201" t="s">
        <v>404</v>
      </c>
      <c r="C53" s="3">
        <f>Bejan_CoalExtraction</f>
        <v>0</v>
      </c>
      <c r="D53" s="3">
        <f>Rational_CoalExtraction</f>
        <v>0.98904119275539903</v>
      </c>
      <c r="E53" s="3">
        <f>Resource_CoalExtraction</f>
        <v>0.98838817763635167</v>
      </c>
    </row>
    <row r="54" spans="2:5" x14ac:dyDescent="0.2">
      <c r="B54" s="201" t="s">
        <v>536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1" t="s">
        <v>515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1" t="s">
        <v>514</v>
      </c>
      <c r="C56" s="3">
        <f>Bejan_CoalHauling</f>
        <v>0</v>
      </c>
      <c r="D56" s="3">
        <f>Rational_CoalHauling</f>
        <v>0.99996814476425233</v>
      </c>
      <c r="E56" s="3">
        <f>Resource_CoalHauling</f>
        <v>0.99937548336990578</v>
      </c>
    </row>
    <row r="57" spans="2:5" x14ac:dyDescent="0.2">
      <c r="B57" s="201" t="s">
        <v>428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1" t="s">
        <v>425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1" t="s">
        <v>439</v>
      </c>
      <c r="C59" s="3">
        <f>Bejan_CoalBeneficiation</f>
        <v>0</v>
      </c>
      <c r="D59" s="3">
        <f>Rational_Coalbeneficiation</f>
        <v>0.9999943139063141</v>
      </c>
      <c r="E59" s="3">
        <f>Resource_Coalbeneficiation</f>
        <v>0.99940163700203333</v>
      </c>
    </row>
    <row r="60" spans="2:5" x14ac:dyDescent="0.2">
      <c r="B60" s="201" t="s">
        <v>426</v>
      </c>
      <c r="C60" s="3" t="s">
        <v>378</v>
      </c>
      <c r="D60" s="3">
        <f>Rational_Kiln</f>
        <v>0.17251310939252748</v>
      </c>
      <c r="E60" s="3">
        <f>Resource_Kiln</f>
        <v>0.12213695771931468</v>
      </c>
    </row>
    <row r="61" spans="2:5" x14ac:dyDescent="0.2">
      <c r="B61" s="201" t="s">
        <v>421</v>
      </c>
      <c r="C61" s="3" t="s">
        <v>378</v>
      </c>
      <c r="D61" s="3">
        <f>Rational_Cokeoven</f>
        <v>0.60230735828677828</v>
      </c>
      <c r="E61" s="3">
        <f>Resource_Cokeoven</f>
        <v>0.32917976309123737</v>
      </c>
    </row>
    <row r="62" spans="2:5" x14ac:dyDescent="0.2">
      <c r="B62" s="201" t="s">
        <v>635</v>
      </c>
      <c r="C62" s="3">
        <f>Bejan_COGtreatment</f>
        <v>0.19607706784943255</v>
      </c>
      <c r="D62" s="3">
        <f>Rational_COGtreatment</f>
        <v>0.99606022128883631</v>
      </c>
      <c r="E62" s="3">
        <f>Resource_COGtreatment</f>
        <v>0.18245854571809561</v>
      </c>
    </row>
    <row r="63" spans="2:5" x14ac:dyDescent="0.2">
      <c r="B63" s="201" t="s">
        <v>638</v>
      </c>
      <c r="C63" s="3" t="s">
        <v>378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378</v>
      </c>
      <c r="D64" s="3">
        <f>Rational_mixer</f>
        <v>0.99243862980242414</v>
      </c>
      <c r="E64" s="3">
        <f>Resource_Mixer</f>
        <v>1.1245286096249765E-2</v>
      </c>
    </row>
    <row r="65" spans="2:5" x14ac:dyDescent="0.2">
      <c r="B65" s="201" t="s">
        <v>414</v>
      </c>
      <c r="C65" s="3" t="s">
        <v>378</v>
      </c>
      <c r="D65" s="3">
        <f>Rational_BF</f>
        <v>0.3806036077801323</v>
      </c>
      <c r="E65" s="3">
        <f>Resource_BF</f>
        <v>0.34027890919062509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366</vt:i4>
      </vt:variant>
    </vt:vector>
  </HeadingPairs>
  <TitlesOfParts>
    <vt:vector size="379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2025-07-24T18:46:12Z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