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https://calvincollege.sharepoint.com/sites/Exergy/Shared Documents/General/Paper Examples/"/>
    </mc:Choice>
  </mc:AlternateContent>
  <xr:revisionPtr revIDLastSave="1509" documentId="13_ncr:1_{39686040-57A4-234E-91F3-E634542D6EF7}" xr6:coauthVersionLast="47" xr6:coauthVersionMax="47" xr10:uidLastSave="{63112873-550D-754D-8048-8E4D295379B8}"/>
  <bookViews>
    <workbookView xWindow="0" yWindow="760" windowWidth="30240" windowHeight="18880" xr2:uid="{B56C0490-30AA-4047-9BD3-68F16EDF25FC}"/>
  </bookViews>
  <sheets>
    <sheet name="Draft 3 BF" sheetId="4" r:id="rId1"/>
    <sheet name="BF" sheetId="7" r:id="rId2"/>
    <sheet name="Constants" sheetId="3" r:id="rId3"/>
    <sheet name="Methane Combustion - EES" sheetId="8" r:id="rId4"/>
  </sheets>
  <definedNames>
    <definedName name="b_ch_C">Constants!$E$5</definedName>
    <definedName name="b_ch_Ca">Constants!$H$6</definedName>
    <definedName name="b_ch_CaCO3">Constants!$E$6</definedName>
    <definedName name="b_ch_CaO">Constants!$E$17</definedName>
    <definedName name="b_ch_CaSiO3">Constants!$E$7</definedName>
    <definedName name="b_ch_CH4">Constants!$E$18</definedName>
    <definedName name="b_ch_CO">Constants!$E$16</definedName>
    <definedName name="b_ch_CO2">Constants!$E$8</definedName>
    <definedName name="b_ch_Fe">Constants!$E$9</definedName>
    <definedName name="b_ch_Fe2O3">Constants!$E$10</definedName>
    <definedName name="b_ch_FeC">Constants!$E$15</definedName>
    <definedName name="b_ch_H2">Constants!$H$8</definedName>
    <definedName name="b_ch_H2O">Constants!$E$20</definedName>
    <definedName name="b_ch_N2">Constants!$E$19</definedName>
    <definedName name="b_ch_O">Constants!$E$11</definedName>
    <definedName name="b_ch_O2">Constants!$E$12</definedName>
    <definedName name="b_ch_Si">Constants!$E$13</definedName>
    <definedName name="b_ch_SiO2">Constants!$E$14</definedName>
    <definedName name="h_0_CO2">Constants!$R$5</definedName>
    <definedName name="h_0_H2O">Constants!$R$6</definedName>
    <definedName name="h_0_N2">Constants!$R$7</definedName>
    <definedName name="h_CO2">Constants!$P$5</definedName>
    <definedName name="h_H2O">Constants!$P$6</definedName>
    <definedName name="h_N2">Constants!$P$7</definedName>
    <definedName name="MW_C">Constants!$D$5</definedName>
    <definedName name="MW_CaCO3">Constants!$D$6</definedName>
    <definedName name="MW_CaO">Constants!$D$17</definedName>
    <definedName name="MW_CaSiO3">Constants!$D$7</definedName>
    <definedName name="MW_CH4">Constants!$D$18</definedName>
    <definedName name="MW_CO">Constants!$D$16</definedName>
    <definedName name="MW_CO2">Constants!$D$8</definedName>
    <definedName name="MW_Fe">Constants!$D$9</definedName>
    <definedName name="MW_Fe2O3">Constants!$D$10</definedName>
    <definedName name="MW_FeC">Constants!$D$15</definedName>
    <definedName name="MW_H2O">Constants!$D$20</definedName>
    <definedName name="MW_N2">Constants!$D$19</definedName>
    <definedName name="MW_O">Constants!$D$11</definedName>
    <definedName name="MW_O2">Constants!$D$12</definedName>
    <definedName name="MW_Si">Constants!$D$13</definedName>
    <definedName name="MW_SIO2">Constants!$D$14</definedName>
    <definedName name="RT0">Constants!$M$5</definedName>
    <definedName name="s_0_CO2">Constants!$S$5</definedName>
    <definedName name="s_0_H2O">Constants!$S$6</definedName>
    <definedName name="s_0_N2">Constants!$S$7</definedName>
    <definedName name="s_CO2">Constants!$Q$5</definedName>
    <definedName name="s_H2O">Constants!$Q$6</definedName>
    <definedName name="s_N2">Constants!$Q$7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X45" i="8" l="1"/>
  <c r="AX44" i="8"/>
  <c r="AX43" i="8"/>
  <c r="AV45" i="8"/>
  <c r="AV44" i="8"/>
  <c r="AV43" i="8"/>
  <c r="F48" i="8"/>
  <c r="F47" i="8"/>
  <c r="H48" i="8"/>
  <c r="H47" i="8"/>
  <c r="H37" i="8"/>
  <c r="N14" i="8"/>
  <c r="N13" i="8"/>
  <c r="N12" i="8"/>
  <c r="E14" i="8"/>
  <c r="E13" i="8"/>
  <c r="E12" i="8"/>
  <c r="F37" i="8" a="1"/>
  <c r="F37" i="8" s="1"/>
  <c r="E18" i="3"/>
  <c r="E16" i="3"/>
  <c r="E20" i="3"/>
  <c r="E19" i="3"/>
  <c r="D20" i="3"/>
  <c r="D19" i="3"/>
  <c r="D18" i="3"/>
  <c r="BQ16" i="8"/>
  <c r="BQ23" i="8"/>
  <c r="BQ21" i="8"/>
  <c r="BQ22" i="8"/>
  <c r="BQ20" i="8"/>
  <c r="CD43" i="8"/>
  <c r="CD42" i="8"/>
  <c r="CC43" i="8"/>
  <c r="CC42" i="8"/>
  <c r="CF43" i="8"/>
  <c r="CE43" i="8"/>
  <c r="CF42" i="8"/>
  <c r="CE42" i="8"/>
  <c r="CG43" i="8" l="1"/>
  <c r="CG42" i="8"/>
  <c r="D12" i="7" l="1"/>
  <c r="E12" i="7" s="1"/>
  <c r="D13" i="7"/>
  <c r="E13" i="7" s="1"/>
  <c r="E17" i="3"/>
  <c r="D17" i="3"/>
  <c r="I23" i="7" s="1"/>
  <c r="D16" i="3"/>
  <c r="I20" i="7" s="1"/>
  <c r="E22" i="7"/>
  <c r="E20" i="7" s="1"/>
  <c r="O13" i="7" s="1"/>
  <c r="K86" i="7"/>
  <c r="J86" i="7"/>
  <c r="K75" i="7"/>
  <c r="AG84" i="7"/>
  <c r="AG85" i="7" s="1"/>
  <c r="L85" i="7"/>
  <c r="AG73" i="7"/>
  <c r="AG74" i="7" s="1"/>
  <c r="L74" i="7"/>
  <c r="J74" i="7"/>
  <c r="J75" i="7" s="1"/>
  <c r="J63" i="7"/>
  <c r="AG62" i="7"/>
  <c r="J62" i="7"/>
  <c r="E25" i="7"/>
  <c r="O14" i="7" s="1"/>
  <c r="BO21" i="8"/>
  <c r="BO20" i="8"/>
  <c r="BF44" i="8"/>
  <c r="BE44" i="8"/>
  <c r="BF43" i="8"/>
  <c r="BE43" i="8"/>
  <c r="Q6" i="3"/>
  <c r="BD44" i="8" s="1"/>
  <c r="P7" i="3"/>
  <c r="BN22" i="8" s="1"/>
  <c r="P6" i="3"/>
  <c r="BC44" i="8" s="1"/>
  <c r="Q5" i="3"/>
  <c r="BD43" i="8" s="1"/>
  <c r="P5" i="3"/>
  <c r="BN20" i="8" s="1"/>
  <c r="Q7" i="3"/>
  <c r="BD45" i="8" s="1"/>
  <c r="S7" i="3"/>
  <c r="R7" i="3"/>
  <c r="D12" i="8"/>
  <c r="L5" i="3"/>
  <c r="K5" i="3"/>
  <c r="M5" i="3" l="1"/>
  <c r="BG44" i="8"/>
  <c r="CF44" i="8"/>
  <c r="CD44" i="8"/>
  <c r="BC45" i="8"/>
  <c r="CC44" i="8"/>
  <c r="CE44" i="8"/>
  <c r="M74" i="7"/>
  <c r="N74" i="7" s="1"/>
  <c r="BE45" i="8"/>
  <c r="BF45" i="8"/>
  <c r="BC43" i="8"/>
  <c r="BG43" i="8" s="1"/>
  <c r="M85" i="7"/>
  <c r="N85" i="7" s="1"/>
  <c r="O85" i="7" s="1"/>
  <c r="O86" i="7" s="1"/>
  <c r="BN21" i="8"/>
  <c r="BO22" i="8"/>
  <c r="AG63" i="7"/>
  <c r="J64" i="7"/>
  <c r="E37" i="8"/>
  <c r="E38" i="8" s="1"/>
  <c r="E15" i="3"/>
  <c r="E14" i="3"/>
  <c r="H63" i="7" s="1"/>
  <c r="E13" i="3"/>
  <c r="E12" i="3"/>
  <c r="E11" i="3"/>
  <c r="E10" i="3"/>
  <c r="H62" i="7" s="1"/>
  <c r="E9" i="3"/>
  <c r="AE62" i="7" s="1"/>
  <c r="AE63" i="7" s="1"/>
  <c r="E8" i="3"/>
  <c r="BX42" i="8" s="1"/>
  <c r="E7" i="3"/>
  <c r="AE73" i="7" s="1"/>
  <c r="AE74" i="7" s="1"/>
  <c r="E6" i="3"/>
  <c r="H74" i="7" s="1"/>
  <c r="H75" i="7" s="1"/>
  <c r="E5" i="3"/>
  <c r="H85" i="7" s="1"/>
  <c r="H86" i="7" s="1"/>
  <c r="BX43" i="8"/>
  <c r="BX44" i="8"/>
  <c r="BV43" i="8"/>
  <c r="BV44" i="8"/>
  <c r="E26" i="4"/>
  <c r="J34" i="4"/>
  <c r="I34" i="4" s="1"/>
  <c r="E25" i="4"/>
  <c r="F25" i="4" s="1"/>
  <c r="J35" i="4"/>
  <c r="I35" i="4" s="1"/>
  <c r="F72" i="4" s="1"/>
  <c r="E24" i="4"/>
  <c r="E23" i="4"/>
  <c r="F23" i="4" s="1"/>
  <c r="I108" i="4"/>
  <c r="I107" i="4"/>
  <c r="I106" i="4"/>
  <c r="J105" i="4"/>
  <c r="I105" i="4"/>
  <c r="P90" i="4"/>
  <c r="P89" i="4"/>
  <c r="P88" i="4"/>
  <c r="P86" i="4"/>
  <c r="P85" i="4"/>
  <c r="K78" i="4"/>
  <c r="L78" i="4" s="1"/>
  <c r="M78" i="4" s="1"/>
  <c r="N78" i="4" s="1"/>
  <c r="AC72" i="4"/>
  <c r="K72" i="4"/>
  <c r="L72" i="4" s="1"/>
  <c r="M72" i="4" s="1"/>
  <c r="N72" i="4" s="1"/>
  <c r="AC66" i="4"/>
  <c r="K66" i="4"/>
  <c r="L66" i="4" s="1"/>
  <c r="I66" i="4"/>
  <c r="I58" i="4"/>
  <c r="AC57" i="4"/>
  <c r="AC59" i="4" s="1"/>
  <c r="I57" i="4"/>
  <c r="D8" i="3"/>
  <c r="BV42" i="8" s="1"/>
  <c r="D7" i="3"/>
  <c r="D11" i="3"/>
  <c r="D13" i="3"/>
  <c r="D9" i="3"/>
  <c r="D12" i="3"/>
  <c r="D5" i="3"/>
  <c r="H35" i="4" s="1"/>
  <c r="D6" i="3"/>
  <c r="H34" i="4" s="1"/>
  <c r="D14" i="3"/>
  <c r="D10" i="3"/>
  <c r="CG44" i="8" l="1"/>
  <c r="CG45" i="8" s="1"/>
  <c r="BG45" i="8"/>
  <c r="N86" i="7"/>
  <c r="BG46" i="8"/>
  <c r="H64" i="7"/>
  <c r="AA43" i="8"/>
  <c r="AA45" i="8"/>
  <c r="Y43" i="8"/>
  <c r="F12" i="8"/>
  <c r="D5" i="8" s="1"/>
  <c r="I12" i="8" s="1"/>
  <c r="F38" i="8"/>
  <c r="Y45" i="8"/>
  <c r="BL22" i="8"/>
  <c r="AA72" i="4"/>
  <c r="I22" i="7"/>
  <c r="BL20" i="8"/>
  <c r="H32" i="4"/>
  <c r="I19" i="7"/>
  <c r="F12" i="7"/>
  <c r="G12" i="7" s="1"/>
  <c r="H36" i="4"/>
  <c r="Y44" i="8"/>
  <c r="BL21" i="8"/>
  <c r="AA66" i="4"/>
  <c r="I25" i="7"/>
  <c r="H33" i="4"/>
  <c r="I24" i="7"/>
  <c r="F13" i="7"/>
  <c r="G13" i="7" s="1"/>
  <c r="F14" i="7" s="1"/>
  <c r="H13" i="7" s="1"/>
  <c r="F24" i="7" s="1"/>
  <c r="AE84" i="7"/>
  <c r="AE85" i="7" s="1"/>
  <c r="AA57" i="4"/>
  <c r="I21" i="7"/>
  <c r="AA44" i="8"/>
  <c r="O74" i="7"/>
  <c r="O75" i="7" s="1"/>
  <c r="N75" i="7"/>
  <c r="M33" i="8"/>
  <c r="X43" i="8"/>
  <c r="G34" i="4"/>
  <c r="Z66" i="4"/>
  <c r="F26" i="4"/>
  <c r="Z72" i="4" s="1"/>
  <c r="F24" i="4"/>
  <c r="K18" i="4" s="1"/>
  <c r="F66" i="4"/>
  <c r="G24" i="4"/>
  <c r="G23" i="4"/>
  <c r="H23" i="4" s="1"/>
  <c r="G57" i="4"/>
  <c r="G58" i="4"/>
  <c r="G66" i="4"/>
  <c r="G78" i="4"/>
  <c r="G72" i="4"/>
  <c r="H72" i="4" s="1"/>
  <c r="O72" i="4" s="1"/>
  <c r="G26" i="4"/>
  <c r="G25" i="4"/>
  <c r="H25" i="4" s="1"/>
  <c r="AA58" i="4"/>
  <c r="E27" i="4"/>
  <c r="Z57" i="4"/>
  <c r="AB57" i="4" s="1"/>
  <c r="I59" i="4"/>
  <c r="K105" i="4"/>
  <c r="M66" i="4"/>
  <c r="N66" i="4" s="1"/>
  <c r="BL23" i="8" l="1"/>
  <c r="F34" i="4"/>
  <c r="AA59" i="4"/>
  <c r="AB66" i="4"/>
  <c r="AD66" i="4" s="1"/>
  <c r="AE66" i="4" s="1"/>
  <c r="AF66" i="4" s="1"/>
  <c r="AG66" i="4" s="1"/>
  <c r="AH66" i="4" s="1"/>
  <c r="AI66" i="4" s="1"/>
  <c r="AB72" i="4"/>
  <c r="AD72" i="4" s="1"/>
  <c r="AE72" i="4" s="1"/>
  <c r="AF72" i="4" s="1"/>
  <c r="AG72" i="4" s="1"/>
  <c r="AH72" i="4" s="1"/>
  <c r="AI72" i="4" s="1"/>
  <c r="G14" i="7"/>
  <c r="G37" i="8"/>
  <c r="I37" i="8" s="1"/>
  <c r="J37" i="8" s="1"/>
  <c r="K37" i="8" s="1"/>
  <c r="L37" i="8" s="1"/>
  <c r="M37" i="8" s="1"/>
  <c r="F25" i="7"/>
  <c r="H12" i="7"/>
  <c r="F19" i="7" s="1"/>
  <c r="G38" i="8"/>
  <c r="Z43" i="8"/>
  <c r="R13" i="8"/>
  <c r="O13" i="8" s="1"/>
  <c r="I13" i="8"/>
  <c r="R12" i="8"/>
  <c r="O12" i="8" s="1"/>
  <c r="H24" i="4"/>
  <c r="H26" i="4"/>
  <c r="G59" i="4"/>
  <c r="Z58" i="4"/>
  <c r="AB58" i="4" s="1"/>
  <c r="AB59" i="4" s="1"/>
  <c r="AD57" i="4" s="1"/>
  <c r="AE57" i="4" s="1"/>
  <c r="H66" i="4"/>
  <c r="O66" i="4" s="1"/>
  <c r="F27" i="4"/>
  <c r="F23" i="7" l="1"/>
  <c r="F21" i="7"/>
  <c r="F22" i="7"/>
  <c r="I12" i="7"/>
  <c r="M38" i="8"/>
  <c r="N38" i="8" s="1"/>
  <c r="N37" i="8"/>
  <c r="N33" i="8" s="1"/>
  <c r="M12" i="8"/>
  <c r="I14" i="8"/>
  <c r="F13" i="8"/>
  <c r="M13" i="8"/>
  <c r="AU44" i="8" s="1"/>
  <c r="BU43" i="8" s="1"/>
  <c r="BW43" i="8" s="1"/>
  <c r="H27" i="4"/>
  <c r="I25" i="4" s="1"/>
  <c r="Z59" i="4"/>
  <c r="Z50" i="4" s="1"/>
  <c r="AD58" i="4"/>
  <c r="AE58" i="4" s="1"/>
  <c r="AF58" i="4" s="1"/>
  <c r="AG58" i="4" s="1"/>
  <c r="AH58" i="4" s="1"/>
  <c r="AI58" i="4" s="1"/>
  <c r="AF57" i="4"/>
  <c r="F20" i="7" l="1"/>
  <c r="J12" i="7"/>
  <c r="BK21" i="8"/>
  <c r="BM21" i="8" s="1"/>
  <c r="BP21" i="8" s="1"/>
  <c r="CH38" i="8"/>
  <c r="AW44" i="8"/>
  <c r="D13" i="8"/>
  <c r="R14" i="8"/>
  <c r="H5" i="8" s="1"/>
  <c r="F14" i="8"/>
  <c r="AU43" i="8"/>
  <c r="BU42" i="8" s="1"/>
  <c r="I26" i="4"/>
  <c r="I24" i="4"/>
  <c r="I23" i="4"/>
  <c r="AE59" i="4"/>
  <c r="AD59" i="4"/>
  <c r="AF59" i="4"/>
  <c r="AG57" i="4"/>
  <c r="BW42" i="8" l="1"/>
  <c r="H24" i="7"/>
  <c r="J24" i="7" s="1"/>
  <c r="G63" i="7" s="1"/>
  <c r="H19" i="7"/>
  <c r="H25" i="7"/>
  <c r="J25" i="7" s="1"/>
  <c r="H23" i="7"/>
  <c r="J23" i="7" s="1"/>
  <c r="H22" i="7"/>
  <c r="H20" i="7"/>
  <c r="J20" i="7" s="1"/>
  <c r="H21" i="7"/>
  <c r="J21" i="7" s="1"/>
  <c r="J22" i="7"/>
  <c r="BK20" i="8"/>
  <c r="AW43" i="8"/>
  <c r="O14" i="8"/>
  <c r="E47" i="8"/>
  <c r="D14" i="8"/>
  <c r="E48" i="8" s="1"/>
  <c r="F15" i="8"/>
  <c r="K23" i="4"/>
  <c r="F32" i="4" s="1"/>
  <c r="G32" i="4" s="1"/>
  <c r="I32" i="4" s="1"/>
  <c r="K24" i="4"/>
  <c r="AG59" i="4"/>
  <c r="AH57" i="4"/>
  <c r="Q20" i="7" l="1"/>
  <c r="AD73" i="7"/>
  <c r="AD74" i="7" s="1"/>
  <c r="AL69" i="7" s="1"/>
  <c r="Q21" i="7"/>
  <c r="AD84" i="7"/>
  <c r="AD85" i="7" s="1"/>
  <c r="AL80" i="7" s="1"/>
  <c r="Q19" i="7"/>
  <c r="AD62" i="7"/>
  <c r="N21" i="7"/>
  <c r="G85" i="7"/>
  <c r="N22" i="7"/>
  <c r="G74" i="7"/>
  <c r="N20" i="7"/>
  <c r="I63" i="7"/>
  <c r="J19" i="7"/>
  <c r="G62" i="7" s="1"/>
  <c r="K22" i="7"/>
  <c r="K25" i="7"/>
  <c r="K21" i="7"/>
  <c r="K23" i="7"/>
  <c r="K24" i="7"/>
  <c r="BM20" i="8"/>
  <c r="G12" i="8"/>
  <c r="G13" i="8"/>
  <c r="X45" i="8"/>
  <c r="G48" i="8"/>
  <c r="G14" i="8"/>
  <c r="D15" i="8"/>
  <c r="X44" i="8"/>
  <c r="G47" i="8"/>
  <c r="E49" i="8"/>
  <c r="M43" i="8" s="1"/>
  <c r="M14" i="8"/>
  <c r="O15" i="8"/>
  <c r="J32" i="4"/>
  <c r="F57" i="4"/>
  <c r="H57" i="4" s="1"/>
  <c r="AH59" i="4"/>
  <c r="AI57" i="4"/>
  <c r="AI59" i="4" s="1"/>
  <c r="Y50" i="4" s="1"/>
  <c r="K19" i="7" l="1"/>
  <c r="N19" i="7"/>
  <c r="N23" i="7" s="1"/>
  <c r="I62" i="7"/>
  <c r="I64" i="7" s="1"/>
  <c r="K62" i="7" s="1"/>
  <c r="Q23" i="7"/>
  <c r="I74" i="7"/>
  <c r="G75" i="7"/>
  <c r="O70" i="7" s="1"/>
  <c r="I85" i="7"/>
  <c r="G86" i="7"/>
  <c r="O81" i="7" s="1"/>
  <c r="K20" i="7"/>
  <c r="BP20" i="8"/>
  <c r="P12" i="8"/>
  <c r="P13" i="8"/>
  <c r="P14" i="8"/>
  <c r="AU45" i="8"/>
  <c r="BU44" i="8" s="1"/>
  <c r="M15" i="8"/>
  <c r="G49" i="8"/>
  <c r="I47" i="8" s="1"/>
  <c r="Z44" i="8"/>
  <c r="X46" i="8"/>
  <c r="AF38" i="8" s="1"/>
  <c r="G15" i="8"/>
  <c r="BW44" i="8" l="1"/>
  <c r="BW45" i="8" s="1"/>
  <c r="BU45" i="8"/>
  <c r="G64" i="7"/>
  <c r="O58" i="7" s="1"/>
  <c r="P85" i="7"/>
  <c r="P86" i="7" s="1"/>
  <c r="P81" i="7" s="1"/>
  <c r="I86" i="7"/>
  <c r="P74" i="7"/>
  <c r="P75" i="7" s="1"/>
  <c r="P70" i="7" s="1"/>
  <c r="I75" i="7"/>
  <c r="K63" i="7"/>
  <c r="L63" i="7" s="1"/>
  <c r="M63" i="7" s="1"/>
  <c r="N63" i="7" s="1"/>
  <c r="O63" i="7" s="1"/>
  <c r="P63" i="7" s="1"/>
  <c r="L62" i="7"/>
  <c r="BK22" i="8"/>
  <c r="AU46" i="8"/>
  <c r="BH38" i="8" s="1"/>
  <c r="I48" i="8"/>
  <c r="J48" i="8" s="1"/>
  <c r="K48" i="8" s="1"/>
  <c r="L48" i="8" s="1"/>
  <c r="M48" i="8" s="1"/>
  <c r="N48" i="8" s="1"/>
  <c r="J47" i="8"/>
  <c r="K47" i="8" s="1"/>
  <c r="L47" i="8" s="1"/>
  <c r="M47" i="8" s="1"/>
  <c r="Z45" i="8"/>
  <c r="Z46" i="8" s="1"/>
  <c r="AB43" i="8" s="1"/>
  <c r="AW45" i="8"/>
  <c r="P15" i="8"/>
  <c r="K26" i="7" l="1"/>
  <c r="J26" i="7"/>
  <c r="K64" i="7"/>
  <c r="M62" i="7"/>
  <c r="L64" i="7"/>
  <c r="F26" i="7"/>
  <c r="H26" i="7"/>
  <c r="G19" i="7" s="1"/>
  <c r="I49" i="8"/>
  <c r="BM22" i="8"/>
  <c r="BK23" i="8"/>
  <c r="BP16" i="8" s="1"/>
  <c r="F49" i="8"/>
  <c r="AW46" i="8"/>
  <c r="M49" i="8"/>
  <c r="N51" i="8" s="1"/>
  <c r="N47" i="8"/>
  <c r="N49" i="8" s="1"/>
  <c r="N43" i="8" s="1"/>
  <c r="AC43" i="8"/>
  <c r="AD43" i="8" s="1"/>
  <c r="AE43" i="8" s="1"/>
  <c r="AF43" i="8" s="1"/>
  <c r="AG43" i="8" s="1"/>
  <c r="AB45" i="8"/>
  <c r="AC45" i="8" s="1"/>
  <c r="AD45" i="8" s="1"/>
  <c r="AE45" i="8" s="1"/>
  <c r="AF45" i="8" s="1"/>
  <c r="AG45" i="8" s="1"/>
  <c r="AB44" i="8"/>
  <c r="AC44" i="8" s="1"/>
  <c r="AD44" i="8" s="1"/>
  <c r="AE44" i="8" s="1"/>
  <c r="AF44" i="8" s="1"/>
  <c r="AG44" i="8" s="1"/>
  <c r="K25" i="4"/>
  <c r="G35" i="4"/>
  <c r="F35" i="4" s="1"/>
  <c r="BY44" i="8" l="1"/>
  <c r="BZ44" i="8" s="1"/>
  <c r="CA44" i="8" s="1"/>
  <c r="CB44" i="8" s="1"/>
  <c r="CH44" i="8" s="1"/>
  <c r="CI44" i="8" s="1"/>
  <c r="BY42" i="8"/>
  <c r="BY43" i="8"/>
  <c r="BZ43" i="8" s="1"/>
  <c r="CA43" i="8" s="1"/>
  <c r="CB43" i="8" s="1"/>
  <c r="CH43" i="8" s="1"/>
  <c r="CI43" i="8" s="1"/>
  <c r="M64" i="7"/>
  <c r="N62" i="7"/>
  <c r="G23" i="7"/>
  <c r="AF84" i="7"/>
  <c r="AF85" i="7" s="1"/>
  <c r="G22" i="7"/>
  <c r="G24" i="7"/>
  <c r="G21" i="7"/>
  <c r="G25" i="7"/>
  <c r="AF73" i="7" s="1"/>
  <c r="G20" i="7"/>
  <c r="BP22" i="8"/>
  <c r="BP23" i="8" s="1"/>
  <c r="BM23" i="8"/>
  <c r="AY44" i="8"/>
  <c r="AY43" i="8"/>
  <c r="AY45" i="8"/>
  <c r="Y46" i="8"/>
  <c r="AF46" i="8"/>
  <c r="AB46" i="8"/>
  <c r="K26" i="4"/>
  <c r="F33" i="4"/>
  <c r="BV45" i="8" l="1"/>
  <c r="BY45" i="8"/>
  <c r="BZ42" i="8"/>
  <c r="CA42" i="8" s="1"/>
  <c r="CB42" i="8" s="1"/>
  <c r="CB45" i="8" s="1"/>
  <c r="AH73" i="7"/>
  <c r="AF74" i="7"/>
  <c r="N64" i="7"/>
  <c r="O62" i="7"/>
  <c r="AH84" i="7"/>
  <c r="AD63" i="7"/>
  <c r="AL58" i="7" s="1"/>
  <c r="AF62" i="7"/>
  <c r="G26" i="7"/>
  <c r="AZ45" i="8"/>
  <c r="BA45" i="8" s="1"/>
  <c r="BB45" i="8" s="1"/>
  <c r="BH45" i="8" s="1"/>
  <c r="BI45" i="8" s="1"/>
  <c r="AZ44" i="8"/>
  <c r="BA44" i="8" s="1"/>
  <c r="BB44" i="8" s="1"/>
  <c r="BH44" i="8" s="1"/>
  <c r="BI44" i="8" s="1"/>
  <c r="AY46" i="8"/>
  <c r="AV46" i="8"/>
  <c r="AZ43" i="8"/>
  <c r="BA43" i="8" s="1"/>
  <c r="BB43" i="8" s="1"/>
  <c r="BH43" i="8" s="1"/>
  <c r="AG46" i="8"/>
  <c r="AG38" i="8" s="1"/>
  <c r="T44" i="8" s="1"/>
  <c r="F36" i="4"/>
  <c r="G36" i="4" s="1"/>
  <c r="I36" i="4" s="1"/>
  <c r="J36" i="4" s="1"/>
  <c r="G33" i="4"/>
  <c r="I33" i="4" s="1"/>
  <c r="CH42" i="8" l="1"/>
  <c r="AI84" i="7"/>
  <c r="AJ84" i="7" s="1"/>
  <c r="AK84" i="7" s="1"/>
  <c r="AH85" i="7"/>
  <c r="AI73" i="7"/>
  <c r="AJ73" i="7" s="1"/>
  <c r="AK73" i="7" s="1"/>
  <c r="AH74" i="7"/>
  <c r="O64" i="7"/>
  <c r="P62" i="7"/>
  <c r="P64" i="7" s="1"/>
  <c r="P58" i="7" s="1"/>
  <c r="AF63" i="7"/>
  <c r="BB46" i="8"/>
  <c r="BI43" i="8"/>
  <c r="BI46" i="8" s="1"/>
  <c r="BH46" i="8"/>
  <c r="S44" i="8"/>
  <c r="F58" i="4"/>
  <c r="H58" i="4" s="1"/>
  <c r="H59" i="4" s="1"/>
  <c r="J33" i="4"/>
  <c r="J37" i="4" s="1"/>
  <c r="CH45" i="8" l="1"/>
  <c r="CI42" i="8"/>
  <c r="CI45" i="8" s="1"/>
  <c r="CI38" i="8" s="1"/>
  <c r="AL73" i="7"/>
  <c r="AK74" i="7"/>
  <c r="AL84" i="7"/>
  <c r="AK85" i="7"/>
  <c r="AH62" i="7"/>
  <c r="BI38" i="8"/>
  <c r="F59" i="4"/>
  <c r="I37" i="4"/>
  <c r="F78" i="4"/>
  <c r="H78" i="4" s="1"/>
  <c r="O78" i="4" s="1"/>
  <c r="J58" i="4"/>
  <c r="K58" i="4" s="1"/>
  <c r="L58" i="4" s="1"/>
  <c r="M58" i="4" s="1"/>
  <c r="N58" i="4" s="1"/>
  <c r="O58" i="4" s="1"/>
  <c r="J57" i="4"/>
  <c r="BN44" i="8" l="1"/>
  <c r="BM44" i="8"/>
  <c r="AM84" i="7"/>
  <c r="AM85" i="7" s="1"/>
  <c r="AM80" i="7" s="1"/>
  <c r="AL85" i="7"/>
  <c r="AM73" i="7"/>
  <c r="AM74" i="7" s="1"/>
  <c r="AM69" i="7" s="1"/>
  <c r="AL74" i="7"/>
  <c r="AH63" i="7"/>
  <c r="AI62" i="7"/>
  <c r="AM46" i="8"/>
  <c r="AL46" i="8"/>
  <c r="G50" i="4"/>
  <c r="K57" i="4"/>
  <c r="J59" i="4"/>
  <c r="AI63" i="7" l="1"/>
  <c r="AJ62" i="7"/>
  <c r="L57" i="4"/>
  <c r="K59" i="4"/>
  <c r="AK62" i="7" l="1"/>
  <c r="AJ63" i="7"/>
  <c r="L59" i="4"/>
  <c r="M57" i="4"/>
  <c r="AL62" i="7" l="1"/>
  <c r="AK63" i="7"/>
  <c r="M59" i="4"/>
  <c r="N57" i="4"/>
  <c r="AL63" i="7" l="1"/>
  <c r="AM62" i="7"/>
  <c r="AM63" i="7" s="1"/>
  <c r="AM58" i="7" s="1"/>
  <c r="N59" i="4"/>
  <c r="O57" i="4"/>
  <c r="O59" i="4" s="1"/>
  <c r="F50" i="4" s="1"/>
  <c r="S56" i="4" s="1"/>
  <c r="U76" i="7" l="1"/>
  <c r="V76" i="7"/>
  <c r="R56" i="4"/>
  <c r="S44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<sst xmlns="http://schemas.openxmlformats.org/spreadsheetml/2006/main" count="962" uniqueCount="256">
  <si>
    <t>Blast Furnace Example</t>
  </si>
  <si>
    <r>
      <t>h</t>
    </r>
    <r>
      <rPr>
        <vertAlign val="subscript"/>
        <sz val="12"/>
        <color rgb="FF000000"/>
        <rFont val="Aptos Narrow"/>
        <family val="2"/>
        <charset val="2"/>
        <scheme val="minor"/>
      </rPr>
      <t>X</t>
    </r>
  </si>
  <si>
    <t>B</t>
  </si>
  <si>
    <t>m</t>
  </si>
  <si>
    <t>Inputs</t>
  </si>
  <si>
    <t>Blast Furnace</t>
  </si>
  <si>
    <t>Outputs</t>
  </si>
  <si>
    <t>ΔB</t>
  </si>
  <si>
    <t>Iron Ore</t>
  </si>
  <si>
    <t>MW</t>
  </si>
  <si>
    <t>moles</t>
  </si>
  <si>
    <r>
      <t>b</t>
    </r>
    <r>
      <rPr>
        <vertAlign val="subscript"/>
        <sz val="12"/>
        <color rgb="FF000000"/>
        <rFont val="Aptos Narrow"/>
        <family val="2"/>
        <scheme val="minor"/>
      </rPr>
      <t>ch,i</t>
    </r>
  </si>
  <si>
    <r>
      <t>y</t>
    </r>
    <r>
      <rPr>
        <vertAlign val="subscript"/>
        <sz val="12"/>
        <color rgb="FF000000"/>
        <rFont val="Aptos Narrow"/>
        <family val="2"/>
        <scheme val="minor"/>
      </rPr>
      <t>i</t>
    </r>
  </si>
  <si>
    <r>
      <t>ln(y</t>
    </r>
    <r>
      <rPr>
        <vertAlign val="subscript"/>
        <sz val="12"/>
        <color rgb="FF000000"/>
        <rFont val="Aptos Narrow"/>
        <family val="2"/>
        <scheme val="minor"/>
      </rPr>
      <t>i</t>
    </r>
    <r>
      <rPr>
        <sz val="12"/>
        <color rgb="FF000000"/>
        <rFont val="Aptos Narrow"/>
        <family val="2"/>
        <scheme val="minor"/>
      </rPr>
      <t>)</t>
    </r>
  </si>
  <si>
    <r>
      <t>b</t>
    </r>
    <r>
      <rPr>
        <vertAlign val="subscript"/>
        <sz val="12"/>
        <color rgb="FF000000"/>
        <rFont val="Aptos Narrow"/>
        <family val="2"/>
        <scheme val="minor"/>
      </rPr>
      <t>c,i</t>
    </r>
    <r>
      <rPr>
        <sz val="12"/>
        <color rgb="FF000000"/>
        <rFont val="Aptos Narrow"/>
        <family val="2"/>
        <scheme val="minor"/>
      </rPr>
      <t xml:space="preserve"> = R T</t>
    </r>
    <r>
      <rPr>
        <vertAlign val="subscript"/>
        <sz val="12"/>
        <color rgb="FF000000"/>
        <rFont val="Aptos Narrow"/>
        <family val="2"/>
        <scheme val="minor"/>
      </rPr>
      <t>0</t>
    </r>
    <r>
      <rPr>
        <sz val="12"/>
        <color rgb="FF000000"/>
        <rFont val="Aptos Narrow"/>
        <family val="2"/>
        <scheme val="minor"/>
      </rPr>
      <t xml:space="preserve"> ln(y</t>
    </r>
    <r>
      <rPr>
        <vertAlign val="subscript"/>
        <sz val="12"/>
        <color rgb="FF000000"/>
        <rFont val="Aptos Narrow"/>
        <family val="2"/>
        <scheme val="minor"/>
      </rPr>
      <t>i</t>
    </r>
    <r>
      <rPr>
        <sz val="12"/>
        <color rgb="FF000000"/>
        <rFont val="Aptos Narrow"/>
        <family val="2"/>
        <scheme val="minor"/>
      </rPr>
      <t>)</t>
    </r>
  </si>
  <si>
    <t>Pig Iron</t>
  </si>
  <si>
    <t>[kg]</t>
  </si>
  <si>
    <t>[kg/mol]</t>
  </si>
  <si>
    <t>[mol]</t>
  </si>
  <si>
    <r>
      <t>[kJ/mol</t>
    </r>
    <r>
      <rPr>
        <vertAlign val="subscript"/>
        <sz val="12"/>
        <color rgb="FF000000"/>
        <rFont val="Aptos Narrow"/>
        <family val="2"/>
        <scheme val="minor"/>
      </rPr>
      <t>i</t>
    </r>
    <r>
      <rPr>
        <sz val="12"/>
        <color rgb="FF000000"/>
        <rFont val="Aptos Narrow"/>
        <family val="2"/>
        <scheme val="minor"/>
      </rPr>
      <t>]</t>
    </r>
  </si>
  <si>
    <r>
      <t>[mol</t>
    </r>
    <r>
      <rPr>
        <vertAlign val="subscript"/>
        <sz val="12"/>
        <color rgb="FF000000"/>
        <rFont val="Aptos Narrow"/>
        <family val="2"/>
        <scheme val="minor"/>
      </rPr>
      <t>i</t>
    </r>
    <r>
      <rPr>
        <sz val="12"/>
        <color rgb="FF000000"/>
        <rFont val="Aptos Narrow"/>
        <family val="2"/>
        <scheme val="minor"/>
      </rPr>
      <t>/mol</t>
    </r>
    <r>
      <rPr>
        <vertAlign val="subscript"/>
        <sz val="12"/>
        <color rgb="FF000000"/>
        <rFont val="Aptos Narrow"/>
        <family val="2"/>
        <scheme val="minor"/>
      </rPr>
      <t>atm</t>
    </r>
    <r>
      <rPr>
        <sz val="12"/>
        <color rgb="FF000000"/>
        <rFont val="Aptos Narrow"/>
        <family val="2"/>
        <scheme val="minor"/>
      </rPr>
      <t>]</t>
    </r>
  </si>
  <si>
    <r>
      <t>Fe</t>
    </r>
    <r>
      <rPr>
        <vertAlign val="subscript"/>
        <sz val="12"/>
        <color rgb="FF000000"/>
        <rFont val="Aptos Narrow"/>
        <family val="2"/>
        <scheme val="minor"/>
      </rPr>
      <t>2</t>
    </r>
    <r>
      <rPr>
        <sz val="12"/>
        <color rgb="FF000000"/>
        <rFont val="Aptos Narrow"/>
        <family val="2"/>
        <scheme val="minor"/>
      </rPr>
      <t>O</t>
    </r>
    <r>
      <rPr>
        <vertAlign val="subscript"/>
        <sz val="12"/>
        <color rgb="FF000000"/>
        <rFont val="Aptos Narrow"/>
        <family val="2"/>
        <scheme val="minor"/>
      </rPr>
      <t>3</t>
    </r>
  </si>
  <si>
    <t>Fe</t>
  </si>
  <si>
    <r>
      <t>SiO</t>
    </r>
    <r>
      <rPr>
        <vertAlign val="subscript"/>
        <sz val="12"/>
        <color rgb="FF000000"/>
        <rFont val="Aptos Narrow"/>
        <family val="2"/>
        <scheme val="minor"/>
      </rPr>
      <t>2</t>
    </r>
  </si>
  <si>
    <t>C</t>
  </si>
  <si>
    <t>Sum</t>
  </si>
  <si>
    <t>Limestone</t>
  </si>
  <si>
    <t>Slag</t>
  </si>
  <si>
    <r>
      <t>CaCO</t>
    </r>
    <r>
      <rPr>
        <vertAlign val="subscript"/>
        <sz val="12"/>
        <color rgb="FF000000"/>
        <rFont val="Aptos Narrow"/>
        <family val="2"/>
        <scheme val="minor"/>
      </rPr>
      <t>3</t>
    </r>
  </si>
  <si>
    <r>
      <t>CaSiO</t>
    </r>
    <r>
      <rPr>
        <vertAlign val="subscript"/>
        <sz val="12"/>
        <color rgb="FF000000"/>
        <rFont val="Aptos Narrow"/>
        <family val="2"/>
        <scheme val="minor"/>
      </rPr>
      <t>3</t>
    </r>
  </si>
  <si>
    <t>Emission</t>
  </si>
  <si>
    <t>Coking</t>
  </si>
  <si>
    <r>
      <t>CO</t>
    </r>
    <r>
      <rPr>
        <vertAlign val="subscript"/>
        <sz val="11"/>
        <color theme="1"/>
        <rFont val="Aptos Narrow"/>
        <family val="2"/>
        <scheme val="minor"/>
      </rPr>
      <t>2</t>
    </r>
  </si>
  <si>
    <t>Oxygen</t>
  </si>
  <si>
    <r>
      <t>O</t>
    </r>
    <r>
      <rPr>
        <vertAlign val="subscript"/>
        <sz val="12"/>
        <color theme="1"/>
        <rFont val="Aptos Narrow"/>
        <family val="2"/>
        <scheme val="minor"/>
      </rPr>
      <t>2</t>
    </r>
  </si>
  <si>
    <r>
      <t>b</t>
    </r>
    <r>
      <rPr>
        <vertAlign val="subscript"/>
        <sz val="12"/>
        <color rgb="FF000000"/>
        <rFont val="Aptos Narrow"/>
        <family val="2"/>
        <scheme val="minor"/>
      </rPr>
      <t>d,i</t>
    </r>
    <r>
      <rPr>
        <sz val="12"/>
        <color rgb="FF000000"/>
        <rFont val="Aptos Narrow"/>
        <family val="2"/>
        <scheme val="minor"/>
      </rPr>
      <t xml:space="preserve"> = b</t>
    </r>
    <r>
      <rPr>
        <vertAlign val="subscript"/>
        <sz val="12"/>
        <color rgb="FF000000"/>
        <rFont val="Aptos Narrow"/>
        <family val="2"/>
        <scheme val="minor"/>
      </rPr>
      <t>c,i</t>
    </r>
    <r>
      <rPr>
        <sz val="12"/>
        <color rgb="FF000000"/>
        <rFont val="Aptos Narrow"/>
        <family val="2"/>
        <scheme val="minor"/>
      </rPr>
      <t xml:space="preserve"> - b</t>
    </r>
    <r>
      <rPr>
        <vertAlign val="subscript"/>
        <sz val="12"/>
        <color rgb="FF000000"/>
        <rFont val="Aptos Narrow"/>
        <family val="2"/>
        <scheme val="minor"/>
      </rPr>
      <t>c,i</t>
    </r>
    <r>
      <rPr>
        <vertAlign val="superscript"/>
        <sz val="12"/>
        <color rgb="FF000000"/>
        <rFont val="Aptos Narrow"/>
        <family val="2"/>
        <scheme val="minor"/>
      </rPr>
      <t>pure</t>
    </r>
  </si>
  <si>
    <r>
      <t>b</t>
    </r>
    <r>
      <rPr>
        <vertAlign val="subscript"/>
        <sz val="12"/>
        <color rgb="FF000000"/>
        <rFont val="Aptos Narrow"/>
        <family val="2"/>
        <scheme val="minor"/>
      </rPr>
      <t>tot,i</t>
    </r>
    <r>
      <rPr>
        <sz val="12"/>
        <color rgb="FF000000"/>
        <rFont val="Aptos Narrow"/>
        <family val="2"/>
        <scheme val="minor"/>
      </rPr>
      <t xml:space="preserve"> = b</t>
    </r>
    <r>
      <rPr>
        <vertAlign val="subscript"/>
        <sz val="12"/>
        <color rgb="FF000000"/>
        <rFont val="Aptos Narrow"/>
        <family val="2"/>
        <scheme val="minor"/>
      </rPr>
      <t>ch,i</t>
    </r>
    <r>
      <rPr>
        <sz val="12"/>
        <color rgb="FF000000"/>
        <rFont val="Aptos Narrow"/>
        <family val="2"/>
        <scheme val="minor"/>
      </rPr>
      <t xml:space="preserve"> + b</t>
    </r>
    <r>
      <rPr>
        <vertAlign val="subscript"/>
        <sz val="12"/>
        <color rgb="FF000000"/>
        <rFont val="Aptos Narrow"/>
        <family val="2"/>
        <scheme val="minor"/>
      </rPr>
      <t>d,i</t>
    </r>
  </si>
  <si>
    <r>
      <t>b</t>
    </r>
    <r>
      <rPr>
        <vertAlign val="subscript"/>
        <sz val="12"/>
        <color rgb="FF000000"/>
        <rFont val="Aptos Narrow"/>
        <family val="2"/>
        <scheme val="minor"/>
      </rPr>
      <t>tot,m</t>
    </r>
    <r>
      <rPr>
        <sz val="12"/>
        <color rgb="FF000000"/>
        <rFont val="Aptos Narrow"/>
        <family val="2"/>
        <scheme val="minor"/>
      </rPr>
      <t xml:space="preserve"> = y</t>
    </r>
    <r>
      <rPr>
        <vertAlign val="subscript"/>
        <sz val="12"/>
        <color rgb="FF000000"/>
        <rFont val="Aptos Narrow"/>
        <family val="2"/>
        <scheme val="minor"/>
      </rPr>
      <t>i</t>
    </r>
    <r>
      <rPr>
        <sz val="12"/>
        <color rgb="FF000000"/>
        <rFont val="Aptos Narrow"/>
        <family val="2"/>
        <scheme val="minor"/>
      </rPr>
      <t xml:space="preserve"> b</t>
    </r>
    <r>
      <rPr>
        <vertAlign val="subscript"/>
        <sz val="12"/>
        <color rgb="FF000000"/>
        <rFont val="Aptos Narrow"/>
        <family val="2"/>
        <scheme val="minor"/>
      </rPr>
      <t>tot,i</t>
    </r>
  </si>
  <si>
    <r>
      <t>[mol</t>
    </r>
    <r>
      <rPr>
        <vertAlign val="subscript"/>
        <sz val="12"/>
        <color rgb="FF000000"/>
        <rFont val="Aptos Narrow"/>
        <family val="2"/>
        <scheme val="minor"/>
      </rPr>
      <t>i</t>
    </r>
    <r>
      <rPr>
        <sz val="12"/>
        <color rgb="FF000000"/>
        <rFont val="Aptos Narrow"/>
        <family val="2"/>
        <scheme val="minor"/>
      </rPr>
      <t>/mol</t>
    </r>
    <r>
      <rPr>
        <vertAlign val="subscript"/>
        <sz val="12"/>
        <color rgb="FF000000"/>
        <rFont val="Aptos Narrow"/>
        <family val="2"/>
        <scheme val="minor"/>
      </rPr>
      <t>m</t>
    </r>
    <r>
      <rPr>
        <sz val="12"/>
        <color rgb="FF000000"/>
        <rFont val="Aptos Narrow"/>
        <family val="2"/>
        <scheme val="minor"/>
      </rPr>
      <t>]</t>
    </r>
  </si>
  <si>
    <r>
      <t>[kJ/mol</t>
    </r>
    <r>
      <rPr>
        <vertAlign val="subscript"/>
        <sz val="12"/>
        <color rgb="FF000000"/>
        <rFont val="Aptos Narrow"/>
        <family val="2"/>
        <scheme val="minor"/>
      </rPr>
      <t>m</t>
    </r>
    <r>
      <rPr>
        <sz val="12"/>
        <color rgb="FF000000"/>
        <rFont val="Aptos Narrow"/>
        <family val="2"/>
        <scheme val="minor"/>
      </rPr>
      <t>]</t>
    </r>
  </si>
  <si>
    <t>Pure Gases (ref environment for gas)</t>
  </si>
  <si>
    <r>
      <t>O</t>
    </r>
    <r>
      <rPr>
        <vertAlign val="subscript"/>
        <sz val="11"/>
        <color theme="1"/>
        <rFont val="Aptos Narrow"/>
        <family val="2"/>
        <scheme val="minor"/>
      </rPr>
      <t>2</t>
    </r>
  </si>
  <si>
    <t>Moles</t>
  </si>
  <si>
    <t>Mass</t>
  </si>
  <si>
    <t>Mass in</t>
  </si>
  <si>
    <t>Moles Needed</t>
  </si>
  <si>
    <t>g/mol</t>
  </si>
  <si>
    <t>g</t>
  </si>
  <si>
    <t>g in</t>
  </si>
  <si>
    <t>O</t>
  </si>
  <si>
    <t>Si</t>
  </si>
  <si>
    <t>Ca</t>
  </si>
  <si>
    <t>n</t>
  </si>
  <si>
    <t>a</t>
  </si>
  <si>
    <t>b</t>
  </si>
  <si>
    <t>c</t>
  </si>
  <si>
    <t>d</t>
  </si>
  <si>
    <t>e</t>
  </si>
  <si>
    <t xml:space="preserve">https://gaftp.epa.gov/ap42/ch12/s05/final/c12s05_1995.pdf </t>
  </si>
  <si>
    <t>f</t>
  </si>
  <si>
    <t xml:space="preserve">https://www.metallics.org/about-metallics/pig-iron/ </t>
  </si>
  <si>
    <t>y</t>
  </si>
  <si>
    <t>h</t>
  </si>
  <si>
    <t>[i]</t>
  </si>
  <si>
    <t xml:space="preserve"> [tons]</t>
  </si>
  <si>
    <t>[mol i]</t>
  </si>
  <si>
    <t>[mol i/mol m]</t>
  </si>
  <si>
    <t>Coefficient</t>
  </si>
  <si>
    <t>[kg/mol i]</t>
  </si>
  <si>
    <t>[tons]</t>
  </si>
  <si>
    <t>i</t>
  </si>
  <si>
    <t>[mol PI]</t>
  </si>
  <si>
    <t>x</t>
  </si>
  <si>
    <t>[kJ]</t>
  </si>
  <si>
    <r>
      <t>b</t>
    </r>
    <r>
      <rPr>
        <vertAlign val="subscript"/>
        <sz val="12"/>
        <color rgb="FF000000"/>
        <rFont val="Aptos Narrow"/>
        <family val="2"/>
        <scheme val="minor"/>
      </rPr>
      <t>i</t>
    </r>
    <r>
      <rPr>
        <sz val="12"/>
        <color rgb="FF000000"/>
        <rFont val="Aptos Narrow"/>
        <family val="2"/>
        <scheme val="minor"/>
      </rPr>
      <t xml:space="preserve"> = b</t>
    </r>
    <r>
      <rPr>
        <vertAlign val="subscript"/>
        <sz val="12"/>
        <color rgb="FF000000"/>
        <rFont val="Aptos Narrow"/>
        <family val="2"/>
        <scheme val="minor"/>
      </rPr>
      <t>ch,i</t>
    </r>
    <r>
      <rPr>
        <sz val="12"/>
        <color rgb="FF000000"/>
        <rFont val="Aptos Narrow"/>
        <family val="2"/>
        <scheme val="minor"/>
      </rPr>
      <t xml:space="preserve"> + b</t>
    </r>
    <r>
      <rPr>
        <vertAlign val="subscript"/>
        <sz val="12"/>
        <color rgb="FF000000"/>
        <rFont val="Aptos Narrow"/>
        <family val="2"/>
        <scheme val="minor"/>
      </rPr>
      <t>c,i</t>
    </r>
  </si>
  <si>
    <r>
      <t>b</t>
    </r>
    <r>
      <rPr>
        <vertAlign val="subscript"/>
        <sz val="12"/>
        <color rgb="FF000000"/>
        <rFont val="Aptos Narrow"/>
        <family val="2"/>
        <scheme val="minor"/>
      </rPr>
      <t>m</t>
    </r>
    <r>
      <rPr>
        <sz val="12"/>
        <color rgb="FF000000"/>
        <rFont val="Aptos Narrow"/>
        <family val="2"/>
        <scheme val="minor"/>
      </rPr>
      <t xml:space="preserve"> = y</t>
    </r>
    <r>
      <rPr>
        <vertAlign val="subscript"/>
        <sz val="12"/>
        <color rgb="FF000000"/>
        <rFont val="Aptos Narrow"/>
        <family val="2"/>
        <scheme val="minor"/>
      </rPr>
      <t>i</t>
    </r>
    <r>
      <rPr>
        <sz val="12"/>
        <color rgb="FF000000"/>
        <rFont val="Aptos Narrow"/>
        <family val="2"/>
        <scheme val="minor"/>
      </rPr>
      <t xml:space="preserve"> b</t>
    </r>
    <r>
      <rPr>
        <vertAlign val="subscript"/>
        <sz val="12"/>
        <color rgb="FF000000"/>
        <rFont val="Aptos Narrow"/>
        <family val="2"/>
        <scheme val="minor"/>
      </rPr>
      <t>tot,i</t>
    </r>
  </si>
  <si>
    <r>
      <t>B</t>
    </r>
    <r>
      <rPr>
        <vertAlign val="subscript"/>
        <sz val="12"/>
        <color rgb="FF000000"/>
        <rFont val="Aptos Narrow"/>
        <family val="2"/>
        <scheme val="minor"/>
      </rPr>
      <t>m</t>
    </r>
  </si>
  <si>
    <t>Solids (ref environment for minerals)</t>
  </si>
  <si>
    <t>Sources:</t>
  </si>
  <si>
    <t>Mass Balance</t>
  </si>
  <si>
    <t>pg. 12.5-1</t>
  </si>
  <si>
    <t>Pig Iron Comp.</t>
  </si>
  <si>
    <t>Website</t>
  </si>
  <si>
    <t xml:space="preserve">f + g =1 </t>
  </si>
  <si>
    <t>f from PI comp.</t>
  </si>
  <si>
    <t>a/b from PI comp.</t>
  </si>
  <si>
    <t>c rel. to f+g</t>
  </si>
  <si>
    <t>d rel. to f+g</t>
  </si>
  <si>
    <t>c + d = g + i</t>
  </si>
  <si>
    <t>3a + 2b + 3c +2e = 3h + 2i</t>
  </si>
  <si>
    <r>
      <rPr>
        <sz val="12"/>
        <color rgb="FFFF0000"/>
        <rFont val="Aptos Narrow"/>
        <family val="2"/>
        <scheme val="minor"/>
      </rPr>
      <t>a</t>
    </r>
    <r>
      <rPr>
        <sz val="12"/>
        <color rgb="FF000000"/>
        <rFont val="Aptos Narrow"/>
        <family val="2"/>
        <scheme val="minor"/>
      </rPr>
      <t xml:space="preserve"> Fe</t>
    </r>
    <r>
      <rPr>
        <vertAlign val="subscript"/>
        <sz val="12"/>
        <color rgb="FF000000"/>
        <rFont val="Aptos Narrow"/>
        <family val="2"/>
        <scheme val="minor"/>
      </rPr>
      <t>2</t>
    </r>
    <r>
      <rPr>
        <sz val="12"/>
        <color rgb="FF000000"/>
        <rFont val="Aptos Narrow"/>
        <family val="2"/>
        <scheme val="minor"/>
      </rPr>
      <t>O</t>
    </r>
    <r>
      <rPr>
        <vertAlign val="subscript"/>
        <sz val="12"/>
        <color rgb="FF000000"/>
        <rFont val="Aptos Narrow"/>
        <family val="2"/>
        <scheme val="minor"/>
      </rPr>
      <t>3</t>
    </r>
  </si>
  <si>
    <t>+</t>
  </si>
  <si>
    <r>
      <rPr>
        <sz val="12"/>
        <color rgb="FFFF0000"/>
        <rFont val="Aptos Narrow"/>
        <family val="2"/>
        <scheme val="minor"/>
      </rPr>
      <t>b</t>
    </r>
    <r>
      <rPr>
        <sz val="12"/>
        <color rgb="FF000000"/>
        <rFont val="Aptos Narrow"/>
        <family val="2"/>
        <scheme val="minor"/>
      </rPr>
      <t xml:space="preserve"> SiO</t>
    </r>
    <r>
      <rPr>
        <vertAlign val="subscript"/>
        <sz val="12"/>
        <color rgb="FF000000"/>
        <rFont val="Aptos Narrow"/>
        <family val="2"/>
        <scheme val="minor"/>
      </rPr>
      <t>2</t>
    </r>
  </si>
  <si>
    <r>
      <rPr>
        <sz val="12"/>
        <color rgb="FFFF0000"/>
        <rFont val="Aptos Narrow"/>
        <family val="2"/>
        <scheme val="minor"/>
      </rPr>
      <t>c</t>
    </r>
    <r>
      <rPr>
        <sz val="12"/>
        <color rgb="FF000000"/>
        <rFont val="Aptos Narrow"/>
        <family val="2"/>
        <scheme val="minor"/>
      </rPr>
      <t xml:space="preserve"> CaCO</t>
    </r>
    <r>
      <rPr>
        <vertAlign val="subscript"/>
        <sz val="12"/>
        <color rgb="FF000000"/>
        <rFont val="Aptos Narrow"/>
        <family val="2"/>
        <scheme val="minor"/>
      </rPr>
      <t>3</t>
    </r>
  </si>
  <si>
    <r>
      <rPr>
        <sz val="11"/>
        <color rgb="FFFF0000"/>
        <rFont val="Aptos Narrow"/>
        <family val="2"/>
        <scheme val="minor"/>
      </rPr>
      <t>d</t>
    </r>
    <r>
      <rPr>
        <sz val="11"/>
        <color theme="1"/>
        <rFont val="Aptos Narrow"/>
        <family val="2"/>
        <scheme val="minor"/>
      </rPr>
      <t xml:space="preserve"> C</t>
    </r>
  </si>
  <si>
    <r>
      <rPr>
        <sz val="11"/>
        <color rgb="FFFF0000"/>
        <rFont val="Aptos Narrow"/>
        <family val="2"/>
        <scheme val="minor"/>
      </rPr>
      <t xml:space="preserve">e </t>
    </r>
    <r>
      <rPr>
        <sz val="11"/>
        <color theme="1"/>
        <rFont val="Aptos Narrow"/>
        <family val="2"/>
        <scheme val="minor"/>
      </rPr>
      <t>O</t>
    </r>
    <r>
      <rPr>
        <vertAlign val="subscript"/>
        <sz val="11"/>
        <color theme="1"/>
        <rFont val="Aptos Narrow"/>
        <family val="2"/>
        <scheme val="minor"/>
      </rPr>
      <t>2</t>
    </r>
  </si>
  <si>
    <r>
      <t xml:space="preserve">f </t>
    </r>
    <r>
      <rPr>
        <sz val="11"/>
        <color theme="1"/>
        <rFont val="Aptos Narrow"/>
        <family val="2"/>
        <scheme val="minor"/>
      </rPr>
      <t>Fe</t>
    </r>
  </si>
  <si>
    <r>
      <rPr>
        <sz val="11"/>
        <color rgb="FFFF0000"/>
        <rFont val="Aptos Narrow"/>
        <family val="2"/>
        <scheme val="minor"/>
      </rPr>
      <t>g</t>
    </r>
    <r>
      <rPr>
        <sz val="11"/>
        <color theme="1"/>
        <rFont val="Aptos Narrow"/>
        <family val="2"/>
        <scheme val="minor"/>
      </rPr>
      <t xml:space="preserve"> C</t>
    </r>
  </si>
  <si>
    <r>
      <rPr>
        <sz val="12"/>
        <color rgb="FFFF0000"/>
        <rFont val="Aptos Narrow"/>
        <family val="2"/>
        <scheme val="minor"/>
      </rPr>
      <t>h</t>
    </r>
    <r>
      <rPr>
        <sz val="12"/>
        <color rgb="FF000000"/>
        <rFont val="Aptos Narrow"/>
        <family val="2"/>
        <scheme val="minor"/>
      </rPr>
      <t xml:space="preserve"> CaSiO</t>
    </r>
    <r>
      <rPr>
        <vertAlign val="subscript"/>
        <sz val="12"/>
        <color rgb="FF000000"/>
        <rFont val="Aptos Narrow"/>
        <family val="2"/>
        <scheme val="minor"/>
      </rPr>
      <t>3</t>
    </r>
  </si>
  <si>
    <r>
      <t xml:space="preserve"> </t>
    </r>
    <r>
      <rPr>
        <sz val="11"/>
        <color rgb="FFFF0000"/>
        <rFont val="Aptos Narrow"/>
        <family val="2"/>
        <scheme val="minor"/>
      </rPr>
      <t>i</t>
    </r>
    <r>
      <rPr>
        <sz val="11"/>
        <color theme="1"/>
        <rFont val="Aptos Narrow"/>
        <family val="2"/>
        <scheme val="minor"/>
      </rPr>
      <t xml:space="preserve"> CO</t>
    </r>
    <r>
      <rPr>
        <vertAlign val="subscript"/>
        <sz val="11"/>
        <color theme="1"/>
        <rFont val="Aptos Narrow"/>
        <family val="2"/>
        <scheme val="minor"/>
      </rPr>
      <t>2</t>
    </r>
  </si>
  <si>
    <t>Input Constants</t>
  </si>
  <si>
    <t>Output Constants</t>
  </si>
  <si>
    <r>
      <t>CaCO</t>
    </r>
    <r>
      <rPr>
        <vertAlign val="subscript"/>
        <sz val="12"/>
        <color rgb="FF000000"/>
        <rFont val="Aptos Narrow"/>
        <family val="2"/>
        <scheme val="minor"/>
      </rPr>
      <t>3</t>
    </r>
    <r>
      <rPr>
        <sz val="12"/>
        <color rgb="FF000000"/>
        <rFont val="Aptos Narrow"/>
        <family val="2"/>
        <scheme val="minor"/>
      </rPr>
      <t xml:space="preserve"> </t>
    </r>
  </si>
  <si>
    <t>C Input</t>
  </si>
  <si>
    <t xml:space="preserve">Pig Iron Output </t>
  </si>
  <si>
    <t>Mass Conversion</t>
  </si>
  <si>
    <t>n Pig Iron</t>
  </si>
  <si>
    <t>[tons/ton]</t>
  </si>
  <si>
    <t>[kg/ton]</t>
  </si>
  <si>
    <t>[mol i/mol PI]</t>
  </si>
  <si>
    <r>
      <t>B</t>
    </r>
    <r>
      <rPr>
        <vertAlign val="subscript"/>
        <sz val="12"/>
        <color rgb="FF000000"/>
        <rFont val="Aptos Narrow"/>
        <family val="2"/>
        <scheme val="minor"/>
      </rPr>
      <t>D</t>
    </r>
  </si>
  <si>
    <r>
      <t>G</t>
    </r>
    <r>
      <rPr>
        <vertAlign val="subscript"/>
        <sz val="11"/>
        <color theme="1"/>
        <rFont val="Aptos Narrow"/>
        <family val="2"/>
        <scheme val="minor"/>
      </rPr>
      <t>f</t>
    </r>
  </si>
  <si>
    <t>Element</t>
  </si>
  <si>
    <r>
      <t>b</t>
    </r>
    <r>
      <rPr>
        <vertAlign val="subscript"/>
        <sz val="12"/>
        <color rgb="FF000000"/>
        <rFont val="Aptos Narrow"/>
        <family val="2"/>
        <scheme val="minor"/>
      </rPr>
      <t>ch,j</t>
    </r>
  </si>
  <si>
    <t>R</t>
  </si>
  <si>
    <t>[kJ/mol]</t>
  </si>
  <si>
    <t>kg/mol</t>
  </si>
  <si>
    <t>[j]</t>
  </si>
  <si>
    <t>[kJ/molj]</t>
  </si>
  <si>
    <t>[kJ/mol -K]</t>
  </si>
  <si>
    <t>[K]</t>
  </si>
  <si>
    <r>
      <t>CO</t>
    </r>
    <r>
      <rPr>
        <vertAlign val="subscript"/>
        <sz val="12"/>
        <color theme="1"/>
        <rFont val="Aptos Narrow"/>
        <family val="2"/>
        <scheme val="minor"/>
      </rPr>
      <t>2</t>
    </r>
  </si>
  <si>
    <r>
      <t>CH</t>
    </r>
    <r>
      <rPr>
        <vertAlign val="subscript"/>
        <sz val="11"/>
        <color theme="1"/>
        <rFont val="Aptos Narrow"/>
        <family val="2"/>
        <scheme val="minor"/>
      </rPr>
      <t>4</t>
    </r>
  </si>
  <si>
    <r>
      <t>H</t>
    </r>
    <r>
      <rPr>
        <vertAlign val="subscript"/>
        <sz val="11"/>
        <color theme="1"/>
        <rFont val="Aptos Narrow"/>
        <family val="2"/>
        <scheme val="minor"/>
      </rPr>
      <t>2</t>
    </r>
  </si>
  <si>
    <r>
      <t>N</t>
    </r>
    <r>
      <rPr>
        <vertAlign val="subscript"/>
        <sz val="12"/>
        <color theme="1"/>
        <rFont val="Aptos Narrow"/>
        <family val="2"/>
        <scheme val="minor"/>
      </rPr>
      <t>2</t>
    </r>
  </si>
  <si>
    <r>
      <t>H</t>
    </r>
    <r>
      <rPr>
        <vertAlign val="subscript"/>
        <sz val="11"/>
        <color theme="1"/>
        <rFont val="Aptos Narrow"/>
        <family val="2"/>
        <scheme val="minor"/>
      </rPr>
      <t>2</t>
    </r>
    <r>
      <rPr>
        <sz val="11"/>
        <color theme="1"/>
        <rFont val="Aptos Narrow"/>
        <family val="2"/>
        <scheme val="minor"/>
      </rPr>
      <t>O</t>
    </r>
  </si>
  <si>
    <t>N/A</t>
  </si>
  <si>
    <t>Chemical Formula for Complete Combustion</t>
  </si>
  <si>
    <r>
      <t>n of CH</t>
    </r>
    <r>
      <rPr>
        <vertAlign val="subscript"/>
        <sz val="11"/>
        <color theme="1"/>
        <rFont val="Aptos Narrow"/>
        <family val="2"/>
        <scheme val="minor"/>
      </rPr>
      <t>4</t>
    </r>
  </si>
  <si>
    <r>
      <t>Coeff O</t>
    </r>
    <r>
      <rPr>
        <vertAlign val="subscript"/>
        <sz val="12"/>
        <color theme="1"/>
        <rFont val="Aptos Narrow"/>
        <family val="2"/>
        <scheme val="minor"/>
      </rPr>
      <t>2</t>
    </r>
  </si>
  <si>
    <r>
      <t>Coeff N</t>
    </r>
    <r>
      <rPr>
        <vertAlign val="subscript"/>
        <sz val="12"/>
        <color theme="1"/>
        <rFont val="Aptos Narrow"/>
        <family val="2"/>
        <scheme val="minor"/>
      </rPr>
      <t>2</t>
    </r>
  </si>
  <si>
    <r>
      <rPr>
        <sz val="11"/>
        <color rgb="FFFF0000"/>
        <rFont val="Aptos Narrow"/>
        <family val="2"/>
        <scheme val="minor"/>
      </rPr>
      <t>a</t>
    </r>
    <r>
      <rPr>
        <sz val="11"/>
        <color theme="1"/>
        <rFont val="Aptos Narrow"/>
        <family val="2"/>
        <scheme val="minor"/>
      </rPr>
      <t xml:space="preserve"> CH</t>
    </r>
    <r>
      <rPr>
        <vertAlign val="subscript"/>
        <sz val="11"/>
        <color theme="1"/>
        <rFont val="Aptos Narrow"/>
        <family val="2"/>
        <scheme val="minor"/>
      </rPr>
      <t>4</t>
    </r>
    <r>
      <rPr>
        <sz val="11"/>
        <color theme="1"/>
        <rFont val="Aptos Narrow"/>
        <family val="2"/>
        <scheme val="minor"/>
      </rPr>
      <t xml:space="preserve"> + </t>
    </r>
    <r>
      <rPr>
        <sz val="11"/>
        <color rgb="FFFF0000"/>
        <rFont val="Aptos Narrow"/>
        <family val="2"/>
        <scheme val="minor"/>
      </rPr>
      <t xml:space="preserve">b </t>
    </r>
    <r>
      <rPr>
        <sz val="11"/>
        <color theme="1"/>
        <rFont val="Aptos Narrow"/>
        <family val="2"/>
        <scheme val="minor"/>
      </rPr>
      <t>(O</t>
    </r>
    <r>
      <rPr>
        <vertAlign val="subscript"/>
        <sz val="11"/>
        <color theme="1"/>
        <rFont val="Aptos Narrow"/>
        <family val="2"/>
        <scheme val="minor"/>
      </rPr>
      <t>2</t>
    </r>
    <r>
      <rPr>
        <sz val="11"/>
        <color theme="1"/>
        <rFont val="Aptos Narrow"/>
        <family val="2"/>
        <scheme val="minor"/>
      </rPr>
      <t xml:space="preserve"> + 3.76 N</t>
    </r>
    <r>
      <rPr>
        <vertAlign val="subscript"/>
        <sz val="11"/>
        <color theme="1"/>
        <rFont val="Aptos Narrow"/>
        <family val="2"/>
        <scheme val="minor"/>
      </rPr>
      <t>2</t>
    </r>
    <r>
      <rPr>
        <sz val="11"/>
        <color theme="1"/>
        <rFont val="Aptos Narrow"/>
        <family val="2"/>
        <scheme val="minor"/>
      </rPr>
      <t xml:space="preserve">) </t>
    </r>
  </si>
  <si>
    <r>
      <rPr>
        <sz val="12"/>
        <color rgb="FFFF0000"/>
        <rFont val="Aptos Narrow"/>
        <family val="2"/>
        <scheme val="minor"/>
      </rPr>
      <t xml:space="preserve"> c</t>
    </r>
    <r>
      <rPr>
        <sz val="12"/>
        <color theme="1"/>
        <rFont val="Aptos Narrow"/>
        <family val="2"/>
        <scheme val="minor"/>
      </rPr>
      <t xml:space="preserve"> CO</t>
    </r>
    <r>
      <rPr>
        <vertAlign val="subscript"/>
        <sz val="12"/>
        <color theme="1"/>
        <rFont val="Aptos Narrow"/>
        <family val="2"/>
        <scheme val="minor"/>
      </rPr>
      <t>2</t>
    </r>
    <r>
      <rPr>
        <sz val="12"/>
        <color theme="1"/>
        <rFont val="Aptos Narrow"/>
        <family val="2"/>
        <scheme val="minor"/>
      </rPr>
      <t xml:space="preserve"> + </t>
    </r>
    <r>
      <rPr>
        <sz val="12"/>
        <color rgb="FFFF0000"/>
        <rFont val="Aptos Narrow"/>
        <family val="2"/>
        <scheme val="minor"/>
      </rPr>
      <t>d</t>
    </r>
    <r>
      <rPr>
        <sz val="12"/>
        <color theme="1"/>
        <rFont val="Aptos Narrow"/>
        <family val="2"/>
        <scheme val="minor"/>
      </rPr>
      <t xml:space="preserve"> H</t>
    </r>
    <r>
      <rPr>
        <vertAlign val="subscript"/>
        <sz val="12"/>
        <color theme="1"/>
        <rFont val="Aptos Narrow"/>
        <family val="2"/>
        <scheme val="minor"/>
      </rPr>
      <t>2</t>
    </r>
    <r>
      <rPr>
        <sz val="12"/>
        <color theme="1"/>
        <rFont val="Aptos Narrow"/>
        <family val="2"/>
        <scheme val="minor"/>
      </rPr>
      <t xml:space="preserve">O + </t>
    </r>
    <r>
      <rPr>
        <sz val="12"/>
        <color rgb="FFFF0000"/>
        <rFont val="Aptos Narrow"/>
        <family val="2"/>
        <scheme val="minor"/>
      </rPr>
      <t>e</t>
    </r>
    <r>
      <rPr>
        <sz val="12"/>
        <color theme="1"/>
        <rFont val="Aptos Narrow"/>
        <family val="2"/>
        <scheme val="minor"/>
      </rPr>
      <t xml:space="preserve"> N</t>
    </r>
    <r>
      <rPr>
        <vertAlign val="subscript"/>
        <sz val="12"/>
        <color theme="1"/>
        <rFont val="Aptos Narrow"/>
        <family val="2"/>
        <scheme val="minor"/>
      </rPr>
      <t>2</t>
    </r>
  </si>
  <si>
    <r>
      <t>[mol</t>
    </r>
    <r>
      <rPr>
        <vertAlign val="subscript"/>
        <sz val="11"/>
        <color theme="1"/>
        <rFont val="Aptos Narrow"/>
        <family val="2"/>
        <scheme val="minor"/>
      </rPr>
      <t>i</t>
    </r>
    <r>
      <rPr>
        <sz val="11"/>
        <color theme="1"/>
        <rFont val="Aptos Narrow"/>
        <family val="2"/>
        <scheme val="minor"/>
      </rPr>
      <t>]</t>
    </r>
  </si>
  <si>
    <r>
      <t>[mol i/mol CH</t>
    </r>
    <r>
      <rPr>
        <vertAlign val="subscript"/>
        <sz val="11"/>
        <color theme="1"/>
        <rFont val="Aptos Narrow"/>
        <family val="2"/>
        <scheme val="minor"/>
      </rPr>
      <t>4</t>
    </r>
    <r>
      <rPr>
        <sz val="11"/>
        <color theme="1"/>
        <rFont val="Aptos Narrow"/>
        <family val="2"/>
        <scheme val="minor"/>
      </rPr>
      <t>]</t>
    </r>
  </si>
  <si>
    <t>Complete Combustion Example</t>
  </si>
  <si>
    <t>Methane</t>
  </si>
  <si>
    <t>Combustion Chamber</t>
  </si>
  <si>
    <t>Mixer</t>
  </si>
  <si>
    <r>
      <t>B</t>
    </r>
    <r>
      <rPr>
        <b/>
        <vertAlign val="subscript"/>
        <sz val="12"/>
        <color rgb="FF000000"/>
        <rFont val="Aptos Narrow"/>
        <family val="2"/>
        <scheme val="minor"/>
      </rPr>
      <t>D</t>
    </r>
  </si>
  <si>
    <r>
      <t>η</t>
    </r>
    <r>
      <rPr>
        <b/>
        <vertAlign val="subscript"/>
        <sz val="12"/>
        <color rgb="FF000000"/>
        <rFont val="Aptos Narrow"/>
        <family val="2"/>
      </rPr>
      <t>χ,mixer</t>
    </r>
  </si>
  <si>
    <t>[kJ/kJ]</t>
  </si>
  <si>
    <t>Air</t>
  </si>
  <si>
    <r>
      <t>η</t>
    </r>
    <r>
      <rPr>
        <b/>
        <vertAlign val="subscript"/>
        <sz val="12"/>
        <color rgb="FF000000"/>
        <rFont val="Aptos Narrow"/>
        <family val="2"/>
      </rPr>
      <t>χ,chamber</t>
    </r>
  </si>
  <si>
    <r>
      <t>[kg/mol</t>
    </r>
    <r>
      <rPr>
        <vertAlign val="subscript"/>
        <sz val="12"/>
        <color rgb="FF000000"/>
        <rFont val="Aptos Narrow (Body)"/>
      </rPr>
      <t>i</t>
    </r>
    <r>
      <rPr>
        <sz val="12"/>
        <color rgb="FF000000"/>
        <rFont val="Aptos Narrow"/>
        <family val="2"/>
        <scheme val="minor"/>
      </rPr>
      <t>]</t>
    </r>
  </si>
  <si>
    <r>
      <t>N</t>
    </r>
    <r>
      <rPr>
        <vertAlign val="subscript"/>
        <sz val="12"/>
        <color rgb="FF000000"/>
        <rFont val="Aptos Narrow (Body)"/>
      </rPr>
      <t>i</t>
    </r>
  </si>
  <si>
    <r>
      <t>[mol</t>
    </r>
    <r>
      <rPr>
        <vertAlign val="subscript"/>
        <sz val="12"/>
        <color rgb="FF000000"/>
        <rFont val="Aptos Narrow (Body)"/>
      </rPr>
      <t>i</t>
    </r>
    <r>
      <rPr>
        <sz val="12"/>
        <color rgb="FF000000"/>
        <rFont val="Aptos Narrow"/>
        <family val="2"/>
        <scheme val="minor"/>
      </rPr>
      <t>]</t>
    </r>
  </si>
  <si>
    <r>
      <t>[mol</t>
    </r>
    <r>
      <rPr>
        <vertAlign val="subscript"/>
        <sz val="11"/>
        <color theme="1"/>
        <rFont val="Aptos Narrow (Body)"/>
      </rPr>
      <t>m</t>
    </r>
    <r>
      <rPr>
        <sz val="11"/>
        <color theme="1"/>
        <rFont val="Aptos Narrow"/>
        <family val="2"/>
        <scheme val="minor"/>
      </rPr>
      <t>]</t>
    </r>
  </si>
  <si>
    <r>
      <t>[kg</t>
    </r>
    <r>
      <rPr>
        <vertAlign val="subscript"/>
        <sz val="12"/>
        <color rgb="FF000000"/>
        <rFont val="Aptos Narrow (Body)"/>
      </rPr>
      <t>i</t>
    </r>
    <r>
      <rPr>
        <sz val="12"/>
        <color rgb="FF000000"/>
        <rFont val="Aptos Narrow"/>
        <family val="2"/>
        <scheme val="minor"/>
      </rPr>
      <t>]</t>
    </r>
  </si>
  <si>
    <r>
      <t>[kg</t>
    </r>
    <r>
      <rPr>
        <vertAlign val="subscript"/>
        <sz val="12"/>
        <color rgb="FF000000"/>
        <rFont val="Aptos Narrow (Body)"/>
      </rPr>
      <t>m</t>
    </r>
    <r>
      <rPr>
        <sz val="12"/>
        <color rgb="FF000000"/>
        <rFont val="Aptos Narrow"/>
        <family val="2"/>
        <scheme val="minor"/>
      </rPr>
      <t>]</t>
    </r>
  </si>
  <si>
    <r>
      <t>[kg</t>
    </r>
    <r>
      <rPr>
        <vertAlign val="subscript"/>
        <sz val="12"/>
        <color rgb="FF000000"/>
        <rFont val="Aptos Narrow (Body)"/>
      </rPr>
      <t>i</t>
    </r>
    <r>
      <rPr>
        <sz val="12"/>
        <color rgb="FF000000"/>
        <rFont val="Aptos Narrow"/>
        <family val="2"/>
        <scheme val="minor"/>
      </rPr>
      <t>/mol</t>
    </r>
    <r>
      <rPr>
        <vertAlign val="subscript"/>
        <sz val="12"/>
        <color rgb="FF000000"/>
        <rFont val="Aptos Narrow (Body)"/>
      </rPr>
      <t>i</t>
    </r>
    <r>
      <rPr>
        <sz val="12"/>
        <color rgb="FF000000"/>
        <rFont val="Aptos Narrow"/>
        <family val="2"/>
        <scheme val="minor"/>
      </rPr>
      <t>]</t>
    </r>
  </si>
  <si>
    <r>
      <t>[kg</t>
    </r>
    <r>
      <rPr>
        <vertAlign val="subscript"/>
        <sz val="11"/>
        <color theme="1"/>
        <rFont val="Aptos Narrow (Body)"/>
      </rPr>
      <t>m</t>
    </r>
    <r>
      <rPr>
        <sz val="11"/>
        <color theme="1"/>
        <rFont val="Aptos Narrow"/>
        <family val="2"/>
        <scheme val="minor"/>
      </rPr>
      <t>/mol</t>
    </r>
    <r>
      <rPr>
        <vertAlign val="subscript"/>
        <sz val="11"/>
        <color theme="1"/>
        <rFont val="Aptos Narrow (Body)"/>
      </rPr>
      <t>m</t>
    </r>
    <r>
      <rPr>
        <sz val="11"/>
        <color theme="1"/>
        <rFont val="Aptos Narrow"/>
        <family val="2"/>
        <scheme val="minor"/>
      </rPr>
      <t>]</t>
    </r>
  </si>
  <si>
    <r>
      <t>[kJ</t>
    </r>
    <r>
      <rPr>
        <vertAlign val="subscript"/>
        <sz val="12"/>
        <color rgb="FF000000"/>
        <rFont val="Aptos Narrow (Body)"/>
      </rPr>
      <t>i</t>
    </r>
    <r>
      <rPr>
        <sz val="12"/>
        <color rgb="FF000000"/>
        <rFont val="Aptos Narrow"/>
        <family val="2"/>
        <scheme val="minor"/>
      </rPr>
      <t>]</t>
    </r>
  </si>
  <si>
    <r>
      <t>[kJ</t>
    </r>
    <r>
      <rPr>
        <vertAlign val="subscript"/>
        <sz val="12"/>
        <color rgb="FF000000"/>
        <rFont val="Aptos Narrow (Body)"/>
      </rPr>
      <t>m</t>
    </r>
    <r>
      <rPr>
        <sz val="12"/>
        <color rgb="FF000000"/>
        <rFont val="Aptos Narrow"/>
        <family val="2"/>
        <scheme val="minor"/>
      </rPr>
      <t>]</t>
    </r>
  </si>
  <si>
    <r>
      <t>[kJ</t>
    </r>
    <r>
      <rPr>
        <vertAlign val="subscript"/>
        <sz val="12"/>
        <color rgb="FF000000"/>
        <rFont val="Aptos Narrow (Body)"/>
      </rPr>
      <t>i</t>
    </r>
    <r>
      <rPr>
        <sz val="12"/>
        <color rgb="FF000000"/>
        <rFont val="Aptos Narrow"/>
        <family val="2"/>
        <scheme val="minor"/>
      </rPr>
      <t>/mol</t>
    </r>
    <r>
      <rPr>
        <vertAlign val="subscript"/>
        <sz val="12"/>
        <color rgb="FF000000"/>
        <rFont val="Aptos Narrow"/>
        <family val="2"/>
        <scheme val="minor"/>
      </rPr>
      <t>m</t>
    </r>
    <r>
      <rPr>
        <sz val="12"/>
        <color rgb="FF000000"/>
        <rFont val="Aptos Narrow"/>
        <family val="2"/>
        <scheme val="minor"/>
      </rPr>
      <t>]</t>
    </r>
  </si>
  <si>
    <r>
      <t>[kJ</t>
    </r>
    <r>
      <rPr>
        <vertAlign val="subscript"/>
        <sz val="12"/>
        <color rgb="FF000000"/>
        <rFont val="Aptos Narrow (Body)"/>
      </rPr>
      <t>i</t>
    </r>
    <r>
      <rPr>
        <sz val="12"/>
        <color rgb="FF000000"/>
        <rFont val="Aptos Narrow"/>
        <family val="2"/>
        <scheme val="minor"/>
      </rPr>
      <t>/mol</t>
    </r>
    <r>
      <rPr>
        <vertAlign val="subscript"/>
        <sz val="12"/>
        <color rgb="FF000000"/>
        <rFont val="Aptos Narrow"/>
        <family val="2"/>
        <scheme val="minor"/>
      </rPr>
      <t>i</t>
    </r>
    <r>
      <rPr>
        <sz val="12"/>
        <color rgb="FF000000"/>
        <rFont val="Aptos Narrow"/>
        <family val="2"/>
        <scheme val="minor"/>
      </rPr>
      <t>]</t>
    </r>
  </si>
  <si>
    <r>
      <t>[kJ</t>
    </r>
    <r>
      <rPr>
        <vertAlign val="subscript"/>
        <sz val="11"/>
        <color theme="1"/>
        <rFont val="Aptos Narrow (Body)"/>
      </rPr>
      <t>m</t>
    </r>
    <r>
      <rPr>
        <sz val="11"/>
        <color theme="1"/>
        <rFont val="Aptos Narrow"/>
        <family val="2"/>
        <scheme val="minor"/>
      </rPr>
      <t>/mol</t>
    </r>
    <r>
      <rPr>
        <vertAlign val="subscript"/>
        <sz val="11"/>
        <color theme="1"/>
        <rFont val="Aptos Narrow (Body)"/>
      </rPr>
      <t>m</t>
    </r>
    <r>
      <rPr>
        <sz val="11"/>
        <color theme="1"/>
        <rFont val="Aptos Narrow"/>
        <family val="2"/>
        <scheme val="minor"/>
      </rPr>
      <t>]</t>
    </r>
  </si>
  <si>
    <t>Cooling</t>
  </si>
  <si>
    <t>[-]</t>
  </si>
  <si>
    <r>
      <t>T</t>
    </r>
    <r>
      <rPr>
        <vertAlign val="subscript"/>
        <sz val="11"/>
        <color theme="1"/>
        <rFont val="Aptos Narrow"/>
        <family val="2"/>
        <scheme val="minor"/>
      </rPr>
      <t>0</t>
    </r>
  </si>
  <si>
    <t>Compound</t>
  </si>
  <si>
    <t>s</t>
  </si>
  <si>
    <t>At 2236 K</t>
  </si>
  <si>
    <r>
      <t>h</t>
    </r>
    <r>
      <rPr>
        <vertAlign val="subscript"/>
        <sz val="11"/>
        <color theme="1"/>
        <rFont val="Aptos Narrow"/>
        <family val="2"/>
        <scheme val="minor"/>
      </rPr>
      <t>0</t>
    </r>
  </si>
  <si>
    <r>
      <t>s</t>
    </r>
    <r>
      <rPr>
        <vertAlign val="subscript"/>
        <sz val="11"/>
        <color theme="1"/>
        <rFont val="Aptos Narrow"/>
        <family val="2"/>
        <scheme val="minor"/>
      </rPr>
      <t>0</t>
    </r>
  </si>
  <si>
    <r>
      <t>[kJ</t>
    </r>
    <r>
      <rPr>
        <vertAlign val="subscript"/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/mol</t>
    </r>
    <r>
      <rPr>
        <vertAlign val="subscript"/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-K</t>
    </r>
    <r>
      <rPr>
        <vertAlign val="subscript"/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]</t>
    </r>
  </si>
  <si>
    <r>
      <t>[kJ</t>
    </r>
    <r>
      <rPr>
        <vertAlign val="subscript"/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/mol</t>
    </r>
    <r>
      <rPr>
        <vertAlign val="subscript"/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]</t>
    </r>
  </si>
  <si>
    <r>
      <t>η</t>
    </r>
    <r>
      <rPr>
        <b/>
        <vertAlign val="subscript"/>
        <sz val="12"/>
        <color rgb="FF000000"/>
        <rFont val="Aptos Narrow"/>
        <family val="2"/>
      </rPr>
      <t>χ,cooling</t>
    </r>
  </si>
  <si>
    <t>Sources</t>
  </si>
  <si>
    <r>
      <t>At T</t>
    </r>
    <r>
      <rPr>
        <vertAlign val="subscript"/>
        <sz val="11"/>
        <color theme="1"/>
        <rFont val="Aptos Narrow"/>
        <family val="2"/>
        <scheme val="minor"/>
      </rPr>
      <t>0</t>
    </r>
  </si>
  <si>
    <r>
      <t>[kJ</t>
    </r>
    <r>
      <rPr>
        <vertAlign val="subscript"/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/mol</t>
    </r>
    <r>
      <rPr>
        <vertAlign val="subscript"/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-K]</t>
    </r>
  </si>
  <si>
    <r>
      <t>RT</t>
    </r>
    <r>
      <rPr>
        <vertAlign val="subscript"/>
        <sz val="11"/>
        <color theme="1"/>
        <rFont val="Aptos Narrow"/>
        <family val="2"/>
        <scheme val="minor"/>
      </rPr>
      <t>0</t>
    </r>
  </si>
  <si>
    <r>
      <t>[kJ</t>
    </r>
    <r>
      <rPr>
        <vertAlign val="subscript"/>
        <sz val="11"/>
        <color theme="1"/>
        <rFont val="Aptos Narrow"/>
        <family val="2"/>
        <scheme val="minor"/>
      </rPr>
      <t>i</t>
    </r>
    <r>
      <rPr>
        <sz val="11"/>
        <color theme="1"/>
        <rFont val="Aptos Narrow"/>
        <family val="2"/>
        <scheme val="minor"/>
      </rPr>
      <t>]</t>
    </r>
  </si>
  <si>
    <t>Heat Loss</t>
  </si>
  <si>
    <t>IN</t>
  </si>
  <si>
    <t>OUT</t>
  </si>
  <si>
    <r>
      <t>[kg</t>
    </r>
    <r>
      <rPr>
        <vertAlign val="subscript"/>
        <sz val="11"/>
        <color theme="1"/>
        <rFont val="Aptos Narrow"/>
        <family val="2"/>
        <scheme val="minor"/>
      </rPr>
      <t>i</t>
    </r>
    <r>
      <rPr>
        <sz val="11"/>
        <color theme="1"/>
        <rFont val="Aptos Narrow"/>
        <family val="2"/>
        <scheme val="minor"/>
      </rPr>
      <t>]</t>
    </r>
  </si>
  <si>
    <r>
      <t>[mol</t>
    </r>
    <r>
      <rPr>
        <vertAlign val="subscript"/>
        <sz val="11"/>
        <color theme="1"/>
        <rFont val="Aptos Narrow"/>
        <family val="2"/>
        <scheme val="minor"/>
      </rPr>
      <t>ore</t>
    </r>
    <r>
      <rPr>
        <sz val="11"/>
        <color theme="1"/>
        <rFont val="Aptos Narrow"/>
        <family val="2"/>
        <scheme val="minor"/>
      </rPr>
      <t>]</t>
    </r>
  </si>
  <si>
    <r>
      <t>[mol</t>
    </r>
    <r>
      <rPr>
        <vertAlign val="subscript"/>
        <sz val="11"/>
        <color theme="1"/>
        <rFont val="Aptos Narrow"/>
        <family val="2"/>
        <scheme val="minor"/>
      </rPr>
      <t>i</t>
    </r>
    <r>
      <rPr>
        <sz val="11"/>
        <color theme="1"/>
        <rFont val="Aptos Narrow"/>
        <family val="2"/>
        <scheme val="minor"/>
      </rPr>
      <t>/mol</t>
    </r>
    <r>
      <rPr>
        <vertAlign val="subscript"/>
        <sz val="11"/>
        <color theme="1"/>
        <rFont val="Aptos Narrow"/>
        <family val="2"/>
        <scheme val="minor"/>
      </rPr>
      <t>ore</t>
    </r>
    <r>
      <rPr>
        <sz val="11"/>
        <color theme="1"/>
        <rFont val="Aptos Narrow"/>
        <family val="2"/>
        <scheme val="minor"/>
      </rPr>
      <t>]</t>
    </r>
  </si>
  <si>
    <r>
      <t>Mw</t>
    </r>
    <r>
      <rPr>
        <vertAlign val="subscript"/>
        <sz val="11"/>
        <color theme="1"/>
        <rFont val="Aptos Narrow"/>
        <family val="2"/>
        <scheme val="minor"/>
      </rPr>
      <t>ore</t>
    </r>
  </si>
  <si>
    <r>
      <t>[kg/mol</t>
    </r>
    <r>
      <rPr>
        <vertAlign val="subscript"/>
        <sz val="11"/>
        <color theme="1"/>
        <rFont val="Aptos Narrow"/>
        <family val="2"/>
        <scheme val="minor"/>
      </rPr>
      <t>ore</t>
    </r>
    <r>
      <rPr>
        <sz val="11"/>
        <color theme="1"/>
        <rFont val="Aptos Narrow"/>
        <family val="2"/>
        <scheme val="minor"/>
      </rPr>
      <t>]</t>
    </r>
  </si>
  <si>
    <r>
      <t>n</t>
    </r>
    <r>
      <rPr>
        <vertAlign val="subscript"/>
        <sz val="11"/>
        <color theme="1"/>
        <rFont val="Aptos Narrow"/>
        <family val="2"/>
        <scheme val="minor"/>
      </rPr>
      <t>ore</t>
    </r>
  </si>
  <si>
    <t>inputs</t>
  </si>
  <si>
    <t>outputs</t>
  </si>
  <si>
    <t>Value</t>
  </si>
  <si>
    <r>
      <t>[mol</t>
    </r>
    <r>
      <rPr>
        <vertAlign val="subscript"/>
        <sz val="11"/>
        <color theme="1"/>
        <rFont val="Aptos Narrow"/>
        <family val="2"/>
        <scheme val="minor"/>
      </rPr>
      <t>i</t>
    </r>
    <r>
      <rPr>
        <sz val="11"/>
        <color theme="1"/>
        <rFont val="Aptos Narrow"/>
        <family val="2"/>
        <scheme val="minor"/>
      </rPr>
      <t>/mol</t>
    </r>
    <r>
      <rPr>
        <vertAlign val="subscript"/>
        <sz val="11"/>
        <color theme="1"/>
        <rFont val="Aptos Narrow"/>
        <family val="2"/>
        <scheme val="minor"/>
      </rPr>
      <t>m</t>
    </r>
    <r>
      <rPr>
        <sz val="11"/>
        <color theme="1"/>
        <rFont val="Aptos Narrow"/>
        <family val="2"/>
        <scheme val="minor"/>
      </rPr>
      <t>]</t>
    </r>
  </si>
  <si>
    <r>
      <t>[mol</t>
    </r>
    <r>
      <rPr>
        <vertAlign val="subscript"/>
        <sz val="11"/>
        <color theme="1"/>
        <rFont val="Aptos Narrow"/>
        <family val="2"/>
        <scheme val="minor"/>
      </rPr>
      <t>m</t>
    </r>
    <r>
      <rPr>
        <sz val="11"/>
        <color theme="1"/>
        <rFont val="Aptos Narrow"/>
        <family val="2"/>
        <scheme val="minor"/>
      </rPr>
      <t>]</t>
    </r>
  </si>
  <si>
    <r>
      <t>[kg</t>
    </r>
    <r>
      <rPr>
        <vertAlign val="subscript"/>
        <sz val="11"/>
        <color theme="1"/>
        <rFont val="Aptos Narrow"/>
        <family val="2"/>
        <scheme val="minor"/>
      </rPr>
      <t>m</t>
    </r>
    <r>
      <rPr>
        <sz val="11"/>
        <color theme="1"/>
        <rFont val="Aptos Narrow"/>
        <family val="2"/>
        <scheme val="minor"/>
      </rPr>
      <t>]</t>
    </r>
  </si>
  <si>
    <r>
      <t>[ton</t>
    </r>
    <r>
      <rPr>
        <vertAlign val="subscript"/>
        <sz val="11"/>
        <color theme="1"/>
        <rFont val="Aptos Narrow"/>
        <family val="2"/>
        <scheme val="minor"/>
      </rPr>
      <t>m</t>
    </r>
    <r>
      <rPr>
        <sz val="11"/>
        <color theme="1"/>
        <rFont val="Aptos Narrow"/>
        <family val="2"/>
        <scheme val="minor"/>
      </rPr>
      <t>]</t>
    </r>
  </si>
  <si>
    <r>
      <t>CO</t>
    </r>
    <r>
      <rPr>
        <b/>
        <vertAlign val="subscript"/>
        <sz val="15"/>
        <color theme="1"/>
        <rFont val="Aptos Narrow"/>
        <family val="2"/>
        <scheme val="minor"/>
      </rPr>
      <t xml:space="preserve">2 </t>
    </r>
    <r>
      <rPr>
        <b/>
        <sz val="15"/>
        <color theme="1"/>
        <rFont val="Aptos Narrow"/>
        <family val="2"/>
        <scheme val="minor"/>
      </rPr>
      <t>Emission</t>
    </r>
  </si>
  <si>
    <r>
      <t>η</t>
    </r>
    <r>
      <rPr>
        <b/>
        <vertAlign val="subscript"/>
        <sz val="12"/>
        <color rgb="FF000000"/>
        <rFont val="Aptos Narrow"/>
        <family val="2"/>
      </rPr>
      <t>χ,BF</t>
    </r>
  </si>
  <si>
    <r>
      <rPr>
        <sz val="11"/>
        <color rgb="FFFF0000"/>
        <rFont val="Aptos Narrow"/>
        <family val="2"/>
        <scheme val="minor"/>
      </rPr>
      <t>a</t>
    </r>
    <r>
      <rPr>
        <sz val="11"/>
        <color theme="1"/>
        <rFont val="Aptos Narrow"/>
        <family val="2"/>
        <scheme val="minor"/>
      </rPr>
      <t xml:space="preserve"> Fe</t>
    </r>
    <r>
      <rPr>
        <vertAlign val="subscript"/>
        <sz val="11"/>
        <color theme="1"/>
        <rFont val="Aptos Narrow"/>
        <family val="2"/>
        <scheme val="minor"/>
      </rPr>
      <t>2</t>
    </r>
    <r>
      <rPr>
        <sz val="11"/>
        <color theme="1"/>
        <rFont val="Aptos Narrow"/>
        <family val="2"/>
        <scheme val="minor"/>
      </rPr>
      <t>O</t>
    </r>
    <r>
      <rPr>
        <vertAlign val="subscript"/>
        <sz val="11"/>
        <color theme="1"/>
        <rFont val="Aptos Narrow"/>
        <family val="2"/>
        <scheme val="minor"/>
      </rPr>
      <t>3</t>
    </r>
    <r>
      <rPr>
        <sz val="11"/>
        <color theme="1"/>
        <rFont val="Aptos Narrow"/>
        <family val="2"/>
        <scheme val="minor"/>
      </rPr>
      <t xml:space="preserve"> + </t>
    </r>
    <r>
      <rPr>
        <sz val="11"/>
        <color rgb="FFFF0000"/>
        <rFont val="Aptos Narrow"/>
        <family val="2"/>
        <scheme val="minor"/>
      </rPr>
      <t xml:space="preserve">b </t>
    </r>
    <r>
      <rPr>
        <sz val="11"/>
        <color theme="1"/>
        <rFont val="Aptos Narrow"/>
        <family val="2"/>
        <scheme val="minor"/>
      </rPr>
      <t>CO</t>
    </r>
  </si>
  <si>
    <t>CO</t>
  </si>
  <si>
    <t>CaO</t>
  </si>
  <si>
    <r>
      <t xml:space="preserve">Dean, John A. </t>
    </r>
    <r>
      <rPr>
        <i/>
        <sz val="11"/>
        <color theme="1"/>
        <rFont val="Aptos Narrow"/>
        <family val="2"/>
        <scheme val="minor"/>
      </rPr>
      <t>Lange's Handbook of Chemistry, 12th ed.</t>
    </r>
    <r>
      <rPr>
        <sz val="11"/>
        <color theme="1"/>
        <rFont val="Aptos Narrow"/>
        <family val="2"/>
        <scheme val="minor"/>
      </rPr>
      <t>; McGraw-Hill; New York, New York, 1979; p 9-4-9-94.</t>
    </r>
  </si>
  <si>
    <r>
      <rPr>
        <sz val="12"/>
        <color rgb="FFFF0000"/>
        <rFont val="Aptos Narrow"/>
        <family val="2"/>
        <scheme val="minor"/>
      </rPr>
      <t xml:space="preserve"> c </t>
    </r>
    <r>
      <rPr>
        <sz val="12"/>
        <rFont val="Aptos Narrow"/>
        <family val="2"/>
        <scheme val="minor"/>
      </rPr>
      <t xml:space="preserve">Fe + </t>
    </r>
    <r>
      <rPr>
        <sz val="12"/>
        <color rgb="FFFF0000"/>
        <rFont val="Aptos Narrow"/>
        <family val="2"/>
        <scheme val="minor"/>
      </rPr>
      <t>d</t>
    </r>
    <r>
      <rPr>
        <sz val="12"/>
        <color theme="1"/>
        <rFont val="Aptos Narrow"/>
        <family val="2"/>
        <scheme val="minor"/>
      </rPr>
      <t xml:space="preserve"> CO</t>
    </r>
    <r>
      <rPr>
        <vertAlign val="subscript"/>
        <sz val="12"/>
        <color theme="1"/>
        <rFont val="Aptos Narrow"/>
        <family val="2"/>
        <scheme val="minor"/>
      </rPr>
      <t>2</t>
    </r>
    <r>
      <rPr>
        <sz val="12"/>
        <color theme="1"/>
        <rFont val="Aptos Narrow"/>
        <family val="2"/>
        <scheme val="minor"/>
      </rPr>
      <t xml:space="preserve"> </t>
    </r>
  </si>
  <si>
    <r>
      <rPr>
        <sz val="11"/>
        <color rgb="FFFF0000"/>
        <rFont val="Aptos Narrow"/>
        <family val="2"/>
        <scheme val="minor"/>
      </rPr>
      <t>e</t>
    </r>
    <r>
      <rPr>
        <sz val="11"/>
        <color theme="1"/>
        <rFont val="Aptos Narrow"/>
        <family val="2"/>
        <scheme val="minor"/>
      </rPr>
      <t xml:space="preserve"> CaO +</t>
    </r>
    <r>
      <rPr>
        <sz val="11"/>
        <color rgb="FFFF0000"/>
        <rFont val="Aptos Narrow"/>
        <family val="2"/>
        <scheme val="minor"/>
      </rPr>
      <t xml:space="preserve"> f </t>
    </r>
    <r>
      <rPr>
        <sz val="11"/>
        <color theme="1"/>
        <rFont val="Aptos Narrow"/>
        <family val="2"/>
        <scheme val="minor"/>
      </rPr>
      <t>SiO</t>
    </r>
    <r>
      <rPr>
        <vertAlign val="subscript"/>
        <sz val="11"/>
        <color theme="1"/>
        <rFont val="Aptos Narrow"/>
        <family val="2"/>
        <scheme val="minor"/>
      </rPr>
      <t>2</t>
    </r>
  </si>
  <si>
    <r>
      <rPr>
        <sz val="11"/>
        <color rgb="FFFF0000"/>
        <rFont val="Aptos Narrow"/>
        <family val="2"/>
        <scheme val="minor"/>
      </rPr>
      <t>g</t>
    </r>
    <r>
      <rPr>
        <sz val="11"/>
        <color theme="1"/>
        <rFont val="Aptos Narrow"/>
        <family val="2"/>
        <scheme val="minor"/>
      </rPr>
      <t xml:space="preserve"> CaSiO</t>
    </r>
    <r>
      <rPr>
        <vertAlign val="subscript"/>
        <sz val="11"/>
        <color theme="1"/>
        <rFont val="Aptos Narrow"/>
        <family val="2"/>
        <scheme val="minor"/>
      </rPr>
      <t>3</t>
    </r>
  </si>
  <si>
    <t>Chemical Formula for Simplified Blast Furnace</t>
  </si>
  <si>
    <t>[g/g]</t>
  </si>
  <si>
    <t>https://www.economics.utoronto.ca/munro5/BlastFurnaceHydraulic.pdf</t>
  </si>
  <si>
    <t>Chem. Eqns.</t>
  </si>
  <si>
    <t>pg.3</t>
  </si>
  <si>
    <r>
      <t xml:space="preserve">Valero Capilla, A.; Valero Delgado, A.; </t>
    </r>
    <r>
      <rPr>
        <i/>
        <sz val="11"/>
        <color theme="1"/>
        <rFont val="Aptos Narrow"/>
        <family val="2"/>
        <scheme val="minor"/>
      </rPr>
      <t xml:space="preserve">Thanatia, The Destiny of the Earth's Mineral Resources, </t>
    </r>
    <r>
      <rPr>
        <sz val="11"/>
        <color theme="1"/>
        <rFont val="Aptos Narrow"/>
        <family val="2"/>
        <scheme val="minor"/>
      </rPr>
      <t>World Scientific Publishing Co. Pte. Ltd., 2015; p 277</t>
    </r>
  </si>
  <si>
    <r>
      <t>Q</t>
    </r>
    <r>
      <rPr>
        <vertAlign val="subscript"/>
        <sz val="11"/>
        <color theme="1"/>
        <rFont val="Aptos Narrow"/>
        <family val="2"/>
        <scheme val="minor"/>
      </rPr>
      <t>i</t>
    </r>
    <r>
      <rPr>
        <sz val="11"/>
        <color theme="1"/>
        <rFont val="Aptos Narrow"/>
        <family val="2"/>
        <scheme val="minor"/>
      </rPr>
      <t xml:space="preserve"> = N</t>
    </r>
    <r>
      <rPr>
        <vertAlign val="subscript"/>
        <sz val="11"/>
        <color theme="1"/>
        <rFont val="Aptos Narrow"/>
        <family val="2"/>
        <scheme val="minor"/>
      </rPr>
      <t>i</t>
    </r>
    <r>
      <rPr>
        <sz val="11"/>
        <color theme="1"/>
        <rFont val="Aptos Narrow"/>
        <family val="2"/>
        <scheme val="minor"/>
      </rPr>
      <t xml:space="preserve"> (h</t>
    </r>
    <r>
      <rPr>
        <vertAlign val="subscript"/>
        <sz val="11"/>
        <color theme="1"/>
        <rFont val="Aptos Narrow"/>
        <family val="2"/>
        <scheme val="minor"/>
      </rPr>
      <t>3</t>
    </r>
    <r>
      <rPr>
        <sz val="11"/>
        <color theme="1"/>
        <rFont val="Aptos Narrow"/>
        <family val="2"/>
        <scheme val="minor"/>
      </rPr>
      <t xml:space="preserve"> - h</t>
    </r>
    <r>
      <rPr>
        <vertAlign val="subscript"/>
        <sz val="11"/>
        <color theme="1"/>
        <rFont val="Aptos Narrow"/>
        <family val="2"/>
        <scheme val="minor"/>
      </rPr>
      <t>4</t>
    </r>
    <r>
      <rPr>
        <sz val="11"/>
        <color theme="1"/>
        <rFont val="Aptos Narrow"/>
        <family val="2"/>
        <scheme val="minor"/>
      </rPr>
      <t>)</t>
    </r>
  </si>
  <si>
    <t>X</t>
  </si>
  <si>
    <r>
      <t>y</t>
    </r>
    <r>
      <rPr>
        <vertAlign val="subscript"/>
        <sz val="12"/>
        <color rgb="FF000000"/>
        <rFont val="Aptos Narrow"/>
        <family val="2"/>
        <scheme val="minor"/>
      </rPr>
      <t>i,1</t>
    </r>
  </si>
  <si>
    <r>
      <t>b</t>
    </r>
    <r>
      <rPr>
        <vertAlign val="subscript"/>
        <sz val="12"/>
        <color rgb="FF000000"/>
        <rFont val="Aptos Narrow"/>
        <family val="2"/>
        <scheme val="minor"/>
      </rPr>
      <t>ch,I,1</t>
    </r>
  </si>
  <si>
    <r>
      <t>N</t>
    </r>
    <r>
      <rPr>
        <vertAlign val="subscript"/>
        <sz val="12"/>
        <color rgb="FF000000"/>
        <rFont val="Aptos Narrow (Body)"/>
      </rPr>
      <t>i,1</t>
    </r>
  </si>
  <si>
    <r>
      <t>m</t>
    </r>
    <r>
      <rPr>
        <vertAlign val="subscript"/>
        <sz val="12"/>
        <color rgb="FF000000"/>
        <rFont val="Aptos Narrow"/>
        <family val="2"/>
        <scheme val="minor"/>
      </rPr>
      <t>i,1</t>
    </r>
  </si>
  <si>
    <r>
      <t>b</t>
    </r>
    <r>
      <rPr>
        <vertAlign val="subscript"/>
        <sz val="12"/>
        <color rgb="FF000000"/>
        <rFont val="Aptos Narrow"/>
        <family val="2"/>
        <scheme val="minor"/>
      </rPr>
      <t>ch,i,1</t>
    </r>
  </si>
  <si>
    <r>
      <t>b</t>
    </r>
    <r>
      <rPr>
        <vertAlign val="subscript"/>
        <sz val="12"/>
        <color rgb="FF000000"/>
        <rFont val="Aptos Narrow"/>
        <family val="2"/>
        <scheme val="minor"/>
      </rPr>
      <t>c,i,1</t>
    </r>
    <r>
      <rPr>
        <sz val="12"/>
        <color rgb="FF000000"/>
        <rFont val="Aptos Narrow"/>
        <family val="2"/>
        <scheme val="minor"/>
      </rPr>
      <t xml:space="preserve"> = R T</t>
    </r>
    <r>
      <rPr>
        <vertAlign val="subscript"/>
        <sz val="12"/>
        <color rgb="FF000000"/>
        <rFont val="Aptos Narrow"/>
        <family val="2"/>
        <scheme val="minor"/>
      </rPr>
      <t>0</t>
    </r>
    <r>
      <rPr>
        <sz val="12"/>
        <color rgb="FF000000"/>
        <rFont val="Aptos Narrow"/>
        <family val="2"/>
        <scheme val="minor"/>
      </rPr>
      <t xml:space="preserve"> ln(y</t>
    </r>
    <r>
      <rPr>
        <vertAlign val="subscript"/>
        <sz val="12"/>
        <color rgb="FF000000"/>
        <rFont val="Aptos Narrow"/>
        <family val="2"/>
        <scheme val="minor"/>
      </rPr>
      <t>i</t>
    </r>
    <r>
      <rPr>
        <sz val="12"/>
        <color rgb="FF000000"/>
        <rFont val="Aptos Narrow"/>
        <family val="2"/>
        <scheme val="minor"/>
      </rPr>
      <t>)</t>
    </r>
  </si>
  <si>
    <r>
      <t>b</t>
    </r>
    <r>
      <rPr>
        <vertAlign val="subscript"/>
        <sz val="12"/>
        <color rgb="FF000000"/>
        <rFont val="Aptos Narrow"/>
        <family val="2"/>
        <scheme val="minor"/>
      </rPr>
      <t>i,1</t>
    </r>
    <r>
      <rPr>
        <sz val="12"/>
        <color rgb="FF000000"/>
        <rFont val="Aptos Narrow"/>
        <family val="2"/>
        <scheme val="minor"/>
      </rPr>
      <t xml:space="preserve"> = b</t>
    </r>
    <r>
      <rPr>
        <vertAlign val="subscript"/>
        <sz val="12"/>
        <color rgb="FF000000"/>
        <rFont val="Aptos Narrow"/>
        <family val="2"/>
        <scheme val="minor"/>
      </rPr>
      <t>ch,i</t>
    </r>
    <r>
      <rPr>
        <sz val="12"/>
        <color rgb="FF000000"/>
        <rFont val="Aptos Narrow"/>
        <family val="2"/>
        <scheme val="minor"/>
      </rPr>
      <t xml:space="preserve"> + b</t>
    </r>
    <r>
      <rPr>
        <vertAlign val="subscript"/>
        <sz val="12"/>
        <color rgb="FF000000"/>
        <rFont val="Aptos Narrow"/>
        <family val="2"/>
        <scheme val="minor"/>
      </rPr>
      <t>c,i</t>
    </r>
  </si>
  <si>
    <r>
      <t>b</t>
    </r>
    <r>
      <rPr>
        <vertAlign val="subscript"/>
        <sz val="12"/>
        <color rgb="FF000000"/>
        <rFont val="Aptos Narrow"/>
        <family val="2"/>
        <scheme val="minor"/>
      </rPr>
      <t>m,1</t>
    </r>
    <r>
      <rPr>
        <sz val="12"/>
        <color rgb="FF000000"/>
        <rFont val="Aptos Narrow"/>
        <family val="2"/>
        <scheme val="minor"/>
      </rPr>
      <t xml:space="preserve"> = y</t>
    </r>
    <r>
      <rPr>
        <vertAlign val="subscript"/>
        <sz val="12"/>
        <color rgb="FF000000"/>
        <rFont val="Aptos Narrow"/>
        <family val="2"/>
        <scheme val="minor"/>
      </rPr>
      <t>i</t>
    </r>
    <r>
      <rPr>
        <sz val="12"/>
        <color rgb="FF000000"/>
        <rFont val="Aptos Narrow"/>
        <family val="2"/>
        <scheme val="minor"/>
      </rPr>
      <t xml:space="preserve"> b</t>
    </r>
    <r>
      <rPr>
        <vertAlign val="subscript"/>
        <sz val="12"/>
        <color rgb="FF000000"/>
        <rFont val="Aptos Narrow"/>
        <family val="2"/>
        <scheme val="minor"/>
      </rPr>
      <t>i</t>
    </r>
  </si>
  <si>
    <r>
      <t>B</t>
    </r>
    <r>
      <rPr>
        <vertAlign val="subscript"/>
        <sz val="12"/>
        <color rgb="FF000000"/>
        <rFont val="Aptos Narrow"/>
        <family val="2"/>
        <scheme val="minor"/>
      </rPr>
      <t>m,1</t>
    </r>
  </si>
  <si>
    <r>
      <t>m</t>
    </r>
    <r>
      <rPr>
        <vertAlign val="subscript"/>
        <sz val="12"/>
        <color rgb="FF000000"/>
        <rFont val="Aptos Narrow"/>
        <family val="2"/>
        <scheme val="minor"/>
      </rPr>
      <t>i,2</t>
    </r>
  </si>
  <si>
    <r>
      <t>b</t>
    </r>
    <r>
      <rPr>
        <vertAlign val="subscript"/>
        <sz val="12"/>
        <color rgb="FF000000"/>
        <rFont val="Aptos Narrow"/>
        <family val="2"/>
        <scheme val="minor"/>
      </rPr>
      <t>ch,i,2</t>
    </r>
  </si>
  <si>
    <r>
      <t>y</t>
    </r>
    <r>
      <rPr>
        <vertAlign val="subscript"/>
        <sz val="12"/>
        <color rgb="FF000000"/>
        <rFont val="Aptos Narrow"/>
        <family val="2"/>
        <scheme val="minor"/>
      </rPr>
      <t>i,2</t>
    </r>
  </si>
  <si>
    <r>
      <t>b</t>
    </r>
    <r>
      <rPr>
        <vertAlign val="subscript"/>
        <sz val="12"/>
        <color rgb="FF000000"/>
        <rFont val="Aptos Narrow"/>
        <family val="2"/>
        <scheme val="minor"/>
      </rPr>
      <t>c,i,2</t>
    </r>
    <r>
      <rPr>
        <sz val="12"/>
        <color rgb="FF000000"/>
        <rFont val="Aptos Narrow"/>
        <family val="2"/>
        <scheme val="minor"/>
      </rPr>
      <t xml:space="preserve"> = R T</t>
    </r>
    <r>
      <rPr>
        <vertAlign val="subscript"/>
        <sz val="12"/>
        <color rgb="FF000000"/>
        <rFont val="Aptos Narrow"/>
        <family val="2"/>
        <scheme val="minor"/>
      </rPr>
      <t>0</t>
    </r>
    <r>
      <rPr>
        <sz val="12"/>
        <color rgb="FF000000"/>
        <rFont val="Aptos Narrow"/>
        <family val="2"/>
        <scheme val="minor"/>
      </rPr>
      <t xml:space="preserve"> ln(y</t>
    </r>
    <r>
      <rPr>
        <vertAlign val="subscript"/>
        <sz val="12"/>
        <color rgb="FF000000"/>
        <rFont val="Aptos Narrow"/>
        <family val="2"/>
        <scheme val="minor"/>
      </rPr>
      <t>i</t>
    </r>
    <r>
      <rPr>
        <sz val="12"/>
        <color rgb="FF000000"/>
        <rFont val="Aptos Narrow"/>
        <family val="2"/>
        <scheme val="minor"/>
      </rPr>
      <t>)</t>
    </r>
  </si>
  <si>
    <r>
      <t>b</t>
    </r>
    <r>
      <rPr>
        <vertAlign val="subscript"/>
        <sz val="12"/>
        <color rgb="FF000000"/>
        <rFont val="Aptos Narrow"/>
        <family val="2"/>
        <scheme val="minor"/>
      </rPr>
      <t>i,2</t>
    </r>
    <r>
      <rPr>
        <sz val="12"/>
        <color rgb="FF000000"/>
        <rFont val="Aptos Narrow"/>
        <family val="2"/>
        <scheme val="minor"/>
      </rPr>
      <t xml:space="preserve"> = b</t>
    </r>
    <r>
      <rPr>
        <vertAlign val="subscript"/>
        <sz val="12"/>
        <color rgb="FF000000"/>
        <rFont val="Aptos Narrow"/>
        <family val="2"/>
        <scheme val="minor"/>
      </rPr>
      <t>ch,i</t>
    </r>
    <r>
      <rPr>
        <sz val="12"/>
        <color rgb="FF000000"/>
        <rFont val="Aptos Narrow"/>
        <family val="2"/>
        <scheme val="minor"/>
      </rPr>
      <t xml:space="preserve"> + b</t>
    </r>
    <r>
      <rPr>
        <vertAlign val="subscript"/>
        <sz val="12"/>
        <color rgb="FF000000"/>
        <rFont val="Aptos Narrow"/>
        <family val="2"/>
        <scheme val="minor"/>
      </rPr>
      <t>c,i</t>
    </r>
  </si>
  <si>
    <r>
      <t>b</t>
    </r>
    <r>
      <rPr>
        <vertAlign val="subscript"/>
        <sz val="12"/>
        <color rgb="FF000000"/>
        <rFont val="Aptos Narrow"/>
        <family val="2"/>
        <scheme val="minor"/>
      </rPr>
      <t>m,2</t>
    </r>
    <r>
      <rPr>
        <sz val="12"/>
        <color rgb="FF000000"/>
        <rFont val="Aptos Narrow"/>
        <family val="2"/>
        <scheme val="minor"/>
      </rPr>
      <t xml:space="preserve"> = y</t>
    </r>
    <r>
      <rPr>
        <vertAlign val="subscript"/>
        <sz val="12"/>
        <color rgb="FF000000"/>
        <rFont val="Aptos Narrow"/>
        <family val="2"/>
        <scheme val="minor"/>
      </rPr>
      <t>i</t>
    </r>
    <r>
      <rPr>
        <sz val="12"/>
        <color rgb="FF000000"/>
        <rFont val="Aptos Narrow"/>
        <family val="2"/>
        <scheme val="minor"/>
      </rPr>
      <t xml:space="preserve"> b</t>
    </r>
    <r>
      <rPr>
        <vertAlign val="subscript"/>
        <sz val="12"/>
        <color rgb="FF000000"/>
        <rFont val="Aptos Narrow"/>
        <family val="2"/>
        <scheme val="minor"/>
      </rPr>
      <t>i</t>
    </r>
  </si>
  <si>
    <r>
      <t>B</t>
    </r>
    <r>
      <rPr>
        <vertAlign val="subscript"/>
        <sz val="12"/>
        <color rgb="FF000000"/>
        <rFont val="Aptos Narrow"/>
        <family val="2"/>
        <scheme val="minor"/>
      </rPr>
      <t>m,2</t>
    </r>
  </si>
  <si>
    <r>
      <t>h</t>
    </r>
    <r>
      <rPr>
        <vertAlign val="subscript"/>
        <sz val="11"/>
        <color theme="1"/>
        <rFont val="Aptos Narrow"/>
        <family val="2"/>
        <scheme val="minor"/>
      </rPr>
      <t>i,3</t>
    </r>
  </si>
  <si>
    <r>
      <t>s</t>
    </r>
    <r>
      <rPr>
        <vertAlign val="subscript"/>
        <sz val="11"/>
        <color theme="1"/>
        <rFont val="Aptos Narrow"/>
        <family val="2"/>
        <scheme val="minor"/>
      </rPr>
      <t>i,3</t>
    </r>
  </si>
  <si>
    <r>
      <t>m</t>
    </r>
    <r>
      <rPr>
        <vertAlign val="subscript"/>
        <sz val="12"/>
        <color rgb="FF000000"/>
        <rFont val="Aptos Narrow"/>
        <family val="2"/>
        <scheme val="minor"/>
      </rPr>
      <t>i,3</t>
    </r>
  </si>
  <si>
    <r>
      <t>b</t>
    </r>
    <r>
      <rPr>
        <vertAlign val="subscript"/>
        <sz val="12"/>
        <color rgb="FF000000"/>
        <rFont val="Aptos Narrow"/>
        <family val="2"/>
        <scheme val="minor"/>
      </rPr>
      <t>ch,i,3</t>
    </r>
  </si>
  <si>
    <r>
      <t>y</t>
    </r>
    <r>
      <rPr>
        <vertAlign val="subscript"/>
        <sz val="12"/>
        <color rgb="FF000000"/>
        <rFont val="Aptos Narrow"/>
        <family val="2"/>
        <scheme val="minor"/>
      </rPr>
      <t>i,3</t>
    </r>
  </si>
  <si>
    <r>
      <t>b</t>
    </r>
    <r>
      <rPr>
        <vertAlign val="subscript"/>
        <sz val="12"/>
        <color rgb="FF000000"/>
        <rFont val="Aptos Narrow"/>
        <family val="2"/>
        <scheme val="minor"/>
      </rPr>
      <t>c,i,3</t>
    </r>
    <r>
      <rPr>
        <sz val="12"/>
        <color rgb="FF000000"/>
        <rFont val="Aptos Narrow"/>
        <family val="2"/>
        <scheme val="minor"/>
      </rPr>
      <t xml:space="preserve"> = R T</t>
    </r>
    <r>
      <rPr>
        <vertAlign val="subscript"/>
        <sz val="12"/>
        <color rgb="FF000000"/>
        <rFont val="Aptos Narrow"/>
        <family val="2"/>
        <scheme val="minor"/>
      </rPr>
      <t>0</t>
    </r>
    <r>
      <rPr>
        <sz val="12"/>
        <color rgb="FF000000"/>
        <rFont val="Aptos Narrow"/>
        <family val="2"/>
        <scheme val="minor"/>
      </rPr>
      <t xml:space="preserve"> ln(y</t>
    </r>
    <r>
      <rPr>
        <vertAlign val="subscript"/>
        <sz val="12"/>
        <color rgb="FF000000"/>
        <rFont val="Aptos Narrow"/>
        <family val="2"/>
        <scheme val="minor"/>
      </rPr>
      <t>i</t>
    </r>
    <r>
      <rPr>
        <sz val="12"/>
        <color rgb="FF000000"/>
        <rFont val="Aptos Narrow"/>
        <family val="2"/>
        <scheme val="minor"/>
      </rPr>
      <t>)</t>
    </r>
  </si>
  <si>
    <r>
      <t>b</t>
    </r>
    <r>
      <rPr>
        <vertAlign val="subscript"/>
        <sz val="12"/>
        <color rgb="FF000000"/>
        <rFont val="Aptos Narrow"/>
        <family val="2"/>
        <scheme val="minor"/>
      </rPr>
      <t>i,3</t>
    </r>
    <r>
      <rPr>
        <sz val="12"/>
        <color rgb="FF000000"/>
        <rFont val="Aptos Narrow"/>
        <family val="2"/>
        <scheme val="minor"/>
      </rPr>
      <t xml:space="preserve"> = b</t>
    </r>
    <r>
      <rPr>
        <vertAlign val="subscript"/>
        <sz val="12"/>
        <color rgb="FF000000"/>
        <rFont val="Aptos Narrow"/>
        <family val="2"/>
        <scheme val="minor"/>
      </rPr>
      <t>ch,i</t>
    </r>
    <r>
      <rPr>
        <sz val="12"/>
        <color rgb="FF000000"/>
        <rFont val="Aptos Narrow"/>
        <family val="2"/>
        <scheme val="minor"/>
      </rPr>
      <t xml:space="preserve"> + b</t>
    </r>
    <r>
      <rPr>
        <vertAlign val="subscript"/>
        <sz val="12"/>
        <color rgb="FF000000"/>
        <rFont val="Aptos Narrow"/>
        <family val="2"/>
        <scheme val="minor"/>
      </rPr>
      <t>c,i</t>
    </r>
  </si>
  <si>
    <r>
      <t>b</t>
    </r>
    <r>
      <rPr>
        <vertAlign val="subscript"/>
        <sz val="12"/>
        <color rgb="FF000000"/>
        <rFont val="Aptos Narrow"/>
        <family val="2"/>
        <scheme val="minor"/>
      </rPr>
      <t>m,3</t>
    </r>
    <r>
      <rPr>
        <sz val="12"/>
        <color rgb="FF000000"/>
        <rFont val="Aptos Narrow"/>
        <family val="2"/>
        <scheme val="minor"/>
      </rPr>
      <t xml:space="preserve"> = y</t>
    </r>
    <r>
      <rPr>
        <vertAlign val="subscript"/>
        <sz val="12"/>
        <color rgb="FF000000"/>
        <rFont val="Aptos Narrow"/>
        <family val="2"/>
        <scheme val="minor"/>
      </rPr>
      <t>i</t>
    </r>
    <r>
      <rPr>
        <sz val="12"/>
        <color rgb="FF000000"/>
        <rFont val="Aptos Narrow"/>
        <family val="2"/>
        <scheme val="minor"/>
      </rPr>
      <t xml:space="preserve"> (b</t>
    </r>
    <r>
      <rPr>
        <vertAlign val="subscript"/>
        <sz val="12"/>
        <color rgb="FF000000"/>
        <rFont val="Aptos Narrow"/>
        <family val="2"/>
        <scheme val="minor"/>
      </rPr>
      <t xml:space="preserve">i </t>
    </r>
    <r>
      <rPr>
        <sz val="12"/>
        <color rgb="FF000000"/>
        <rFont val="Aptos Narrow"/>
        <family val="2"/>
        <scheme val="minor"/>
      </rPr>
      <t>+ x</t>
    </r>
    <r>
      <rPr>
        <vertAlign val="subscript"/>
        <sz val="12"/>
        <color rgb="FF000000"/>
        <rFont val="Aptos Narrow"/>
        <family val="2"/>
        <scheme val="minor"/>
      </rPr>
      <t>ph,i</t>
    </r>
    <r>
      <rPr>
        <sz val="12"/>
        <color rgb="FF000000"/>
        <rFont val="Aptos Narrow"/>
        <family val="2"/>
        <scheme val="minor"/>
      </rPr>
      <t>)</t>
    </r>
  </si>
  <si>
    <r>
      <t>B</t>
    </r>
    <r>
      <rPr>
        <vertAlign val="subscript"/>
        <sz val="12"/>
        <color rgb="FF000000"/>
        <rFont val="Aptos Narrow"/>
        <family val="2"/>
        <scheme val="minor"/>
      </rPr>
      <t>m,3</t>
    </r>
  </si>
  <si>
    <r>
      <t>x</t>
    </r>
    <r>
      <rPr>
        <vertAlign val="subscript"/>
        <sz val="12"/>
        <color rgb="FF000000"/>
        <rFont val="Aptos Narrow"/>
        <family val="2"/>
        <scheme val="minor"/>
      </rPr>
      <t>ph,i,3</t>
    </r>
  </si>
  <si>
    <r>
      <t>h</t>
    </r>
    <r>
      <rPr>
        <vertAlign val="subscript"/>
        <sz val="11"/>
        <color theme="1"/>
        <rFont val="Aptos Narrow"/>
        <family val="2"/>
        <scheme val="minor"/>
      </rPr>
      <t>i,4</t>
    </r>
  </si>
  <si>
    <r>
      <t>s</t>
    </r>
    <r>
      <rPr>
        <vertAlign val="subscript"/>
        <sz val="11"/>
        <color theme="1"/>
        <rFont val="Aptos Narrow"/>
        <family val="2"/>
        <scheme val="minor"/>
      </rPr>
      <t>i,4</t>
    </r>
  </si>
  <si>
    <r>
      <t>b</t>
    </r>
    <r>
      <rPr>
        <vertAlign val="subscript"/>
        <sz val="12"/>
        <color rgb="FF000000"/>
        <rFont val="Aptos Narrow"/>
        <family val="2"/>
        <scheme val="minor"/>
      </rPr>
      <t>m,4</t>
    </r>
    <r>
      <rPr>
        <sz val="12"/>
        <color rgb="FF000000"/>
        <rFont val="Aptos Narrow"/>
        <family val="2"/>
        <scheme val="minor"/>
      </rPr>
      <t xml:space="preserve"> = y</t>
    </r>
    <r>
      <rPr>
        <vertAlign val="subscript"/>
        <sz val="12"/>
        <color rgb="FF000000"/>
        <rFont val="Aptos Narrow"/>
        <family val="2"/>
        <scheme val="minor"/>
      </rPr>
      <t>i</t>
    </r>
    <r>
      <rPr>
        <sz val="12"/>
        <color rgb="FF000000"/>
        <rFont val="Aptos Narrow"/>
        <family val="2"/>
        <scheme val="minor"/>
      </rPr>
      <t xml:space="preserve"> (b</t>
    </r>
    <r>
      <rPr>
        <vertAlign val="subscript"/>
        <sz val="12"/>
        <color rgb="FF000000"/>
        <rFont val="Aptos Narrow"/>
        <family val="2"/>
        <scheme val="minor"/>
      </rPr>
      <t xml:space="preserve">i </t>
    </r>
    <r>
      <rPr>
        <sz val="12"/>
        <color rgb="FF000000"/>
        <rFont val="Aptos Narrow"/>
        <family val="2"/>
        <scheme val="minor"/>
      </rPr>
      <t>+ x</t>
    </r>
    <r>
      <rPr>
        <vertAlign val="subscript"/>
        <sz val="12"/>
        <color rgb="FF000000"/>
        <rFont val="Aptos Narrow"/>
        <family val="2"/>
        <scheme val="minor"/>
      </rPr>
      <t>ph,i</t>
    </r>
    <r>
      <rPr>
        <sz val="12"/>
        <color rgb="FF000000"/>
        <rFont val="Aptos Narrow"/>
        <family val="2"/>
        <scheme val="minor"/>
      </rPr>
      <t>)</t>
    </r>
  </si>
  <si>
    <r>
      <t>B</t>
    </r>
    <r>
      <rPr>
        <vertAlign val="subscript"/>
        <sz val="12"/>
        <color rgb="FF000000"/>
        <rFont val="Aptos Narrow"/>
        <family val="2"/>
        <scheme val="minor"/>
      </rPr>
      <t>m,4</t>
    </r>
  </si>
  <si>
    <r>
      <t>x</t>
    </r>
    <r>
      <rPr>
        <vertAlign val="subscript"/>
        <sz val="12"/>
        <color rgb="FF000000"/>
        <rFont val="Aptos Narrow"/>
        <family val="2"/>
        <scheme val="minor"/>
      </rPr>
      <t>ph,i,4</t>
    </r>
  </si>
  <si>
    <r>
      <t>b</t>
    </r>
    <r>
      <rPr>
        <vertAlign val="subscript"/>
        <sz val="12"/>
        <color rgb="FF000000"/>
        <rFont val="Aptos Narrow"/>
        <family val="2"/>
        <scheme val="minor"/>
      </rPr>
      <t>i,4</t>
    </r>
    <r>
      <rPr>
        <sz val="12"/>
        <color rgb="FF000000"/>
        <rFont val="Aptos Narrow"/>
        <family val="2"/>
        <scheme val="minor"/>
      </rPr>
      <t xml:space="preserve"> = b</t>
    </r>
    <r>
      <rPr>
        <vertAlign val="subscript"/>
        <sz val="12"/>
        <color rgb="FF000000"/>
        <rFont val="Aptos Narrow"/>
        <family val="2"/>
        <scheme val="minor"/>
      </rPr>
      <t>ch,i</t>
    </r>
    <r>
      <rPr>
        <sz val="12"/>
        <color rgb="FF000000"/>
        <rFont val="Aptos Narrow"/>
        <family val="2"/>
        <scheme val="minor"/>
      </rPr>
      <t xml:space="preserve"> + b</t>
    </r>
    <r>
      <rPr>
        <vertAlign val="subscript"/>
        <sz val="12"/>
        <color rgb="FF000000"/>
        <rFont val="Aptos Narrow"/>
        <family val="2"/>
        <scheme val="minor"/>
      </rPr>
      <t>c,i</t>
    </r>
  </si>
  <si>
    <r>
      <t>b</t>
    </r>
    <r>
      <rPr>
        <vertAlign val="subscript"/>
        <sz val="12"/>
        <color rgb="FF000000"/>
        <rFont val="Aptos Narrow"/>
        <family val="2"/>
        <scheme val="minor"/>
      </rPr>
      <t>c,i,4</t>
    </r>
    <r>
      <rPr>
        <sz val="12"/>
        <color rgb="FF000000"/>
        <rFont val="Aptos Narrow"/>
        <family val="2"/>
        <scheme val="minor"/>
      </rPr>
      <t xml:space="preserve"> = R T</t>
    </r>
    <r>
      <rPr>
        <vertAlign val="subscript"/>
        <sz val="12"/>
        <color rgb="FF000000"/>
        <rFont val="Aptos Narrow"/>
        <family val="2"/>
        <scheme val="minor"/>
      </rPr>
      <t>0</t>
    </r>
    <r>
      <rPr>
        <sz val="12"/>
        <color rgb="FF000000"/>
        <rFont val="Aptos Narrow"/>
        <family val="2"/>
        <scheme val="minor"/>
      </rPr>
      <t xml:space="preserve"> ln(y</t>
    </r>
    <r>
      <rPr>
        <vertAlign val="subscript"/>
        <sz val="12"/>
        <color rgb="FF000000"/>
        <rFont val="Aptos Narrow"/>
        <family val="2"/>
        <scheme val="minor"/>
      </rPr>
      <t>i</t>
    </r>
    <r>
      <rPr>
        <sz val="12"/>
        <color rgb="FF000000"/>
        <rFont val="Aptos Narrow"/>
        <family val="2"/>
        <scheme val="minor"/>
      </rPr>
      <t>)</t>
    </r>
  </si>
  <si>
    <r>
      <t>y</t>
    </r>
    <r>
      <rPr>
        <vertAlign val="subscript"/>
        <sz val="12"/>
        <color rgb="FF000000"/>
        <rFont val="Aptos Narrow"/>
        <family val="2"/>
        <scheme val="minor"/>
      </rPr>
      <t>i,4</t>
    </r>
  </si>
  <si>
    <r>
      <t>b</t>
    </r>
    <r>
      <rPr>
        <vertAlign val="subscript"/>
        <sz val="12"/>
        <color rgb="FF000000"/>
        <rFont val="Aptos Narrow"/>
        <family val="2"/>
        <scheme val="minor"/>
      </rPr>
      <t>ch,i,4</t>
    </r>
  </si>
  <si>
    <r>
      <t>m</t>
    </r>
    <r>
      <rPr>
        <vertAlign val="subscript"/>
        <sz val="12"/>
        <color rgb="FF000000"/>
        <rFont val="Aptos Narrow"/>
        <family val="2"/>
        <scheme val="minor"/>
      </rPr>
      <t>i,4</t>
    </r>
  </si>
  <si>
    <r>
      <t>B</t>
    </r>
    <r>
      <rPr>
        <b/>
        <vertAlign val="subscript"/>
        <sz val="11"/>
        <color theme="1"/>
        <rFont val="Aptos Narrow"/>
        <family val="2"/>
        <scheme val="minor"/>
      </rPr>
      <t>1</t>
    </r>
  </si>
  <si>
    <r>
      <t>B</t>
    </r>
    <r>
      <rPr>
        <b/>
        <vertAlign val="subscript"/>
        <sz val="11"/>
        <color theme="1"/>
        <rFont val="Aptos Narrow"/>
        <family val="2"/>
        <scheme val="minor"/>
      </rPr>
      <t>2</t>
    </r>
  </si>
  <si>
    <r>
      <t>T</t>
    </r>
    <r>
      <rPr>
        <vertAlign val="subscript"/>
        <sz val="11"/>
        <color theme="1"/>
        <rFont val="Aptos Narrow"/>
        <family val="2"/>
        <scheme val="minor"/>
      </rPr>
      <t>1</t>
    </r>
  </si>
  <si>
    <r>
      <t>m</t>
    </r>
    <r>
      <rPr>
        <vertAlign val="subscript"/>
        <sz val="11"/>
        <color theme="1"/>
        <rFont val="Aptos Narrow"/>
        <family val="2"/>
        <scheme val="minor"/>
      </rPr>
      <t>1</t>
    </r>
  </si>
  <si>
    <r>
      <t>m</t>
    </r>
    <r>
      <rPr>
        <vertAlign val="subscript"/>
        <sz val="11"/>
        <color theme="1"/>
        <rFont val="Aptos Narrow"/>
        <family val="2"/>
        <scheme val="minor"/>
      </rPr>
      <t>2</t>
    </r>
  </si>
  <si>
    <r>
      <t>T</t>
    </r>
    <r>
      <rPr>
        <vertAlign val="subscript"/>
        <sz val="11"/>
        <color theme="1"/>
        <rFont val="Aptos Narrow"/>
        <family val="2"/>
        <scheme val="minor"/>
      </rPr>
      <t>2</t>
    </r>
  </si>
  <si>
    <r>
      <t>T</t>
    </r>
    <r>
      <rPr>
        <vertAlign val="subscript"/>
        <sz val="11"/>
        <color theme="1"/>
        <rFont val="Aptos Narrow"/>
        <family val="2"/>
        <scheme val="minor"/>
      </rPr>
      <t>3</t>
    </r>
  </si>
  <si>
    <r>
      <t>m</t>
    </r>
    <r>
      <rPr>
        <vertAlign val="subscript"/>
        <sz val="11"/>
        <color theme="1"/>
        <rFont val="Aptos Narrow"/>
        <family val="2"/>
        <scheme val="minor"/>
      </rPr>
      <t>3</t>
    </r>
  </si>
  <si>
    <r>
      <t>B</t>
    </r>
    <r>
      <rPr>
        <b/>
        <vertAlign val="subscript"/>
        <sz val="11"/>
        <color theme="1"/>
        <rFont val="Aptos Narrow"/>
        <family val="2"/>
        <scheme val="minor"/>
      </rPr>
      <t>3</t>
    </r>
  </si>
  <si>
    <r>
      <t>T</t>
    </r>
    <r>
      <rPr>
        <vertAlign val="subscript"/>
        <sz val="11"/>
        <color theme="1"/>
        <rFont val="Aptos Narrow"/>
        <family val="2"/>
        <scheme val="minor"/>
      </rPr>
      <t>4</t>
    </r>
  </si>
  <si>
    <r>
      <t>m</t>
    </r>
    <r>
      <rPr>
        <vertAlign val="subscript"/>
        <sz val="11"/>
        <color theme="1"/>
        <rFont val="Aptos Narrow"/>
        <family val="2"/>
        <scheme val="minor"/>
      </rPr>
      <t>4</t>
    </r>
  </si>
  <si>
    <r>
      <t>B</t>
    </r>
    <r>
      <rPr>
        <b/>
        <vertAlign val="subscript"/>
        <sz val="11"/>
        <color theme="1"/>
        <rFont val="Aptos Narrow"/>
        <family val="2"/>
        <scheme val="minor"/>
      </rPr>
      <t>4</t>
    </r>
  </si>
  <si>
    <r>
      <t>X</t>
    </r>
    <r>
      <rPr>
        <b/>
        <vertAlign val="subscript"/>
        <sz val="11"/>
        <color theme="1"/>
        <rFont val="Aptos Narrow"/>
        <family val="2"/>
        <scheme val="minor"/>
      </rPr>
      <t>3</t>
    </r>
  </si>
  <si>
    <r>
      <t>h, h</t>
    </r>
    <r>
      <rPr>
        <vertAlign val="subscript"/>
        <sz val="11"/>
        <color theme="1"/>
        <rFont val="Aptos Narrow"/>
        <family val="2"/>
        <scheme val="minor"/>
      </rPr>
      <t>0</t>
    </r>
    <r>
      <rPr>
        <sz val="11"/>
        <color theme="1"/>
        <rFont val="Aptos Narrow"/>
        <family val="2"/>
        <scheme val="minor"/>
      </rPr>
      <t>, s, s</t>
    </r>
    <r>
      <rPr>
        <vertAlign val="subscript"/>
        <sz val="11"/>
        <color theme="1"/>
        <rFont val="Aptos Narrow"/>
        <family val="2"/>
        <scheme val="minor"/>
      </rPr>
      <t>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</si>
</sst>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38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22"/>
      <color rgb="FF000000"/>
      <name val="Aptos Narrow"/>
      <scheme val="minor"/>
    </font>
    <font>
      <vertAlign val="subscript"/>
      <sz val="12"/>
      <color rgb="FF000000"/>
      <name val="Aptos Narrow"/>
      <family val="2"/>
      <scheme val="minor"/>
    </font>
    <font>
      <vertAlign val="subscript"/>
      <sz val="12"/>
      <color rgb="FF000000"/>
      <name val="Aptos Narrow"/>
      <family val="2"/>
      <charset val="2"/>
      <scheme val="minor"/>
    </font>
    <font>
      <vertAlign val="superscript"/>
      <sz val="12"/>
      <color rgb="FF000000"/>
      <name val="Aptos Narrow"/>
      <family val="2"/>
      <scheme val="minor"/>
    </font>
    <font>
      <b/>
      <sz val="22"/>
      <color rgb="FF000000"/>
      <name val="Aptos Narrow"/>
      <family val="2"/>
      <scheme val="minor"/>
    </font>
    <font>
      <sz val="11"/>
      <color rgb="FF000000"/>
      <name val="Calibri"/>
      <family val="2"/>
    </font>
    <font>
      <vertAlign val="subscript"/>
      <sz val="11"/>
      <color theme="1"/>
      <name val="Aptos Narrow"/>
      <family val="2"/>
      <scheme val="minor"/>
    </font>
    <font>
      <b/>
      <sz val="22"/>
      <color theme="1"/>
      <name val="Aptos Narrow"/>
      <family val="2"/>
      <scheme val="minor"/>
    </font>
    <font>
      <sz val="12"/>
      <color rgb="FF000000"/>
      <name val="Calibri"/>
      <family val="2"/>
    </font>
    <font>
      <sz val="12"/>
      <color theme="1"/>
      <name val="Aptos Narrow"/>
      <family val="2"/>
      <scheme val="minor"/>
    </font>
    <font>
      <b/>
      <sz val="15"/>
      <color theme="1"/>
      <name val="Aptos Narrow"/>
      <family val="2"/>
      <scheme val="minor"/>
    </font>
    <font>
      <vertAlign val="subscript"/>
      <sz val="12"/>
      <color theme="1"/>
      <name val="Aptos Narrow"/>
      <family val="2"/>
      <scheme val="minor"/>
    </font>
    <font>
      <sz val="12"/>
      <color rgb="FF000000"/>
      <name val="Aptos Narrow"/>
      <family val="2"/>
    </font>
    <font>
      <sz val="12"/>
      <color rgb="FF000000"/>
      <name val="Symbol"/>
      <family val="1"/>
      <charset val="2"/>
    </font>
    <font>
      <u/>
      <sz val="11"/>
      <color theme="10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vertAlign val="subscript"/>
      <sz val="15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vertAlign val="subscript"/>
      <sz val="12"/>
      <color rgb="FF000000"/>
      <name val="Aptos Narrow"/>
      <family val="2"/>
      <scheme val="minor"/>
    </font>
    <font>
      <b/>
      <sz val="12"/>
      <color rgb="FF000000"/>
      <name val="Aptos Narrow"/>
      <family val="2"/>
    </font>
    <font>
      <b/>
      <vertAlign val="subscript"/>
      <sz val="12"/>
      <color rgb="FF000000"/>
      <name val="Aptos Narrow"/>
      <family val="2"/>
    </font>
    <font>
      <vertAlign val="subscript"/>
      <sz val="12"/>
      <color rgb="FF000000"/>
      <name val="Aptos Narrow (Body)"/>
    </font>
    <font>
      <vertAlign val="subscript"/>
      <sz val="11"/>
      <color theme="1"/>
      <name val="Aptos Narrow (Body)"/>
    </font>
    <font>
      <vertAlign val="subscript"/>
      <sz val="11"/>
      <color rgb="FF000000"/>
      <name val="Calibri"/>
      <family val="2"/>
    </font>
    <font>
      <i/>
      <sz val="11"/>
      <color theme="1"/>
      <name val="Aptos Narrow"/>
      <family val="2"/>
      <scheme val="minor"/>
    </font>
    <font>
      <sz val="12"/>
      <name val="Aptos Narrow"/>
      <family val="2"/>
      <scheme val="minor"/>
    </font>
    <font>
      <sz val="26"/>
      <color theme="1"/>
      <name val="Aptos Narrow"/>
      <family val="2"/>
      <scheme val="minor"/>
    </font>
    <font>
      <sz val="26"/>
      <color rgb="FF000000"/>
      <name val="Aptos Narrow"/>
      <family val="2"/>
      <scheme val="minor"/>
    </font>
    <font>
      <b/>
      <vertAlign val="subscript"/>
      <sz val="11"/>
      <color theme="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61CBF3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134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11" fontId="12" fillId="0" borderId="0" xfId="0" applyNumberFormat="1" applyFont="1" applyAlignment="1">
      <alignment horizontal="center"/>
    </xf>
    <xf numFmtId="0" fontId="13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6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17" fillId="0" borderId="0" xfId="0" applyFont="1" applyAlignment="1">
      <alignment horizontal="righ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5" borderId="0" xfId="0" applyFill="1" applyAlignment="1">
      <alignment horizontal="center"/>
    </xf>
    <xf numFmtId="0" fontId="12" fillId="0" borderId="6" xfId="0" applyFont="1" applyBorder="1" applyAlignment="1">
      <alignment horizontal="center"/>
    </xf>
    <xf numFmtId="0" fontId="18" fillId="0" borderId="0" xfId="1" applyAlignment="1">
      <alignment horizontal="center"/>
    </xf>
    <xf numFmtId="0" fontId="0" fillId="0" borderId="2" xfId="0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13" fillId="0" borderId="6" xfId="0" applyFont="1" applyBorder="1" applyAlignment="1">
      <alignment horizontal="center"/>
    </xf>
    <xf numFmtId="0" fontId="13" fillId="6" borderId="6" xfId="0" applyFont="1" applyFill="1" applyBorder="1" applyAlignment="1">
      <alignment horizontal="center"/>
    </xf>
    <xf numFmtId="0" fontId="20" fillId="0" borderId="7" xfId="0" applyFont="1" applyBorder="1" applyAlignment="1">
      <alignment horizontal="center"/>
    </xf>
    <xf numFmtId="0" fontId="20" fillId="0" borderId="3" xfId="0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21" fillId="0" borderId="3" xfId="0" applyFont="1" applyBorder="1" applyAlignment="1">
      <alignment horizontal="center"/>
    </xf>
    <xf numFmtId="0" fontId="22" fillId="0" borderId="3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20" fillId="0" borderId="0" xfId="0" applyFont="1" applyAlignment="1">
      <alignment horizontal="center"/>
    </xf>
    <xf numFmtId="0" fontId="0" fillId="0" borderId="14" xfId="0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20" fillId="0" borderId="0" xfId="0" applyFont="1"/>
    <xf numFmtId="0" fontId="19" fillId="0" borderId="6" xfId="0" applyFont="1" applyBorder="1" applyAlignment="1">
      <alignment horizontal="center"/>
    </xf>
    <xf numFmtId="0" fontId="19" fillId="0" borderId="2" xfId="0" applyFont="1" applyBorder="1" applyAlignment="1">
      <alignment horizontal="center"/>
    </xf>
    <xf numFmtId="0" fontId="19" fillId="0" borderId="0" xfId="0" applyFont="1" applyAlignment="1">
      <alignment horizontal="center"/>
    </xf>
    <xf numFmtId="0" fontId="19" fillId="0" borderId="1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12" fillId="0" borderId="20" xfId="0" applyFont="1" applyBorder="1" applyAlignment="1">
      <alignment horizontal="center"/>
    </xf>
    <xf numFmtId="0" fontId="0" fillId="0" borderId="21" xfId="0" applyBorder="1" applyAlignment="1">
      <alignment horizontal="center"/>
    </xf>
    <xf numFmtId="0" fontId="19" fillId="0" borderId="22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19" fillId="0" borderId="23" xfId="0" applyFont="1" applyBorder="1" applyAlignment="1">
      <alignment horizontal="center"/>
    </xf>
    <xf numFmtId="0" fontId="24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13" fillId="0" borderId="15" xfId="0" applyFont="1" applyBorder="1" applyAlignment="1">
      <alignment horizontal="center"/>
    </xf>
    <xf numFmtId="0" fontId="0" fillId="0" borderId="1" xfId="0" applyBorder="1"/>
    <xf numFmtId="0" fontId="0" fillId="0" borderId="24" xfId="0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0" fillId="0" borderId="27" xfId="0" applyBorder="1" applyAlignment="1">
      <alignment horizontal="center"/>
    </xf>
    <xf numFmtId="0" fontId="13" fillId="0" borderId="19" xfId="0" applyFon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5" fontId="0" fillId="0" borderId="2" xfId="0" applyNumberForma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13" fillId="0" borderId="2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4" fillId="0" borderId="0" xfId="0" applyFont="1" applyAlignment="1">
      <alignment horizontal="center" vertical="center" textRotation="90"/>
    </xf>
    <xf numFmtId="1" fontId="3" fillId="0" borderId="0" xfId="0" applyNumberFormat="1" applyFont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8" fillId="0" borderId="0" xfId="0" applyFont="1" applyAlignment="1">
      <alignment horizontal="center" vertical="center"/>
    </xf>
    <xf numFmtId="0" fontId="26" fillId="0" borderId="0" xfId="0" applyFont="1" applyAlignment="1">
      <alignment horizontal="center"/>
    </xf>
    <xf numFmtId="0" fontId="28" fillId="0" borderId="3" xfId="0" applyFont="1" applyBorder="1" applyAlignment="1">
      <alignment horizontal="center"/>
    </xf>
    <xf numFmtId="0" fontId="8" fillId="0" borderId="0" xfId="0" applyFont="1"/>
    <xf numFmtId="0" fontId="4" fillId="0" borderId="0" xfId="0" applyFont="1"/>
    <xf numFmtId="0" fontId="3" fillId="0" borderId="10" xfId="0" applyFont="1" applyBorder="1" applyAlignment="1">
      <alignment horizontal="center"/>
    </xf>
    <xf numFmtId="0" fontId="14" fillId="0" borderId="0" xfId="0" applyFont="1" applyAlignment="1">
      <alignment vertical="center" textRotation="90"/>
    </xf>
    <xf numFmtId="0" fontId="11" fillId="0" borderId="0" xfId="0" applyFont="1" applyAlignment="1">
      <alignment vertical="center" textRotation="90"/>
    </xf>
    <xf numFmtId="0" fontId="20" fillId="0" borderId="28" xfId="0" applyFont="1" applyBorder="1" applyAlignment="1">
      <alignment horizontal="center"/>
    </xf>
    <xf numFmtId="0" fontId="13" fillId="0" borderId="22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0" fillId="0" borderId="31" xfId="0" applyBorder="1" applyAlignment="1">
      <alignment horizontal="center"/>
    </xf>
    <xf numFmtId="0" fontId="3" fillId="0" borderId="29" xfId="0" applyFont="1" applyBorder="1" applyAlignment="1">
      <alignment horizontal="center"/>
    </xf>
    <xf numFmtId="0" fontId="3" fillId="0" borderId="32" xfId="0" applyFont="1" applyBorder="1" applyAlignment="1">
      <alignment horizontal="center"/>
    </xf>
    <xf numFmtId="0" fontId="4" fillId="0" borderId="0" xfId="0" applyFont="1" applyAlignment="1">
      <alignment vertical="center"/>
    </xf>
    <xf numFmtId="0" fontId="0" fillId="0" borderId="6" xfId="0" applyBorder="1"/>
    <xf numFmtId="0" fontId="0" fillId="0" borderId="2" xfId="0" applyBorder="1"/>
    <xf numFmtId="0" fontId="8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3" fillId="0" borderId="27" xfId="0" applyFont="1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4" xfId="0" applyBorder="1" applyAlignment="1">
      <alignment horizontal="center"/>
    </xf>
    <xf numFmtId="0" fontId="14" fillId="0" borderId="3" xfId="0" applyFont="1" applyBorder="1" applyAlignment="1">
      <alignment horizontal="center" vertical="center" textRotation="90"/>
    </xf>
    <xf numFmtId="0" fontId="14" fillId="0" borderId="4" xfId="0" applyFont="1" applyBorder="1" applyAlignment="1">
      <alignment horizontal="center" vertical="center" textRotation="90"/>
    </xf>
    <xf numFmtId="0" fontId="14" fillId="0" borderId="5" xfId="0" applyFont="1" applyBorder="1" applyAlignment="1">
      <alignment horizontal="center" vertical="center" textRotation="90"/>
    </xf>
    <xf numFmtId="0" fontId="14" fillId="3" borderId="0" xfId="0" applyFont="1" applyFill="1" applyAlignment="1">
      <alignment horizontal="center" vertical="center" textRotation="90"/>
    </xf>
    <xf numFmtId="0" fontId="0" fillId="0" borderId="2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6" xfId="0" applyBorder="1" applyAlignment="1">
      <alignment horizontal="center"/>
    </xf>
    <xf numFmtId="0" fontId="11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9" fillId="0" borderId="6" xfId="0" applyFont="1" applyBorder="1" applyAlignment="1">
      <alignment horizontal="center"/>
    </xf>
    <xf numFmtId="0" fontId="14" fillId="3" borderId="0" xfId="0" applyFont="1" applyFill="1" applyAlignment="1">
      <alignment horizontal="center" textRotation="90" wrapText="1"/>
    </xf>
    <xf numFmtId="0" fontId="14" fillId="4" borderId="0" xfId="0" applyFont="1" applyFill="1" applyAlignment="1">
      <alignment horizontal="center" vertical="center" textRotation="90"/>
    </xf>
    <xf numFmtId="0" fontId="4" fillId="3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8" fillId="3" borderId="0" xfId="0" applyFont="1" applyFill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3" fillId="0" borderId="6" xfId="0" applyFont="1" applyBorder="1" applyAlignment="1">
      <alignment horizontal="center"/>
    </xf>
    <xf numFmtId="0" fontId="14" fillId="0" borderId="0" xfId="0" applyFont="1" applyAlignment="1">
      <alignment horizontal="center" vertical="center" textRotation="90"/>
    </xf>
    <xf numFmtId="0" fontId="14" fillId="4" borderId="0" xfId="0" applyFont="1" applyFill="1" applyAlignment="1">
      <alignment horizontal="center" vertical="center" textRotation="90" wrapText="1"/>
    </xf>
    <xf numFmtId="0" fontId="14" fillId="3" borderId="0" xfId="0" applyFont="1" applyFill="1" applyAlignment="1">
      <alignment horizontal="center" vertical="center" textRotation="90" wrapText="1"/>
    </xf>
    <xf numFmtId="0" fontId="0" fillId="0" borderId="21" xfId="0" applyBorder="1" applyAlignment="1">
      <alignment horizontal="center"/>
    </xf>
    <xf numFmtId="0" fontId="0" fillId="0" borderId="15" xfId="0" applyBorder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8" fillId="7" borderId="0" xfId="0" applyFont="1" applyFill="1" applyAlignment="1">
      <alignment horizontal="center" vertical="center"/>
    </xf>
    <xf numFmtId="0" fontId="35" fillId="9" borderId="0" xfId="0" applyFont="1" applyFill="1" applyAlignment="1">
      <alignment horizontal="center"/>
    </xf>
    <xf numFmtId="0" fontId="36" fillId="9" borderId="0" xfId="0" applyFont="1" applyFill="1" applyAlignment="1">
      <alignment horizontal="center"/>
    </xf>
    <xf numFmtId="0" fontId="11" fillId="8" borderId="0" xfId="0" applyFont="1" applyFill="1" applyAlignment="1">
      <alignment horizontal="center" vertical="center" textRotation="9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25037</xdr:colOff>
      <xdr:row>80</xdr:row>
      <xdr:rowOff>76200</xdr:rowOff>
    </xdr:from>
    <xdr:to>
      <xdr:col>25</xdr:col>
      <xdr:colOff>633097</xdr:colOff>
      <xdr:row>81</xdr:row>
      <xdr:rowOff>106679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E89CD5A-D71C-4C79-8A3E-1AEA0CD6BF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31677" y="14988540"/>
          <a:ext cx="11982907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7620</xdr:colOff>
      <xdr:row>50</xdr:row>
      <xdr:rowOff>167640</xdr:rowOff>
    </xdr:from>
    <xdr:to>
      <xdr:col>15</xdr:col>
      <xdr:colOff>0</xdr:colOff>
      <xdr:row>50</xdr:row>
      <xdr:rowOff>190500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3141E473-51D2-4AAF-B3CF-97BE3857D6A9}"/>
            </a:ext>
          </a:extLst>
        </xdr:cNvPr>
        <xdr:cNvCxnSpPr/>
      </xdr:nvCxnSpPr>
      <xdr:spPr>
        <a:xfrm>
          <a:off x="1135380" y="8442960"/>
          <a:ext cx="10134600" cy="2286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51</xdr:row>
      <xdr:rowOff>0</xdr:rowOff>
    </xdr:from>
    <xdr:to>
      <xdr:col>33</xdr:col>
      <xdr:colOff>1153885</xdr:colOff>
      <xdr:row>51</xdr:row>
      <xdr:rowOff>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A12CE3A7-0351-4786-9883-3042FC463463}"/>
            </a:ext>
          </a:extLst>
        </xdr:cNvPr>
        <xdr:cNvCxnSpPr/>
      </xdr:nvCxnSpPr>
      <xdr:spPr>
        <a:xfrm>
          <a:off x="14401800" y="8473440"/>
          <a:ext cx="1106750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16524</xdr:colOff>
      <xdr:row>0</xdr:row>
      <xdr:rowOff>38878</xdr:rowOff>
    </xdr:from>
    <xdr:to>
      <xdr:col>12</xdr:col>
      <xdr:colOff>472633</xdr:colOff>
      <xdr:row>6</xdr:row>
      <xdr:rowOff>162872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3E5F7FC-E295-417A-8F95-65BDEBB3FD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77912" y="38878"/>
          <a:ext cx="10017281" cy="1243667"/>
        </a:xfrm>
        <a:prstGeom prst="rect">
          <a:avLst/>
        </a:prstGeom>
      </xdr:spPr>
    </xdr:pic>
    <xdr:clientData/>
  </xdr:twoCellAnchor>
  <xdr:twoCellAnchor editAs="oneCell">
    <xdr:from>
      <xdr:col>14</xdr:col>
      <xdr:colOff>67179</xdr:colOff>
      <xdr:row>0</xdr:row>
      <xdr:rowOff>0</xdr:rowOff>
    </xdr:from>
    <xdr:to>
      <xdr:col>24</xdr:col>
      <xdr:colOff>529374</xdr:colOff>
      <xdr:row>9</xdr:row>
      <xdr:rowOff>53238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FD2A8F6-EF38-4AFC-B112-A0C398E9C9D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1264" r="1991" b="12786"/>
        <a:stretch/>
      </xdr:blipFill>
      <xdr:spPr>
        <a:xfrm>
          <a:off x="12760984" y="0"/>
          <a:ext cx="7794742" cy="1735214"/>
        </a:xfrm>
        <a:prstGeom prst="rect">
          <a:avLst/>
        </a:prstGeom>
      </xdr:spPr>
    </xdr:pic>
    <xdr:clientData/>
  </xdr:twoCellAnchor>
  <xdr:twoCellAnchor>
    <xdr:from>
      <xdr:col>13</xdr:col>
      <xdr:colOff>320693</xdr:colOff>
      <xdr:row>2</xdr:row>
      <xdr:rowOff>183388</xdr:rowOff>
    </xdr:from>
    <xdr:to>
      <xdr:col>13</xdr:col>
      <xdr:colOff>826101</xdr:colOff>
      <xdr:row>10</xdr:row>
      <xdr:rowOff>116444</xdr:rowOff>
    </xdr:to>
    <xdr:sp macro="" textlink="">
      <xdr:nvSpPr>
        <xdr:cNvPr id="12" name="Arrow: Curved Right 11">
          <a:extLst>
            <a:ext uri="{FF2B5EF4-FFF2-40B4-BE49-F238E27FC236}">
              <a16:creationId xmlns:a16="http://schemas.microsoft.com/office/drawing/2014/main" id="{E3D5BA44-E952-6CB4-ECE0-BDC12CBB1C46}"/>
            </a:ext>
          </a:extLst>
        </xdr:cNvPr>
        <xdr:cNvSpPr/>
      </xdr:nvSpPr>
      <xdr:spPr>
        <a:xfrm flipH="1">
          <a:off x="12048059" y="555095"/>
          <a:ext cx="505408" cy="1494227"/>
        </a:xfrm>
        <a:prstGeom prst="curved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76893</xdr:colOff>
      <xdr:row>58</xdr:row>
      <xdr:rowOff>162098</xdr:rowOff>
    </xdr:from>
    <xdr:to>
      <xdr:col>17</xdr:col>
      <xdr:colOff>0</xdr:colOff>
      <xdr:row>58</xdr:row>
      <xdr:rowOff>174568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7BD03973-4AF9-4B7A-9780-AAEA48CC64D3}"/>
            </a:ext>
          </a:extLst>
        </xdr:cNvPr>
        <xdr:cNvCxnSpPr/>
      </xdr:nvCxnSpPr>
      <xdr:spPr>
        <a:xfrm>
          <a:off x="3566853" y="10525298"/>
          <a:ext cx="7741227" cy="1247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207819</xdr:colOff>
      <xdr:row>58</xdr:row>
      <xdr:rowOff>290946</xdr:rowOff>
    </xdr:from>
    <xdr:to>
      <xdr:col>38</xdr:col>
      <xdr:colOff>596008</xdr:colOff>
      <xdr:row>58</xdr:row>
      <xdr:rowOff>318655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4703CEDF-66EC-4317-9243-CE541E31B216}"/>
            </a:ext>
          </a:extLst>
        </xdr:cNvPr>
        <xdr:cNvCxnSpPr/>
      </xdr:nvCxnSpPr>
      <xdr:spPr>
        <a:xfrm flipV="1">
          <a:off x="17502910" y="13152582"/>
          <a:ext cx="7592553" cy="2770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154247</xdr:colOff>
      <xdr:row>70</xdr:row>
      <xdr:rowOff>193965</xdr:rowOff>
    </xdr:from>
    <xdr:to>
      <xdr:col>18</xdr:col>
      <xdr:colOff>431337</xdr:colOff>
      <xdr:row>70</xdr:row>
      <xdr:rowOff>196273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BE1EB7F0-67CB-41AF-A815-F4083EDD341B}"/>
            </a:ext>
          </a:extLst>
        </xdr:cNvPr>
        <xdr:cNvCxnSpPr/>
      </xdr:nvCxnSpPr>
      <xdr:spPr>
        <a:xfrm>
          <a:off x="3606338" y="16045874"/>
          <a:ext cx="8589817" cy="2308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8312</xdr:colOff>
      <xdr:row>81</xdr:row>
      <xdr:rowOff>180109</xdr:rowOff>
    </xdr:from>
    <xdr:to>
      <xdr:col>16</xdr:col>
      <xdr:colOff>577273</xdr:colOff>
      <xdr:row>81</xdr:row>
      <xdr:rowOff>230909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5CABFEBF-F3C5-4450-9367-89D95FE6DA57}"/>
            </a:ext>
          </a:extLst>
        </xdr:cNvPr>
        <xdr:cNvCxnSpPr/>
      </xdr:nvCxnSpPr>
      <xdr:spPr>
        <a:xfrm>
          <a:off x="3460403" y="18837564"/>
          <a:ext cx="7680961" cy="508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565726</xdr:colOff>
      <xdr:row>58</xdr:row>
      <xdr:rowOff>184726</xdr:rowOff>
    </xdr:from>
    <xdr:to>
      <xdr:col>18</xdr:col>
      <xdr:colOff>415637</xdr:colOff>
      <xdr:row>70</xdr:row>
      <xdr:rowOff>103909</xdr:rowOff>
    </xdr:to>
    <xdr:cxnSp macro="">
      <xdr:nvCxnSpPr>
        <xdr:cNvPr id="11" name="Connector: Elbow 10">
          <a:extLst>
            <a:ext uri="{FF2B5EF4-FFF2-40B4-BE49-F238E27FC236}">
              <a16:creationId xmlns:a16="http://schemas.microsoft.com/office/drawing/2014/main" id="{2F94724C-13C8-1650-156E-C51A3075DD71}"/>
            </a:ext>
          </a:extLst>
        </xdr:cNvPr>
        <xdr:cNvCxnSpPr/>
      </xdr:nvCxnSpPr>
      <xdr:spPr>
        <a:xfrm rot="16200000" flipH="1">
          <a:off x="10200408" y="13975771"/>
          <a:ext cx="2909456" cy="105063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193962</xdr:colOff>
      <xdr:row>70</xdr:row>
      <xdr:rowOff>136235</xdr:rowOff>
    </xdr:from>
    <xdr:to>
      <xdr:col>26</xdr:col>
      <xdr:colOff>166258</xdr:colOff>
      <xdr:row>81</xdr:row>
      <xdr:rowOff>39257</xdr:rowOff>
    </xdr:to>
    <xdr:cxnSp macro="">
      <xdr:nvCxnSpPr>
        <xdr:cNvPr id="15" name="Connector: Elbow 14">
          <a:extLst>
            <a:ext uri="{FF2B5EF4-FFF2-40B4-BE49-F238E27FC236}">
              <a16:creationId xmlns:a16="http://schemas.microsoft.com/office/drawing/2014/main" id="{05798190-A380-136D-EE6A-B4368A45112A}"/>
            </a:ext>
          </a:extLst>
        </xdr:cNvPr>
        <xdr:cNvCxnSpPr/>
      </xdr:nvCxnSpPr>
      <xdr:spPr>
        <a:xfrm rot="16200000" flipH="1">
          <a:off x="15820735" y="17056098"/>
          <a:ext cx="2708568" cy="572660"/>
        </a:xfrm>
        <a:prstGeom prst="bentConnector3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80818</xdr:colOff>
      <xdr:row>70</xdr:row>
      <xdr:rowOff>101599</xdr:rowOff>
    </xdr:from>
    <xdr:to>
      <xdr:col>39</xdr:col>
      <xdr:colOff>27709</xdr:colOff>
      <xdr:row>70</xdr:row>
      <xdr:rowOff>138546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B5AEB123-436D-416A-B05F-FC37273D9F8C}"/>
            </a:ext>
          </a:extLst>
        </xdr:cNvPr>
        <xdr:cNvCxnSpPr/>
      </xdr:nvCxnSpPr>
      <xdr:spPr>
        <a:xfrm flipV="1">
          <a:off x="16175182" y="15953508"/>
          <a:ext cx="8952345" cy="3694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260928</xdr:colOff>
      <xdr:row>81</xdr:row>
      <xdr:rowOff>-1</xdr:rowOff>
    </xdr:from>
    <xdr:to>
      <xdr:col>39</xdr:col>
      <xdr:colOff>48755</xdr:colOff>
      <xdr:row>81</xdr:row>
      <xdr:rowOff>13853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51E1430C-675D-49CD-BDCC-5B25F9BF3318}"/>
            </a:ext>
          </a:extLst>
        </xdr:cNvPr>
        <xdr:cNvCxnSpPr/>
      </xdr:nvCxnSpPr>
      <xdr:spPr>
        <a:xfrm flipV="1">
          <a:off x="17556019" y="18657454"/>
          <a:ext cx="7592554" cy="13854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189345</xdr:colOff>
      <xdr:row>59</xdr:row>
      <xdr:rowOff>6927</xdr:rowOff>
    </xdr:from>
    <xdr:to>
      <xdr:col>26</xdr:col>
      <xdr:colOff>133927</xdr:colOff>
      <xdr:row>70</xdr:row>
      <xdr:rowOff>103909</xdr:rowOff>
    </xdr:to>
    <xdr:cxnSp macro="">
      <xdr:nvCxnSpPr>
        <xdr:cNvPr id="31" name="Connector: Elbow 30">
          <a:extLst>
            <a:ext uri="{FF2B5EF4-FFF2-40B4-BE49-F238E27FC236}">
              <a16:creationId xmlns:a16="http://schemas.microsoft.com/office/drawing/2014/main" id="{94572882-23FC-4CC6-84D8-0FD4400ACA9E}"/>
            </a:ext>
          </a:extLst>
        </xdr:cNvPr>
        <xdr:cNvCxnSpPr/>
      </xdr:nvCxnSpPr>
      <xdr:spPr>
        <a:xfrm rot="5400000" flipH="1" flipV="1">
          <a:off x="15797645" y="14324445"/>
          <a:ext cx="2717800" cy="54494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71846</xdr:colOff>
      <xdr:row>10</xdr:row>
      <xdr:rowOff>116114</xdr:rowOff>
    </xdr:from>
    <xdr:to>
      <xdr:col>18</xdr:col>
      <xdr:colOff>538843</xdr:colOff>
      <xdr:row>10</xdr:row>
      <xdr:rowOff>121557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9EF23EC7-B199-4459-87A6-BA74F3069947}"/>
            </a:ext>
          </a:extLst>
        </xdr:cNvPr>
        <xdr:cNvCxnSpPr/>
      </xdr:nvCxnSpPr>
      <xdr:spPr>
        <a:xfrm flipV="1">
          <a:off x="10855960" y="1944914"/>
          <a:ext cx="466997" cy="5443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65314</xdr:colOff>
      <xdr:row>11</xdr:row>
      <xdr:rowOff>123372</xdr:rowOff>
    </xdr:from>
    <xdr:to>
      <xdr:col>18</xdr:col>
      <xdr:colOff>532311</xdr:colOff>
      <xdr:row>11</xdr:row>
      <xdr:rowOff>128815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9E9A3F34-2BC9-4A64-A8F5-918388BB1601}"/>
            </a:ext>
          </a:extLst>
        </xdr:cNvPr>
        <xdr:cNvCxnSpPr/>
      </xdr:nvCxnSpPr>
      <xdr:spPr>
        <a:xfrm flipV="1">
          <a:off x="10849428" y="2198915"/>
          <a:ext cx="466997" cy="5443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34635</xdr:colOff>
      <xdr:row>70</xdr:row>
      <xdr:rowOff>254001</xdr:rowOff>
    </xdr:from>
    <xdr:to>
      <xdr:col>18</xdr:col>
      <xdr:colOff>404092</xdr:colOff>
      <xdr:row>81</xdr:row>
      <xdr:rowOff>173181</xdr:rowOff>
    </xdr:to>
    <xdr:cxnSp macro="">
      <xdr:nvCxnSpPr>
        <xdr:cNvPr id="56" name="Connector: Elbow 55">
          <a:extLst>
            <a:ext uri="{FF2B5EF4-FFF2-40B4-BE49-F238E27FC236}">
              <a16:creationId xmlns:a16="http://schemas.microsoft.com/office/drawing/2014/main" id="{EC05E576-CE1D-4300-9ED1-7F3A633059DB}"/>
            </a:ext>
          </a:extLst>
        </xdr:cNvPr>
        <xdr:cNvCxnSpPr/>
      </xdr:nvCxnSpPr>
      <xdr:spPr>
        <a:xfrm rot="5400000" flipH="1" flipV="1">
          <a:off x="10321637" y="16983363"/>
          <a:ext cx="2724726" cy="96982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137160</xdr:colOff>
      <xdr:row>2</xdr:row>
      <xdr:rowOff>108857</xdr:rowOff>
    </xdr:from>
    <xdr:to>
      <xdr:col>10</xdr:col>
      <xdr:colOff>794657</xdr:colOff>
      <xdr:row>2</xdr:row>
      <xdr:rowOff>114300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9DE57701-9F79-4B44-8EE4-C4523B60DE65}"/>
            </a:ext>
          </a:extLst>
        </xdr:cNvPr>
        <xdr:cNvCxnSpPr/>
      </xdr:nvCxnSpPr>
      <xdr:spPr>
        <a:xfrm flipV="1">
          <a:off x="7884160" y="489857"/>
          <a:ext cx="657497" cy="5443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33</xdr:row>
      <xdr:rowOff>0</xdr:rowOff>
    </xdr:from>
    <xdr:to>
      <xdr:col>14</xdr:col>
      <xdr:colOff>121920</xdr:colOff>
      <xdr:row>33</xdr:row>
      <xdr:rowOff>38100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73DB0872-F616-D84E-8C67-3B1D74329212}"/>
            </a:ext>
          </a:extLst>
        </xdr:cNvPr>
        <xdr:cNvCxnSpPr/>
      </xdr:nvCxnSpPr>
      <xdr:spPr>
        <a:xfrm>
          <a:off x="2019300" y="6972300"/>
          <a:ext cx="9621520" cy="381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42</xdr:row>
      <xdr:rowOff>220980</xdr:rowOff>
    </xdr:from>
    <xdr:to>
      <xdr:col>14</xdr:col>
      <xdr:colOff>121920</xdr:colOff>
      <xdr:row>43</xdr:row>
      <xdr:rowOff>15240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D11C0FF7-6D63-C943-9A47-CDF2841F4AD8}"/>
            </a:ext>
          </a:extLst>
        </xdr:cNvPr>
        <xdr:cNvCxnSpPr/>
      </xdr:nvCxnSpPr>
      <xdr:spPr>
        <a:xfrm>
          <a:off x="2019300" y="9149080"/>
          <a:ext cx="9621520" cy="2286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152400</xdr:colOff>
      <xdr:row>33</xdr:row>
      <xdr:rowOff>30480</xdr:rowOff>
    </xdr:from>
    <xdr:to>
      <xdr:col>16</xdr:col>
      <xdr:colOff>449580</xdr:colOff>
      <xdr:row>38</xdr:row>
      <xdr:rowOff>0</xdr:rowOff>
    </xdr:to>
    <xdr:cxnSp macro="">
      <xdr:nvCxnSpPr>
        <xdr:cNvPr id="5" name="Connector: Elbow 8">
          <a:extLst>
            <a:ext uri="{FF2B5EF4-FFF2-40B4-BE49-F238E27FC236}">
              <a16:creationId xmlns:a16="http://schemas.microsoft.com/office/drawing/2014/main" id="{93A2418E-CA66-AE41-A4EA-2B0986F61226}"/>
            </a:ext>
          </a:extLst>
        </xdr:cNvPr>
        <xdr:cNvCxnSpPr/>
      </xdr:nvCxnSpPr>
      <xdr:spPr>
        <a:xfrm>
          <a:off x="11671300" y="7002780"/>
          <a:ext cx="2418080" cy="1036320"/>
        </a:xfrm>
        <a:prstGeom prst="bentConnector3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185057</xdr:colOff>
      <xdr:row>38</xdr:row>
      <xdr:rowOff>163286</xdr:rowOff>
    </xdr:from>
    <xdr:to>
      <xdr:col>16</xdr:col>
      <xdr:colOff>435428</xdr:colOff>
      <xdr:row>43</xdr:row>
      <xdr:rowOff>10885</xdr:rowOff>
    </xdr:to>
    <xdr:cxnSp macro="">
      <xdr:nvCxnSpPr>
        <xdr:cNvPr id="6" name="Connector: Elbow 12">
          <a:extLst>
            <a:ext uri="{FF2B5EF4-FFF2-40B4-BE49-F238E27FC236}">
              <a16:creationId xmlns:a16="http://schemas.microsoft.com/office/drawing/2014/main" id="{F01BF0FB-693F-8641-A857-BDCE921F6B9A}"/>
            </a:ext>
          </a:extLst>
        </xdr:cNvPr>
        <xdr:cNvCxnSpPr/>
      </xdr:nvCxnSpPr>
      <xdr:spPr>
        <a:xfrm flipV="1">
          <a:off x="11703957" y="8202386"/>
          <a:ext cx="2371271" cy="965199"/>
        </a:xfrm>
        <a:prstGeom prst="bentConnector3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54429</xdr:colOff>
      <xdr:row>38</xdr:row>
      <xdr:rowOff>97971</xdr:rowOff>
    </xdr:from>
    <xdr:to>
      <xdr:col>34</xdr:col>
      <xdr:colOff>601980</xdr:colOff>
      <xdr:row>38</xdr:row>
      <xdr:rowOff>137160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69A13529-A29F-2045-B655-5AC11B7B59DE}"/>
            </a:ext>
          </a:extLst>
        </xdr:cNvPr>
        <xdr:cNvCxnSpPr/>
      </xdr:nvCxnSpPr>
      <xdr:spPr>
        <a:xfrm>
          <a:off x="17097829" y="8137071"/>
          <a:ext cx="10504351" cy="3918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87086</xdr:colOff>
      <xdr:row>38</xdr:row>
      <xdr:rowOff>175172</xdr:rowOff>
    </xdr:from>
    <xdr:to>
      <xdr:col>62</xdr:col>
      <xdr:colOff>551793</xdr:colOff>
      <xdr:row>38</xdr:row>
      <xdr:rowOff>184745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8C2C3332-5B89-264F-963C-BD6A5B9C5159}"/>
            </a:ext>
          </a:extLst>
        </xdr:cNvPr>
        <xdr:cNvCxnSpPr/>
      </xdr:nvCxnSpPr>
      <xdr:spPr>
        <a:xfrm flipV="1">
          <a:off x="28911707" y="8128000"/>
          <a:ext cx="16878362" cy="9573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81239</xdr:colOff>
      <xdr:row>38</xdr:row>
      <xdr:rowOff>99776</xdr:rowOff>
    </xdr:from>
    <xdr:to>
      <xdr:col>87</xdr:col>
      <xdr:colOff>108607</xdr:colOff>
      <xdr:row>38</xdr:row>
      <xdr:rowOff>108606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33E922C4-0ABF-4B4E-8A4F-04BBB1C0C8D0}"/>
            </a:ext>
          </a:extLst>
        </xdr:cNvPr>
        <xdr:cNvCxnSpPr/>
      </xdr:nvCxnSpPr>
      <xdr:spPr>
        <a:xfrm>
          <a:off x="48017966" y="8590633"/>
          <a:ext cx="16583550" cy="883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578735</xdr:colOff>
      <xdr:row>24</xdr:row>
      <xdr:rowOff>0</xdr:rowOff>
    </xdr:from>
    <xdr:to>
      <xdr:col>65</xdr:col>
      <xdr:colOff>0</xdr:colOff>
      <xdr:row>36</xdr:row>
      <xdr:rowOff>144683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793DCD27-3709-19E3-C33F-5ACE47B13426}"/>
            </a:ext>
          </a:extLst>
        </xdr:cNvPr>
        <xdr:cNvCxnSpPr/>
      </xdr:nvCxnSpPr>
      <xdr:spPr>
        <a:xfrm flipV="1">
          <a:off x="46761722" y="5131443"/>
          <a:ext cx="19291" cy="2980481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www.metallics.org/about-metallics/pig-iron/" TargetMode="External"/><Relationship Id="rId1" Type="http://schemas.openxmlformats.org/officeDocument/2006/relationships/hyperlink" Target="https://gaftp.epa.gov/ap42/ch12/s05/final/c12s05_1995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050BA-A2F5-46DF-A5BA-7FDE92D5215C}">
  <dimension ref="A1:AX110"/>
  <sheetViews>
    <sheetView tabSelected="1" zoomScale="25" zoomScaleNormal="80" workbookViewId="0">
      <selection activeCell="K23" sqref="K23"/>
    </sheetView>
  </sheetViews>
  <sheetFormatPr baseColWidth="10" defaultColWidth="8.83203125" defaultRowHeight="15"/>
  <cols>
    <col min="3" max="3" width="10.1640625" customWidth="1"/>
    <col min="4" max="4" width="16.5" customWidth="1"/>
    <col min="5" max="5" width="15.1640625" bestFit="1" customWidth="1"/>
    <col min="6" max="6" width="16.1640625" bestFit="1" customWidth="1"/>
    <col min="7" max="7" width="14.6640625" customWidth="1"/>
    <col min="8" max="8" width="13.6640625" bestFit="1" customWidth="1"/>
    <col min="9" max="9" width="15.83203125" bestFit="1" customWidth="1"/>
    <col min="10" max="10" width="15.5" bestFit="1" customWidth="1"/>
    <col min="11" max="11" width="17.5" bestFit="1" customWidth="1"/>
    <col min="12" max="12" width="14.33203125" bestFit="1" customWidth="1"/>
    <col min="13" max="13" width="14.6640625" bestFit="1" customWidth="1"/>
    <col min="14" max="14" width="14.33203125" bestFit="1" customWidth="1"/>
    <col min="15" max="15" width="14" customWidth="1"/>
    <col min="16" max="16" width="10.1640625" bestFit="1" customWidth="1"/>
    <col min="18" max="18" width="14.1640625" bestFit="1" customWidth="1"/>
    <col min="19" max="19" width="16.1640625" bestFit="1" customWidth="1"/>
    <col min="25" max="25" width="14.83203125" bestFit="1" customWidth="1"/>
    <col min="26" max="27" width="9" bestFit="1" customWidth="1"/>
    <col min="28" max="28" width="12.1640625" bestFit="1" customWidth="1"/>
    <col min="29" max="29" width="9" bestFit="1" customWidth="1"/>
    <col min="30" max="30" width="17.5" bestFit="1" customWidth="1"/>
    <col min="31" max="31" width="14.1640625" bestFit="1" customWidth="1"/>
    <col min="32" max="32" width="15" bestFit="1" customWidth="1"/>
    <col min="33" max="33" width="17.5" bestFit="1" customWidth="1"/>
    <col min="34" max="34" width="17.33203125" bestFit="1" customWidth="1"/>
  </cols>
  <sheetData>
    <row r="1" spans="1:50">
      <c r="A1" s="43" t="s">
        <v>78</v>
      </c>
    </row>
    <row r="2" spans="1:50">
      <c r="A2" s="24" t="s">
        <v>58</v>
      </c>
      <c r="B2" t="s">
        <v>79</v>
      </c>
      <c r="C2" t="s">
        <v>80</v>
      </c>
    </row>
    <row r="3" spans="1:50">
      <c r="A3" s="24" t="s">
        <v>60</v>
      </c>
      <c r="B3" t="s">
        <v>81</v>
      </c>
      <c r="C3" t="s">
        <v>82</v>
      </c>
    </row>
    <row r="8" spans="1:50">
      <c r="D8" s="44" t="s">
        <v>83</v>
      </c>
      <c r="E8" s="44" t="s">
        <v>84</v>
      </c>
      <c r="F8" s="44" t="s">
        <v>85</v>
      </c>
      <c r="G8" s="44" t="s">
        <v>86</v>
      </c>
      <c r="H8" s="44" t="s">
        <v>87</v>
      </c>
      <c r="I8" s="44" t="s">
        <v>88</v>
      </c>
      <c r="J8" s="113" t="s">
        <v>89</v>
      </c>
      <c r="K8" s="113"/>
      <c r="L8" s="5"/>
      <c r="AL8" s="5"/>
      <c r="AM8" s="5"/>
      <c r="AN8" s="5"/>
      <c r="AO8" s="5"/>
      <c r="AP8" s="5"/>
      <c r="AQ8" s="5"/>
    </row>
    <row r="9" spans="1:50" ht="16" thickBot="1">
      <c r="D9" s="5"/>
      <c r="E9" s="5"/>
      <c r="F9" s="5"/>
      <c r="G9" s="5"/>
      <c r="H9" s="5"/>
      <c r="I9" s="5"/>
      <c r="J9" s="5"/>
      <c r="K9" s="5"/>
      <c r="L9" s="5"/>
      <c r="AL9" s="5"/>
      <c r="AM9" s="5"/>
      <c r="AN9" s="5"/>
      <c r="AO9" s="5"/>
      <c r="AP9" s="5"/>
      <c r="AQ9" s="5"/>
    </row>
    <row r="10" spans="1:50" ht="19" thickBot="1">
      <c r="D10" s="57" t="s">
        <v>90</v>
      </c>
      <c r="E10" s="48" t="s">
        <v>91</v>
      </c>
      <c r="F10" s="49" t="s">
        <v>92</v>
      </c>
      <c r="G10" s="48" t="s">
        <v>91</v>
      </c>
      <c r="H10" s="49" t="s">
        <v>93</v>
      </c>
      <c r="I10" s="48" t="s">
        <v>91</v>
      </c>
      <c r="J10" s="51" t="s">
        <v>94</v>
      </c>
      <c r="K10" s="48" t="s">
        <v>91</v>
      </c>
      <c r="L10" s="50" t="s">
        <v>95</v>
      </c>
      <c r="M10" s="5"/>
      <c r="N10" s="5"/>
      <c r="O10" s="5"/>
      <c r="AL10" s="2"/>
      <c r="AM10" s="5"/>
      <c r="AN10" s="5"/>
      <c r="AO10" s="5"/>
      <c r="AP10" s="5"/>
      <c r="AQ10" s="5"/>
    </row>
    <row r="11" spans="1:50" ht="17" thickBot="1"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AL11" s="2"/>
      <c r="AM11" s="5"/>
      <c r="AN11" s="5"/>
      <c r="AO11" s="5"/>
      <c r="AP11" s="5"/>
      <c r="AQ11" s="5"/>
    </row>
    <row r="12" spans="1:50" ht="19" thickBot="1">
      <c r="D12" s="58" t="s">
        <v>96</v>
      </c>
      <c r="E12" s="51" t="s">
        <v>91</v>
      </c>
      <c r="F12" s="51" t="s">
        <v>97</v>
      </c>
      <c r="G12" s="51" t="s">
        <v>91</v>
      </c>
      <c r="H12" s="49" t="s">
        <v>98</v>
      </c>
      <c r="I12" s="51" t="s">
        <v>91</v>
      </c>
      <c r="J12" s="50" t="s">
        <v>99</v>
      </c>
      <c r="K12" s="5"/>
      <c r="L12" s="5"/>
      <c r="M12" s="5"/>
      <c r="N12" s="5"/>
      <c r="O12" s="5"/>
      <c r="AL12" s="2"/>
      <c r="AM12" s="5"/>
      <c r="AN12" s="5"/>
      <c r="AO12" s="5"/>
      <c r="AP12" s="5"/>
      <c r="AQ12" s="5"/>
    </row>
    <row r="13" spans="1:50" ht="16">
      <c r="B13" s="5"/>
      <c r="C13" s="5"/>
      <c r="D13" s="5"/>
      <c r="E13" s="5"/>
      <c r="F13" s="5"/>
      <c r="G13" s="5"/>
      <c r="H13" s="46"/>
      <c r="I13" s="5"/>
      <c r="J13" s="5"/>
      <c r="K13" s="5"/>
      <c r="L13" s="2"/>
      <c r="M13" s="5"/>
      <c r="N13" s="5"/>
      <c r="O13" s="5"/>
      <c r="P13" s="5"/>
      <c r="Q13" s="5"/>
      <c r="R13" s="5"/>
      <c r="S13" s="5"/>
      <c r="AP13" s="2"/>
      <c r="AQ13" s="5"/>
      <c r="AR13" s="5"/>
      <c r="AS13" s="5"/>
      <c r="AT13" s="5"/>
      <c r="AU13" s="5"/>
    </row>
    <row r="14" spans="1:50" ht="17" thickBot="1">
      <c r="B14" s="5"/>
      <c r="C14" s="5"/>
      <c r="D14" s="5"/>
      <c r="E14" s="5"/>
      <c r="F14" s="5"/>
      <c r="G14" s="5"/>
      <c r="H14" s="46"/>
      <c r="I14" s="5"/>
      <c r="J14" s="5"/>
      <c r="K14" s="5"/>
      <c r="L14" s="2"/>
      <c r="M14" s="5"/>
      <c r="N14" s="5"/>
      <c r="O14" s="5"/>
      <c r="P14" s="5"/>
      <c r="Q14" s="5"/>
      <c r="R14" s="5"/>
      <c r="S14" s="5"/>
      <c r="AP14" s="2"/>
      <c r="AQ14" s="5"/>
      <c r="AR14" s="5"/>
      <c r="AS14" s="5"/>
      <c r="AT14" s="5"/>
      <c r="AU14" s="5"/>
    </row>
    <row r="15" spans="1:50" ht="17" thickBot="1">
      <c r="B15" s="5"/>
      <c r="C15" s="5"/>
      <c r="D15" s="108" t="s">
        <v>100</v>
      </c>
      <c r="E15" s="109"/>
      <c r="F15" s="110"/>
      <c r="G15" s="108" t="s">
        <v>101</v>
      </c>
      <c r="H15" s="110"/>
      <c r="I15" s="64"/>
      <c r="J15" s="5"/>
      <c r="K15" s="5"/>
      <c r="L15" s="2"/>
      <c r="M15" s="5"/>
      <c r="N15" s="5"/>
      <c r="O15" s="5"/>
      <c r="P15" s="5"/>
      <c r="Q15" s="5"/>
      <c r="R15" s="5"/>
      <c r="S15" s="5"/>
      <c r="AP15" s="2"/>
      <c r="AQ15" s="5"/>
      <c r="AR15" s="5"/>
      <c r="AS15" s="5"/>
      <c r="AT15" s="5"/>
      <c r="AU15" s="5"/>
    </row>
    <row r="16" spans="1:50" ht="18">
      <c r="B16" s="5"/>
      <c r="C16" s="5"/>
      <c r="D16" s="65" t="s">
        <v>41</v>
      </c>
      <c r="E16" s="66" t="s">
        <v>102</v>
      </c>
      <c r="F16" s="65" t="s">
        <v>103</v>
      </c>
      <c r="G16" s="67" t="s">
        <v>32</v>
      </c>
      <c r="H16" s="66" t="s">
        <v>29</v>
      </c>
      <c r="I16" s="21" t="s">
        <v>104</v>
      </c>
      <c r="J16" s="21" t="s">
        <v>105</v>
      </c>
      <c r="K16" s="21" t="s">
        <v>106</v>
      </c>
      <c r="L16" s="5"/>
      <c r="M16" s="5"/>
      <c r="N16" s="5"/>
      <c r="O16" s="2"/>
      <c r="P16" s="5"/>
      <c r="Q16" s="5"/>
      <c r="R16" s="5"/>
      <c r="S16" s="5"/>
      <c r="T16" s="5"/>
      <c r="U16" s="5"/>
      <c r="V16" s="5"/>
      <c r="AS16" s="2"/>
      <c r="AT16" s="5"/>
      <c r="AU16" s="5"/>
      <c r="AV16" s="5"/>
      <c r="AW16" s="5"/>
      <c r="AX16" s="5"/>
    </row>
    <row r="17" spans="2:49" ht="16">
      <c r="B17" s="2"/>
      <c r="C17" s="2"/>
      <c r="D17" s="21" t="s">
        <v>107</v>
      </c>
      <c r="E17" s="21" t="s">
        <v>107</v>
      </c>
      <c r="F17" s="21" t="s">
        <v>107</v>
      </c>
      <c r="G17" s="21" t="s">
        <v>107</v>
      </c>
      <c r="H17" s="21" t="s">
        <v>107</v>
      </c>
      <c r="I17" s="21" t="s">
        <v>69</v>
      </c>
      <c r="J17" s="21" t="s">
        <v>108</v>
      </c>
      <c r="K17" s="21" t="s">
        <v>71</v>
      </c>
      <c r="L17" s="5"/>
      <c r="M17" s="5"/>
      <c r="N17" s="5"/>
      <c r="O17" s="5"/>
      <c r="P17" s="5"/>
      <c r="Q17" s="5"/>
      <c r="R17" s="5"/>
      <c r="S17" s="5"/>
      <c r="T17" s="5"/>
      <c r="U17" s="5"/>
      <c r="AR17" s="5"/>
      <c r="AS17" s="5"/>
      <c r="AT17" s="5"/>
      <c r="AU17" s="5"/>
      <c r="AV17" s="5"/>
      <c r="AW17" s="5"/>
    </row>
    <row r="18" spans="2:49" ht="16">
      <c r="D18" s="53">
        <v>1.8</v>
      </c>
      <c r="E18" s="21">
        <v>0.25</v>
      </c>
      <c r="F18" s="21">
        <v>0.5</v>
      </c>
      <c r="G18" s="53">
        <v>2</v>
      </c>
      <c r="H18" s="53">
        <v>0.1</v>
      </c>
      <c r="I18" s="53">
        <v>1</v>
      </c>
      <c r="J18" s="21">
        <v>907.18499999999995</v>
      </c>
      <c r="K18" s="21">
        <f>(F23+F24)/Constants!D15</f>
        <v>19209.250556267125</v>
      </c>
      <c r="L18" s="5"/>
      <c r="M18" s="5"/>
      <c r="N18" s="5"/>
      <c r="O18" s="5"/>
      <c r="P18" s="5"/>
      <c r="Q18" s="5"/>
      <c r="R18" s="5"/>
      <c r="S18" s="5"/>
      <c r="T18" s="5"/>
      <c r="U18" s="5"/>
      <c r="AR18" s="10"/>
      <c r="AS18" s="5"/>
      <c r="AT18" s="5"/>
      <c r="AU18" s="5"/>
      <c r="AV18" s="5"/>
      <c r="AW18" s="5"/>
    </row>
    <row r="19" spans="2:49" ht="16">
      <c r="D19" s="24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AO19" s="2"/>
      <c r="AP19" s="5"/>
      <c r="AQ19" s="5"/>
      <c r="AR19" s="5"/>
      <c r="AS19" s="5"/>
      <c r="AT19" s="5"/>
    </row>
    <row r="20" spans="2:49" ht="16">
      <c r="D20" s="24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AO20" s="2"/>
      <c r="AP20" s="5"/>
      <c r="AQ20" s="5"/>
    </row>
    <row r="21" spans="2:49" ht="19">
      <c r="D21" s="59" t="s">
        <v>6</v>
      </c>
      <c r="E21" s="5" t="s">
        <v>3</v>
      </c>
      <c r="F21" s="5" t="s">
        <v>3</v>
      </c>
      <c r="G21" s="5" t="s">
        <v>9</v>
      </c>
      <c r="H21" s="5" t="s">
        <v>52</v>
      </c>
      <c r="I21" s="5" t="s">
        <v>61</v>
      </c>
      <c r="J21" s="5"/>
      <c r="K21" s="5"/>
      <c r="L21" s="38"/>
      <c r="M21" s="5"/>
      <c r="N21" s="5"/>
      <c r="O21" s="5"/>
      <c r="P21" s="5"/>
      <c r="Q21" s="5"/>
      <c r="R21" s="5"/>
      <c r="S21" s="5"/>
      <c r="T21" s="5"/>
      <c r="V21" s="5"/>
      <c r="W21" s="5"/>
      <c r="AC21" s="2"/>
      <c r="AD21" s="5"/>
      <c r="AE21" s="5"/>
    </row>
    <row r="22" spans="2:49">
      <c r="D22" s="52" t="s">
        <v>63</v>
      </c>
      <c r="E22" s="52" t="s">
        <v>64</v>
      </c>
      <c r="F22" s="21" t="s">
        <v>16</v>
      </c>
      <c r="G22" s="52" t="s">
        <v>17</v>
      </c>
      <c r="H22" s="52" t="s">
        <v>65</v>
      </c>
      <c r="I22" s="52" t="s">
        <v>66</v>
      </c>
      <c r="J22" s="21" t="s">
        <v>67</v>
      </c>
      <c r="K22" s="55" t="s">
        <v>109</v>
      </c>
      <c r="L22" s="5"/>
      <c r="M22" s="5"/>
      <c r="N22" s="5"/>
      <c r="O22" s="5"/>
      <c r="P22" s="5"/>
      <c r="Q22" s="5"/>
      <c r="R22" s="5"/>
      <c r="U22" s="5"/>
      <c r="V22" s="5"/>
      <c r="W22" s="5"/>
      <c r="Y22" s="5"/>
      <c r="Z22" s="5"/>
      <c r="AA22" s="5"/>
      <c r="AB22" s="5"/>
    </row>
    <row r="23" spans="2:49" ht="16">
      <c r="D23" s="27" t="s">
        <v>22</v>
      </c>
      <c r="E23" s="39">
        <f>0.95*I18</f>
        <v>0.95</v>
      </c>
      <c r="F23" s="5">
        <f>E23*$J$18</f>
        <v>861.82574999999986</v>
      </c>
      <c r="G23" s="40">
        <f>Constants!D9</f>
        <v>5.5844999999999999E-2</v>
      </c>
      <c r="H23" s="40">
        <f>F23/G23</f>
        <v>15432.460381412837</v>
      </c>
      <c r="I23" s="40">
        <f>H23/H27</f>
        <v>0.25209630228681035</v>
      </c>
      <c r="J23" s="46" t="s">
        <v>59</v>
      </c>
      <c r="K23" s="8">
        <f>I23/(I23+I24)</f>
        <v>0.80338690654320766</v>
      </c>
      <c r="L23" s="2"/>
      <c r="M23" s="46"/>
      <c r="N23" s="5"/>
      <c r="O23" s="5"/>
      <c r="P23" s="8"/>
      <c r="Q23" s="5"/>
      <c r="R23" s="5"/>
      <c r="V23" s="8"/>
    </row>
    <row r="24" spans="2:49" ht="16">
      <c r="D24" s="27" t="s">
        <v>24</v>
      </c>
      <c r="E24" s="5">
        <f>0.05*I18</f>
        <v>0.05</v>
      </c>
      <c r="F24" s="5">
        <f t="shared" ref="F24:F26" si="0">E24*$J$18</f>
        <v>45.359250000000003</v>
      </c>
      <c r="G24" s="8">
        <f>Constants!D5</f>
        <v>1.201E-2</v>
      </c>
      <c r="H24" s="8">
        <f t="shared" ref="H24:H26" si="1">F24/G24</f>
        <v>3776.7901748542886</v>
      </c>
      <c r="I24" s="8">
        <f>H24/H27</f>
        <v>6.1695595780739416E-2</v>
      </c>
      <c r="J24" s="46" t="s">
        <v>47</v>
      </c>
      <c r="K24" s="8">
        <f>I24/(I23+I24)</f>
        <v>0.19661309345679234</v>
      </c>
      <c r="L24" s="2"/>
      <c r="M24" s="46"/>
      <c r="N24" s="5"/>
      <c r="O24" s="5"/>
      <c r="P24" s="8"/>
      <c r="Q24" s="5"/>
      <c r="R24" s="5"/>
      <c r="V24" s="8"/>
    </row>
    <row r="25" spans="2:49" ht="18">
      <c r="D25" s="27" t="s">
        <v>29</v>
      </c>
      <c r="E25" s="5">
        <f>H18*I18</f>
        <v>0.1</v>
      </c>
      <c r="F25" s="5">
        <f t="shared" si="0"/>
        <v>90.718500000000006</v>
      </c>
      <c r="G25" s="8">
        <f>Constants!D7</f>
        <v>0.116162</v>
      </c>
      <c r="H25" s="8">
        <f t="shared" si="1"/>
        <v>780.96537594049698</v>
      </c>
      <c r="I25" s="8">
        <f>H25/H27</f>
        <v>1.2757426788909978E-2</v>
      </c>
      <c r="J25" s="46" t="s">
        <v>62</v>
      </c>
      <c r="K25" s="8">
        <f>F34</f>
        <v>0.11796353434592283</v>
      </c>
      <c r="L25" s="2"/>
      <c r="M25" s="46"/>
      <c r="N25" s="5"/>
      <c r="O25" s="5"/>
      <c r="P25" s="8"/>
      <c r="Q25" s="5"/>
      <c r="R25" s="5"/>
    </row>
    <row r="26" spans="2:49" ht="17">
      <c r="D26" s="52" t="s">
        <v>32</v>
      </c>
      <c r="E26" s="5">
        <f>G18*I18</f>
        <v>2</v>
      </c>
      <c r="F26" s="41">
        <f t="shared" si="0"/>
        <v>1814.37</v>
      </c>
      <c r="G26" s="8">
        <f>Constants!D8</f>
        <v>4.4010000000000001E-2</v>
      </c>
      <c r="H26" s="8">
        <f t="shared" si="1"/>
        <v>41226.312201772322</v>
      </c>
      <c r="I26" s="8">
        <f>H26/H27</f>
        <v>0.67345067514354029</v>
      </c>
      <c r="J26" s="47" t="s">
        <v>70</v>
      </c>
      <c r="K26" s="42">
        <f>F34+F35-K24</f>
        <v>1.8874813754570536</v>
      </c>
      <c r="L26" s="5"/>
      <c r="M26" s="46"/>
      <c r="N26" s="5"/>
      <c r="O26" s="5"/>
      <c r="P26" s="8"/>
      <c r="Q26" s="5"/>
      <c r="R26" s="5"/>
    </row>
    <row r="27" spans="2:49" ht="16">
      <c r="D27" s="25" t="s">
        <v>25</v>
      </c>
      <c r="E27" s="25">
        <f>SUM(E23:E26)</f>
        <v>3.1</v>
      </c>
      <c r="F27" s="5">
        <f>SUM(F23:F26)</f>
        <v>2812.2734999999998</v>
      </c>
      <c r="G27" s="40"/>
      <c r="H27" s="25">
        <f>SUM(H23:H26)</f>
        <v>61216.52813397994</v>
      </c>
      <c r="I27" s="25"/>
      <c r="J27" s="5"/>
      <c r="K27" s="8"/>
      <c r="L27" s="5"/>
      <c r="M27" s="46"/>
      <c r="N27" s="5"/>
      <c r="O27" s="5"/>
      <c r="P27" s="8"/>
      <c r="Q27" s="5"/>
      <c r="R27" s="5"/>
    </row>
    <row r="28" spans="2:49"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</row>
    <row r="29" spans="2:49"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</row>
    <row r="30" spans="2:49" ht="19">
      <c r="D30" s="59" t="s">
        <v>4</v>
      </c>
      <c r="E30" s="5"/>
      <c r="F30" s="5"/>
      <c r="G30" s="5" t="s">
        <v>52</v>
      </c>
      <c r="H30" s="5" t="s">
        <v>9</v>
      </c>
      <c r="I30" s="5" t="s">
        <v>3</v>
      </c>
      <c r="J30" s="5" t="s">
        <v>3</v>
      </c>
      <c r="K30" s="5"/>
      <c r="L30" s="5"/>
      <c r="M30" s="5"/>
      <c r="N30" s="5"/>
      <c r="O30" s="5"/>
      <c r="P30" s="5"/>
      <c r="Q30" s="5"/>
      <c r="R30" s="5"/>
      <c r="S30" s="5"/>
      <c r="T30" s="5"/>
    </row>
    <row r="31" spans="2:49">
      <c r="D31" s="52" t="s">
        <v>63</v>
      </c>
      <c r="E31" s="52" t="s">
        <v>67</v>
      </c>
      <c r="F31" s="55" t="s">
        <v>109</v>
      </c>
      <c r="G31" s="52" t="s">
        <v>65</v>
      </c>
      <c r="H31" s="52" t="s">
        <v>68</v>
      </c>
      <c r="I31" s="52" t="s">
        <v>16</v>
      </c>
      <c r="J31" s="52" t="s">
        <v>69</v>
      </c>
      <c r="K31" s="5"/>
      <c r="L31" s="5"/>
      <c r="M31" s="5"/>
      <c r="N31" s="5"/>
      <c r="O31" s="5"/>
      <c r="P31" s="5"/>
      <c r="Q31" s="5"/>
      <c r="R31" s="5"/>
      <c r="S31" s="5"/>
      <c r="T31" s="5"/>
    </row>
    <row r="32" spans="2:49" ht="18">
      <c r="D32" s="27" t="s">
        <v>21</v>
      </c>
      <c r="E32" s="45" t="s">
        <v>53</v>
      </c>
      <c r="F32" s="25">
        <f>K23/2</f>
        <v>0.40169345327160383</v>
      </c>
      <c r="G32" s="25">
        <f>F32*K18</f>
        <v>7716.2301907064184</v>
      </c>
      <c r="H32" s="40">
        <f>Constants!D10</f>
        <v>0.159692</v>
      </c>
      <c r="I32" s="25">
        <f>G32*H32</f>
        <v>1232.2202316142893</v>
      </c>
      <c r="J32" s="25">
        <f>I32/J18</f>
        <v>1.3582899095711343</v>
      </c>
      <c r="K32" s="5"/>
      <c r="L32" s="5"/>
      <c r="M32" s="5"/>
      <c r="P32" s="5"/>
      <c r="Q32" s="5"/>
      <c r="R32" s="5"/>
      <c r="S32" s="5"/>
      <c r="T32" s="5"/>
    </row>
    <row r="33" spans="4:29" ht="18">
      <c r="D33" s="27" t="s">
        <v>23</v>
      </c>
      <c r="E33" s="46" t="s">
        <v>54</v>
      </c>
      <c r="F33" s="5">
        <f>K25</f>
        <v>0.11796353434592283</v>
      </c>
      <c r="G33" s="5">
        <f>F33*K18</f>
        <v>2265.991087753654</v>
      </c>
      <c r="H33" s="8">
        <f>Constants!D14</f>
        <v>6.0080000000000001E-2</v>
      </c>
      <c r="I33" s="5">
        <f>G33*H33</f>
        <v>136.14074455223954</v>
      </c>
      <c r="J33" s="5">
        <f>I33/J18</f>
        <v>0.15006943958755881</v>
      </c>
      <c r="K33" s="5"/>
      <c r="L33" s="5"/>
      <c r="M33" s="5"/>
      <c r="P33" s="5"/>
      <c r="Q33" s="5"/>
      <c r="R33" s="5"/>
      <c r="S33" s="5"/>
      <c r="T33" s="5"/>
    </row>
    <row r="34" spans="4:29" ht="18">
      <c r="D34" s="27" t="s">
        <v>28</v>
      </c>
      <c r="E34" s="46" t="s">
        <v>55</v>
      </c>
      <c r="F34" s="5">
        <f>G34/K18</f>
        <v>0.11796353434592283</v>
      </c>
      <c r="G34" s="5">
        <f>I34/H34</f>
        <v>2265.991087753654</v>
      </c>
      <c r="H34" s="8">
        <f>Constants!D6</f>
        <v>0.10008700000000001</v>
      </c>
      <c r="I34" s="5">
        <f>J34*J18</f>
        <v>226.79624999999999</v>
      </c>
      <c r="J34" s="5">
        <f>E18*I18</f>
        <v>0.25</v>
      </c>
      <c r="K34" s="5"/>
      <c r="L34" s="5"/>
      <c r="M34" s="5"/>
      <c r="P34" s="5"/>
      <c r="Q34" s="5"/>
      <c r="R34" s="5"/>
      <c r="S34" s="5"/>
      <c r="T34" s="5"/>
    </row>
    <row r="35" spans="4:29" ht="16">
      <c r="D35" s="21" t="s">
        <v>24</v>
      </c>
      <c r="E35" s="46" t="s">
        <v>56</v>
      </c>
      <c r="F35" s="5">
        <f>G35/K18</f>
        <v>1.966130934567923</v>
      </c>
      <c r="G35" s="5">
        <f>I35/H35</f>
        <v>37767.901748542878</v>
      </c>
      <c r="H35" s="8">
        <f>Constants!D5</f>
        <v>1.201E-2</v>
      </c>
      <c r="I35" s="5">
        <f>J35*J18</f>
        <v>453.59249999999997</v>
      </c>
      <c r="J35" s="5">
        <f>F18*I18</f>
        <v>0.5</v>
      </c>
      <c r="K35" s="5"/>
      <c r="L35" s="5"/>
      <c r="M35" s="5"/>
      <c r="P35" s="5"/>
      <c r="Q35" s="5"/>
      <c r="R35" s="5"/>
      <c r="S35" s="5"/>
      <c r="T35" s="5"/>
    </row>
    <row r="36" spans="4:29" ht="17">
      <c r="D36" s="21" t="s">
        <v>41</v>
      </c>
      <c r="E36" s="56" t="s">
        <v>57</v>
      </c>
      <c r="F36" s="41">
        <f>((2*K26)-(3*F32)-(2*F33))/2</f>
        <v>1.166977661203725</v>
      </c>
      <c r="G36" s="41">
        <f>F36*K18</f>
        <v>22416.766287628965</v>
      </c>
      <c r="H36" s="42">
        <f>Constants!D12</f>
        <v>3.1998800000000001E-2</v>
      </c>
      <c r="I36" s="5">
        <f>G36*H36</f>
        <v>717.30962108458175</v>
      </c>
      <c r="J36" s="5">
        <f>I36/J18</f>
        <v>0.79069828214154969</v>
      </c>
      <c r="K36" s="5"/>
      <c r="L36" s="5"/>
      <c r="M36" s="5"/>
      <c r="P36" s="5"/>
      <c r="Q36" s="5"/>
      <c r="R36" s="5"/>
      <c r="S36" s="5"/>
      <c r="T36" s="5"/>
    </row>
    <row r="37" spans="4:29" ht="16">
      <c r="D37" s="5" t="s">
        <v>25</v>
      </c>
      <c r="E37" s="5"/>
      <c r="F37" s="5"/>
      <c r="G37" s="5"/>
      <c r="H37" s="5"/>
      <c r="I37" s="25">
        <f>SUM(I32:I36)</f>
        <v>2766.05934725111</v>
      </c>
      <c r="J37" s="25">
        <f>SUM(J32:J36)</f>
        <v>3.0490576313002427</v>
      </c>
      <c r="K37" s="2"/>
    </row>
    <row r="38" spans="4:29">
      <c r="D38" s="5"/>
      <c r="E38" s="5"/>
      <c r="F38" s="5"/>
      <c r="G38" s="5"/>
      <c r="H38" s="5"/>
      <c r="I38" s="5"/>
      <c r="J38" s="5"/>
      <c r="K38" s="5"/>
    </row>
    <row r="39" spans="4:29">
      <c r="D39" s="5"/>
      <c r="E39" s="5"/>
      <c r="F39" s="5"/>
      <c r="G39" s="5"/>
      <c r="H39" s="5"/>
      <c r="I39" s="5"/>
      <c r="J39" s="5"/>
      <c r="K39" s="5"/>
    </row>
    <row r="40" spans="4:29">
      <c r="D40" s="5"/>
      <c r="E40" s="5"/>
      <c r="F40" s="5"/>
      <c r="G40" s="5"/>
      <c r="H40" s="5"/>
      <c r="I40" s="5"/>
      <c r="J40" s="5"/>
      <c r="K40" s="5"/>
    </row>
    <row r="41" spans="4:29" ht="16">
      <c r="D41" s="2"/>
      <c r="E41" s="5"/>
      <c r="F41" s="5"/>
      <c r="G41" s="5"/>
      <c r="H41" s="5"/>
      <c r="I41" s="5"/>
      <c r="J41" s="5"/>
      <c r="K41" s="5"/>
    </row>
    <row r="42" spans="4:29" ht="16">
      <c r="D42" s="2"/>
      <c r="E42" s="5"/>
      <c r="F42" s="5"/>
      <c r="G42" s="5"/>
      <c r="H42" s="5"/>
      <c r="I42" s="5"/>
      <c r="J42" s="5"/>
      <c r="K42" s="2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4:29" ht="29">
      <c r="I43" s="1"/>
      <c r="J43" s="1"/>
      <c r="K43" s="1"/>
      <c r="L43" s="1"/>
      <c r="M43" s="117" t="s">
        <v>0</v>
      </c>
      <c r="N43" s="118"/>
      <c r="O43" s="118"/>
      <c r="P43" s="118"/>
      <c r="Q43" s="118"/>
      <c r="R43" s="118"/>
      <c r="S43" s="118"/>
      <c r="T43" s="118"/>
      <c r="U43" s="118"/>
      <c r="V43" s="118"/>
      <c r="W43" s="118"/>
      <c r="X43" s="118"/>
      <c r="Y43" s="118"/>
      <c r="Z43" s="118"/>
      <c r="AA43" s="1"/>
      <c r="AB43" s="1"/>
      <c r="AC43" s="1"/>
    </row>
    <row r="44" spans="4:29" ht="18">
      <c r="I44" s="1"/>
      <c r="J44" s="1"/>
      <c r="K44" s="1"/>
      <c r="L44" s="1"/>
      <c r="M44" s="1"/>
      <c r="N44" s="1"/>
      <c r="O44" s="1"/>
      <c r="P44" s="1"/>
      <c r="Q44" s="1"/>
      <c r="R44" s="17" t="s">
        <v>1</v>
      </c>
      <c r="S44" s="1">
        <f>Y50/F50</f>
        <v>0.34961497486810938</v>
      </c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4:29" ht="16"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4:29" ht="16"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4:29" ht="17" thickBot="1"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4:29" ht="16.25" customHeight="1" thickBot="1">
      <c r="F48" s="30" t="s">
        <v>2</v>
      </c>
      <c r="G48" s="31" t="s">
        <v>3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34" t="s">
        <v>2</v>
      </c>
      <c r="Z48" s="35" t="s">
        <v>3</v>
      </c>
      <c r="AA48" s="1"/>
      <c r="AB48" s="1"/>
    </row>
    <row r="49" spans="4:40" ht="15.5" customHeight="1" thickBot="1">
      <c r="D49" s="104" t="s">
        <v>4</v>
      </c>
      <c r="F49" s="19" t="s">
        <v>73</v>
      </c>
      <c r="G49" s="12" t="s">
        <v>16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32" t="s">
        <v>73</v>
      </c>
      <c r="Z49" s="15" t="s">
        <v>16</v>
      </c>
      <c r="AA49" s="1"/>
      <c r="AB49" s="1"/>
    </row>
    <row r="50" spans="4:40" ht="16.25" customHeight="1" thickBot="1">
      <c r="D50" s="105"/>
      <c r="F50" s="20">
        <f>SUM(O59+O66+O72+O78)</f>
        <v>15711684.626070322</v>
      </c>
      <c r="G50" s="13">
        <f>F59+F66+F72+F78</f>
        <v>2766.05934725111</v>
      </c>
      <c r="I50" s="1"/>
      <c r="J50" s="1"/>
      <c r="K50" s="1"/>
      <c r="L50" s="1"/>
      <c r="M50" s="1"/>
      <c r="N50" s="1"/>
      <c r="O50" s="1"/>
      <c r="P50" s="119" t="s">
        <v>5</v>
      </c>
      <c r="Q50" s="119"/>
      <c r="R50" s="119"/>
      <c r="S50" s="119"/>
      <c r="T50" s="119"/>
      <c r="U50" s="1"/>
      <c r="V50" s="1"/>
      <c r="W50" s="1"/>
      <c r="X50" s="1"/>
      <c r="Y50" s="33">
        <f>SUM(AI59+AI66+AI72)</f>
        <v>5493040.2256792365</v>
      </c>
      <c r="Z50" s="16">
        <f>SUM(Z59+Z66+Z72)</f>
        <v>2812.2734999999998</v>
      </c>
      <c r="AA50" s="1"/>
      <c r="AB50" s="1"/>
      <c r="AI50" s="104" t="s">
        <v>6</v>
      </c>
    </row>
    <row r="51" spans="4:40" ht="15.5" customHeight="1">
      <c r="D51" s="105"/>
      <c r="I51" s="1"/>
      <c r="J51" s="1"/>
      <c r="K51" s="1"/>
      <c r="L51" s="1"/>
      <c r="M51" s="1"/>
      <c r="N51" s="1"/>
      <c r="O51" s="1"/>
      <c r="P51" s="119"/>
      <c r="Q51" s="119"/>
      <c r="R51" s="119"/>
      <c r="S51" s="119"/>
      <c r="T51" s="119"/>
      <c r="U51" s="1"/>
      <c r="V51" s="1"/>
      <c r="W51" s="1"/>
      <c r="X51" s="1"/>
      <c r="Y51" s="1"/>
      <c r="Z51" s="1"/>
      <c r="AA51" s="1"/>
      <c r="AB51" s="1"/>
      <c r="AI51" s="105"/>
    </row>
    <row r="52" spans="4:40" ht="16">
      <c r="D52" s="105"/>
      <c r="I52" s="1"/>
      <c r="J52" s="1"/>
      <c r="K52" s="1"/>
      <c r="L52" s="1"/>
      <c r="M52" s="1"/>
      <c r="N52" s="1"/>
      <c r="O52" s="1"/>
      <c r="P52" s="119"/>
      <c r="Q52" s="119"/>
      <c r="R52" s="119"/>
      <c r="S52" s="119"/>
      <c r="T52" s="119"/>
      <c r="U52" s="1"/>
      <c r="V52" s="1"/>
      <c r="W52" s="1"/>
      <c r="X52" s="1"/>
      <c r="Y52" s="1"/>
      <c r="Z52" s="1"/>
      <c r="AA52" s="1"/>
      <c r="AB52" s="1"/>
      <c r="AI52" s="105"/>
    </row>
    <row r="53" spans="4:40" ht="17" thickBot="1">
      <c r="D53" s="106"/>
      <c r="I53" s="1"/>
      <c r="J53" s="1"/>
      <c r="K53" s="1"/>
      <c r="L53" s="1"/>
      <c r="M53" s="1"/>
      <c r="N53" s="1"/>
      <c r="O53" s="1"/>
      <c r="P53" s="1"/>
      <c r="Q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I53" s="105"/>
    </row>
    <row r="54" spans="4:40" ht="19" thickBot="1">
      <c r="I54" s="1"/>
      <c r="J54" s="1"/>
      <c r="K54" s="1"/>
      <c r="L54" s="1"/>
      <c r="M54" s="1"/>
      <c r="N54" s="1"/>
      <c r="O54" s="1"/>
      <c r="P54" s="1"/>
      <c r="Q54" s="1"/>
      <c r="R54" s="14" t="s">
        <v>7</v>
      </c>
      <c r="S54" s="60" t="s">
        <v>110</v>
      </c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I54" s="106"/>
    </row>
    <row r="55" spans="4:40" ht="18">
      <c r="D55" s="107" t="s">
        <v>8</v>
      </c>
      <c r="E55" s="2"/>
      <c r="F55" s="2" t="s">
        <v>3</v>
      </c>
      <c r="G55" s="2" t="s">
        <v>9</v>
      </c>
      <c r="H55" s="2" t="s">
        <v>10</v>
      </c>
      <c r="I55" s="2" t="s">
        <v>11</v>
      </c>
      <c r="J55" s="2" t="s">
        <v>12</v>
      </c>
      <c r="K55" s="2" t="s">
        <v>13</v>
      </c>
      <c r="L55" s="2" t="s">
        <v>14</v>
      </c>
      <c r="M55" s="2" t="s">
        <v>74</v>
      </c>
      <c r="N55" s="2" t="s">
        <v>75</v>
      </c>
      <c r="O55" s="2" t="s">
        <v>76</v>
      </c>
      <c r="P55" s="2"/>
      <c r="Q55" s="1"/>
      <c r="R55" s="15" t="s">
        <v>73</v>
      </c>
      <c r="S55" s="15" t="s">
        <v>73</v>
      </c>
      <c r="T55" s="1"/>
      <c r="U55" s="1"/>
      <c r="V55" s="1"/>
      <c r="W55" s="1"/>
      <c r="X55" s="107" t="s">
        <v>15</v>
      </c>
      <c r="Y55" s="2"/>
      <c r="Z55" s="2" t="s">
        <v>3</v>
      </c>
      <c r="AA55" s="2" t="s">
        <v>9</v>
      </c>
      <c r="AB55" s="2" t="s">
        <v>10</v>
      </c>
      <c r="AC55" s="2" t="s">
        <v>11</v>
      </c>
      <c r="AD55" s="2" t="s">
        <v>12</v>
      </c>
      <c r="AE55" s="2" t="s">
        <v>13</v>
      </c>
      <c r="AF55" s="2" t="s">
        <v>14</v>
      </c>
      <c r="AG55" s="2" t="s">
        <v>74</v>
      </c>
      <c r="AH55" s="2" t="s">
        <v>75</v>
      </c>
      <c r="AI55" s="2" t="s">
        <v>76</v>
      </c>
    </row>
    <row r="56" spans="4:40" ht="19" thickBot="1">
      <c r="D56" s="107"/>
      <c r="E56" s="2"/>
      <c r="F56" s="4" t="s">
        <v>16</v>
      </c>
      <c r="G56" s="4" t="s">
        <v>17</v>
      </c>
      <c r="H56" s="4" t="s">
        <v>18</v>
      </c>
      <c r="I56" s="4" t="s">
        <v>19</v>
      </c>
      <c r="J56" s="4" t="s">
        <v>38</v>
      </c>
      <c r="K56" s="4" t="s">
        <v>38</v>
      </c>
      <c r="L56" s="4" t="s">
        <v>19</v>
      </c>
      <c r="M56" s="4" t="s">
        <v>19</v>
      </c>
      <c r="N56" s="4" t="s">
        <v>39</v>
      </c>
      <c r="O56" s="2" t="s">
        <v>73</v>
      </c>
      <c r="P56" s="2"/>
      <c r="Q56" s="1"/>
      <c r="R56" s="61">
        <f>Y50-F50</f>
        <v>-10218644.400391087</v>
      </c>
      <c r="S56" s="16">
        <f>F50-Y50</f>
        <v>10218644.400391087</v>
      </c>
      <c r="T56" s="1"/>
      <c r="U56" s="1"/>
      <c r="V56" s="1"/>
      <c r="W56" s="1"/>
      <c r="X56" s="107"/>
      <c r="Y56" s="2"/>
      <c r="Z56" s="4" t="s">
        <v>16</v>
      </c>
      <c r="AA56" s="4" t="s">
        <v>17</v>
      </c>
      <c r="AB56" s="4" t="s">
        <v>18</v>
      </c>
      <c r="AC56" s="4" t="s">
        <v>19</v>
      </c>
      <c r="AD56" s="4" t="s">
        <v>38</v>
      </c>
      <c r="AE56" s="4" t="s">
        <v>38</v>
      </c>
      <c r="AF56" s="4" t="s">
        <v>19</v>
      </c>
      <c r="AG56" s="4" t="s">
        <v>19</v>
      </c>
      <c r="AH56" s="4" t="s">
        <v>39</v>
      </c>
      <c r="AI56" s="2" t="s">
        <v>73</v>
      </c>
    </row>
    <row r="57" spans="4:40" ht="18">
      <c r="D57" s="107"/>
      <c r="E57" s="2" t="s">
        <v>21</v>
      </c>
      <c r="F57" s="2">
        <f>I32</f>
        <v>1232.2202316142893</v>
      </c>
      <c r="G57" s="8">
        <f>Constants!D10</f>
        <v>0.159692</v>
      </c>
      <c r="H57" s="8">
        <f>F57/G57</f>
        <v>7716.2301907064184</v>
      </c>
      <c r="I57" s="2">
        <f>-742.2416+(2*376.8)+(3/2)*4</f>
        <v>17.358400000000074</v>
      </c>
      <c r="J57" s="8">
        <f>H57/H59</f>
        <v>0.7729973094622461</v>
      </c>
      <c r="K57" s="2">
        <f>LN(J57)</f>
        <v>-0.25747971104469741</v>
      </c>
      <c r="L57" s="2">
        <f>RT0*K57</f>
        <v>-0.58472846765943653</v>
      </c>
      <c r="M57" s="2">
        <f>I57+L57</f>
        <v>16.773671532340639</v>
      </c>
      <c r="N57" s="2">
        <f>M57*J57</f>
        <v>12.966002964302785</v>
      </c>
      <c r="O57" s="11">
        <f>H57*N57</f>
        <v>100048.66352594206</v>
      </c>
      <c r="P57" s="1"/>
      <c r="Q57" s="1"/>
      <c r="R57" s="1"/>
      <c r="S57" s="1"/>
      <c r="T57" s="1"/>
      <c r="U57" s="1"/>
      <c r="V57" s="1"/>
      <c r="W57" s="1"/>
      <c r="X57" s="107"/>
      <c r="Y57" s="2" t="s">
        <v>22</v>
      </c>
      <c r="Z57" s="2">
        <f>F23</f>
        <v>861.82574999999986</v>
      </c>
      <c r="AA57" s="8">
        <f>Constants!D9</f>
        <v>5.5844999999999999E-2</v>
      </c>
      <c r="AB57" s="8">
        <f>Z57/AA57</f>
        <v>15432.460381412837</v>
      </c>
      <c r="AC57" s="10">
        <f>376.8</f>
        <v>376.8</v>
      </c>
      <c r="AD57" s="8">
        <f>AB57/AB59</f>
        <v>0.80338690654320766</v>
      </c>
      <c r="AE57" s="2">
        <f>LN(AD57)</f>
        <v>-0.21891885474613768</v>
      </c>
      <c r="AF57" s="2">
        <f>RT0*AE57</f>
        <v>-0.49715795453586697</v>
      </c>
      <c r="AG57" s="2">
        <f>AC57+AF57</f>
        <v>376.30284204546416</v>
      </c>
      <c r="AH57" s="2">
        <f>AG57*AD57</f>
        <v>302.31677619432276</v>
      </c>
      <c r="AI57" s="11">
        <f>AB57*AH57</f>
        <v>4665491.6712553371</v>
      </c>
    </row>
    <row r="58" spans="4:40" ht="18">
      <c r="D58" s="107"/>
      <c r="E58" s="2" t="s">
        <v>23</v>
      </c>
      <c r="F58" s="2">
        <f>I33</f>
        <v>136.14074455223954</v>
      </c>
      <c r="G58" s="8">
        <f>Constants!D14</f>
        <v>6.0080000000000001E-2</v>
      </c>
      <c r="H58" s="8">
        <f>F58/G58</f>
        <v>2265.991087753654</v>
      </c>
      <c r="I58" s="2">
        <f>854.2+4-856.674</f>
        <v>1.5260000000000673</v>
      </c>
      <c r="J58" s="8">
        <f>H58/H59</f>
        <v>0.2270026905377539</v>
      </c>
      <c r="K58" s="2">
        <f>LN(J58)</f>
        <v>-1.4827934089817516</v>
      </c>
      <c r="L58" s="2">
        <f>RT0*K58</f>
        <v>-3.3673780134812201</v>
      </c>
      <c r="M58" s="2">
        <f>I58+L58</f>
        <v>-1.8413780134811528</v>
      </c>
      <c r="N58" s="2">
        <f>M58*J58</f>
        <v>-0.41799776335728617</v>
      </c>
      <c r="O58" s="2">
        <f>H58*N58</f>
        <v>-947.17920646857135</v>
      </c>
      <c r="P58" s="1"/>
      <c r="Q58" s="1"/>
      <c r="R58" s="1"/>
      <c r="S58" s="2"/>
      <c r="T58" s="2"/>
      <c r="U58" s="2"/>
      <c r="V58" s="1"/>
      <c r="W58" s="1"/>
      <c r="X58" s="107"/>
      <c r="Y58" s="2" t="s">
        <v>24</v>
      </c>
      <c r="Z58" s="2">
        <f>F24</f>
        <v>45.359250000000003</v>
      </c>
      <c r="AA58" s="8">
        <f>Constants!D5</f>
        <v>1.201E-2</v>
      </c>
      <c r="AB58" s="8">
        <f>Z58/AA58</f>
        <v>3776.7901748542886</v>
      </c>
      <c r="AC58" s="2">
        <v>410.3</v>
      </c>
      <c r="AD58" s="8">
        <f>AB58/AB59</f>
        <v>0.19661309345679234</v>
      </c>
      <c r="AE58" s="2">
        <f>LN(AD58)</f>
        <v>-1.6265174740116801</v>
      </c>
      <c r="AF58" s="2">
        <f>RT0*AE58</f>
        <v>-3.6937709240905785</v>
      </c>
      <c r="AG58" s="2">
        <f>AC58+AF58</f>
        <v>406.60622907590943</v>
      </c>
      <c r="AH58" s="2">
        <f>AG58*AD58</f>
        <v>79.9441085174157</v>
      </c>
      <c r="AI58" s="2">
        <f>AB58*AH58</f>
        <v>301932.12358606065</v>
      </c>
    </row>
    <row r="59" spans="4:40" ht="16">
      <c r="D59" s="107"/>
      <c r="E59" s="11" t="s">
        <v>25</v>
      </c>
      <c r="F59" s="11">
        <f t="shared" ref="F59:O59" si="2">SUM(F57:F58)</f>
        <v>1368.3609761665289</v>
      </c>
      <c r="G59" s="11">
        <f t="shared" si="2"/>
        <v>0.219772</v>
      </c>
      <c r="H59" s="11">
        <f t="shared" si="2"/>
        <v>9982.2212784600724</v>
      </c>
      <c r="I59" s="11">
        <f t="shared" si="2"/>
        <v>18.884400000000142</v>
      </c>
      <c r="J59" s="11">
        <f t="shared" si="2"/>
        <v>1</v>
      </c>
      <c r="K59" s="11">
        <f t="shared" si="2"/>
        <v>-1.740273120026449</v>
      </c>
      <c r="L59" s="11">
        <f t="shared" si="2"/>
        <v>-3.9521064811406568</v>
      </c>
      <c r="M59" s="11">
        <f t="shared" si="2"/>
        <v>14.932293518859487</v>
      </c>
      <c r="N59" s="11">
        <f t="shared" si="2"/>
        <v>12.548005200945498</v>
      </c>
      <c r="O59" s="11">
        <f t="shared" si="2"/>
        <v>99101.484319473486</v>
      </c>
      <c r="P59" s="1"/>
      <c r="Q59" s="1"/>
      <c r="R59" s="1"/>
      <c r="S59" s="2"/>
      <c r="T59" s="2"/>
      <c r="U59" s="2"/>
      <c r="V59" s="1"/>
      <c r="W59" s="1"/>
      <c r="X59" s="107"/>
      <c r="Y59" s="11" t="s">
        <v>25</v>
      </c>
      <c r="Z59" s="11">
        <f t="shared" ref="Z59:AI59" si="3">SUM(Z57:Z58)</f>
        <v>907.18499999999983</v>
      </c>
      <c r="AA59" s="11">
        <f t="shared" si="3"/>
        <v>6.7854999999999999E-2</v>
      </c>
      <c r="AB59" s="11">
        <f t="shared" si="3"/>
        <v>19209.250556267125</v>
      </c>
      <c r="AC59" s="11">
        <f t="shared" si="3"/>
        <v>787.1</v>
      </c>
      <c r="AD59" s="11">
        <f t="shared" si="3"/>
        <v>1</v>
      </c>
      <c r="AE59" s="11">
        <f t="shared" si="3"/>
        <v>-1.8454363287578177</v>
      </c>
      <c r="AF59" s="11">
        <f t="shared" si="3"/>
        <v>-4.1909288786264458</v>
      </c>
      <c r="AG59" s="11">
        <f t="shared" si="3"/>
        <v>782.90907112137359</v>
      </c>
      <c r="AH59" s="11">
        <f t="shared" si="3"/>
        <v>382.26088471173847</v>
      </c>
      <c r="AI59" s="11">
        <f t="shared" si="3"/>
        <v>4967423.7948413976</v>
      </c>
    </row>
    <row r="60" spans="4:40" ht="16"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4:40" ht="16"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4:40" ht="19.25" customHeight="1"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2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4:40" ht="16">
      <c r="E63" s="1"/>
      <c r="F63" s="1"/>
      <c r="G63" s="1"/>
      <c r="H63" s="1"/>
      <c r="I63" s="1"/>
      <c r="J63" s="1"/>
      <c r="K63" s="1"/>
      <c r="L63" s="1"/>
      <c r="M63" s="1"/>
      <c r="N63" s="1"/>
      <c r="O63" s="2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4:40" ht="19.25" customHeight="1">
      <c r="D64" s="114" t="s">
        <v>26</v>
      </c>
      <c r="E64" s="2"/>
      <c r="F64" s="2" t="s">
        <v>3</v>
      </c>
      <c r="G64" s="2" t="s">
        <v>9</v>
      </c>
      <c r="H64" s="2" t="s">
        <v>10</v>
      </c>
      <c r="I64" s="2" t="s">
        <v>11</v>
      </c>
      <c r="J64" s="2" t="s">
        <v>12</v>
      </c>
      <c r="K64" s="2" t="s">
        <v>13</v>
      </c>
      <c r="L64" s="2" t="s">
        <v>14</v>
      </c>
      <c r="M64" s="2" t="s">
        <v>74</v>
      </c>
      <c r="N64" s="2" t="s">
        <v>75</v>
      </c>
      <c r="O64" s="2" t="s">
        <v>76</v>
      </c>
      <c r="P64" s="1"/>
      <c r="Q64" s="1"/>
      <c r="R64" s="1"/>
      <c r="S64" s="1"/>
      <c r="T64" s="1"/>
      <c r="U64" s="1"/>
      <c r="V64" s="1"/>
      <c r="W64" s="1"/>
      <c r="X64" s="107" t="s">
        <v>27</v>
      </c>
      <c r="Y64" s="2"/>
      <c r="Z64" s="2" t="s">
        <v>3</v>
      </c>
      <c r="AA64" s="2" t="s">
        <v>9</v>
      </c>
      <c r="AB64" s="2" t="s">
        <v>10</v>
      </c>
      <c r="AC64" s="2" t="s">
        <v>11</v>
      </c>
      <c r="AD64" s="2" t="s">
        <v>12</v>
      </c>
      <c r="AE64" s="2" t="s">
        <v>13</v>
      </c>
      <c r="AF64" s="2" t="s">
        <v>14</v>
      </c>
      <c r="AG64" s="2" t="s">
        <v>74</v>
      </c>
      <c r="AH64" s="2" t="s">
        <v>75</v>
      </c>
      <c r="AI64" s="2" t="s">
        <v>76</v>
      </c>
      <c r="AJ64" s="6"/>
      <c r="AK64" s="6"/>
      <c r="AL64" s="6"/>
      <c r="AM64" s="6"/>
      <c r="AN64" s="6"/>
    </row>
    <row r="65" spans="4:40" ht="18">
      <c r="D65" s="114"/>
      <c r="E65" s="10"/>
      <c r="F65" s="4" t="s">
        <v>16</v>
      </c>
      <c r="G65" s="4" t="s">
        <v>17</v>
      </c>
      <c r="H65" s="4" t="s">
        <v>18</v>
      </c>
      <c r="I65" s="4" t="s">
        <v>19</v>
      </c>
      <c r="J65" s="4" t="s">
        <v>38</v>
      </c>
      <c r="K65" s="4" t="s">
        <v>38</v>
      </c>
      <c r="L65" s="4" t="s">
        <v>19</v>
      </c>
      <c r="M65" s="4" t="s">
        <v>19</v>
      </c>
      <c r="N65" s="4" t="s">
        <v>39</v>
      </c>
      <c r="O65" s="2" t="s">
        <v>73</v>
      </c>
      <c r="P65" s="1"/>
      <c r="Q65" s="1"/>
      <c r="R65" s="1"/>
      <c r="S65" s="1"/>
      <c r="T65" s="1"/>
      <c r="U65" s="1"/>
      <c r="V65" s="1"/>
      <c r="W65" s="1"/>
      <c r="X65" s="107"/>
      <c r="Y65" s="2"/>
      <c r="Z65" s="4" t="s">
        <v>16</v>
      </c>
      <c r="AA65" s="4" t="s">
        <v>17</v>
      </c>
      <c r="AB65" s="4" t="s">
        <v>18</v>
      </c>
      <c r="AC65" s="4" t="s">
        <v>19</v>
      </c>
      <c r="AD65" s="4" t="s">
        <v>38</v>
      </c>
      <c r="AE65" s="4" t="s">
        <v>38</v>
      </c>
      <c r="AF65" s="4" t="s">
        <v>19</v>
      </c>
      <c r="AG65" s="4" t="s">
        <v>19</v>
      </c>
      <c r="AH65" s="4" t="s">
        <v>39</v>
      </c>
      <c r="AI65" s="2" t="s">
        <v>73</v>
      </c>
      <c r="AJ65" s="6"/>
      <c r="AK65" s="6"/>
      <c r="AL65" s="6"/>
      <c r="AM65" s="6"/>
      <c r="AN65" s="6"/>
    </row>
    <row r="66" spans="4:40" ht="18">
      <c r="D66" s="114"/>
      <c r="E66" s="2" t="s">
        <v>28</v>
      </c>
      <c r="F66" s="8">
        <f>I34</f>
        <v>226.79624999999999</v>
      </c>
      <c r="G66" s="8">
        <f>Constants!D6</f>
        <v>0.10008700000000001</v>
      </c>
      <c r="H66" s="8">
        <f>F66/G66</f>
        <v>2265.991087753654</v>
      </c>
      <c r="I66" s="10">
        <f>723.8+((3/2)*4)+410.3-1128</f>
        <v>12.099999999999909</v>
      </c>
      <c r="J66" s="8">
        <v>1</v>
      </c>
      <c r="K66" s="8">
        <f>LN(J66)</f>
        <v>0</v>
      </c>
      <c r="L66" s="8">
        <f>RT0*K66</f>
        <v>0</v>
      </c>
      <c r="M66" s="2">
        <f>I66+L66</f>
        <v>12.099999999999909</v>
      </c>
      <c r="N66" s="2">
        <f>M66*J66</f>
        <v>12.099999999999909</v>
      </c>
      <c r="O66" s="11">
        <f>H66*N66</f>
        <v>27418.492161819009</v>
      </c>
      <c r="P66" s="1"/>
      <c r="Q66" s="1"/>
      <c r="R66" s="1"/>
      <c r="S66" s="1"/>
      <c r="T66" s="1"/>
      <c r="U66" s="1"/>
      <c r="V66" s="1"/>
      <c r="W66" s="1"/>
      <c r="X66" s="107"/>
      <c r="Y66" s="2" t="s">
        <v>29</v>
      </c>
      <c r="Z66" s="2">
        <f>F25</f>
        <v>90.718500000000006</v>
      </c>
      <c r="AA66" s="8">
        <f>Constants!D7</f>
        <v>0.116162</v>
      </c>
      <c r="AB66" s="8">
        <f>Z66/AA66</f>
        <v>780.96537594049698</v>
      </c>
      <c r="AC66" s="10">
        <f>-1549.7116+723.8+854.2+ (3/2)*4</f>
        <v>34.288399999999911</v>
      </c>
      <c r="AD66" s="8">
        <f>AB66/AB66</f>
        <v>1</v>
      </c>
      <c r="AE66" s="2">
        <f>LN(AD66)</f>
        <v>0</v>
      </c>
      <c r="AF66" s="2">
        <f>RT0*AE66</f>
        <v>0</v>
      </c>
      <c r="AG66" s="2">
        <f>AC66+AF66</f>
        <v>34.288399999999911</v>
      </c>
      <c r="AH66" s="2">
        <f>AG66*AD66</f>
        <v>34.288399999999911</v>
      </c>
      <c r="AI66" s="11">
        <f>AB66*AH66</f>
        <v>26778.053196398068</v>
      </c>
      <c r="AJ66" s="6"/>
      <c r="AK66" s="6"/>
      <c r="AL66" s="6"/>
      <c r="AM66" s="6"/>
      <c r="AN66" s="6"/>
    </row>
    <row r="67" spans="4:40" ht="16">
      <c r="D67" s="114"/>
      <c r="E67" s="2"/>
      <c r="F67" s="8"/>
      <c r="G67" s="8"/>
      <c r="H67" s="8"/>
      <c r="I67" s="10"/>
      <c r="J67" s="8"/>
      <c r="K67" s="8"/>
      <c r="L67" s="8"/>
      <c r="M67" s="2"/>
      <c r="N67" s="2"/>
      <c r="O67" s="1"/>
      <c r="P67" s="1"/>
      <c r="Q67" s="1"/>
      <c r="R67" s="1"/>
      <c r="S67" s="1"/>
      <c r="T67" s="1"/>
      <c r="U67" s="1"/>
      <c r="V67" s="1"/>
      <c r="W67" s="1"/>
      <c r="X67" s="6"/>
      <c r="Y67" s="6"/>
      <c r="Z67" s="6"/>
      <c r="AA67" s="6"/>
      <c r="AB67" s="6"/>
      <c r="AC67" s="6"/>
      <c r="AD67" s="6"/>
    </row>
    <row r="68" spans="4:40" ht="16">
      <c r="D68" s="8"/>
      <c r="E68" s="2"/>
      <c r="F68" s="8"/>
      <c r="G68" s="8"/>
      <c r="H68" s="8"/>
      <c r="I68" s="10"/>
      <c r="J68" s="8"/>
      <c r="K68" s="8"/>
      <c r="L68" s="8"/>
      <c r="M68" s="2"/>
      <c r="N68" s="2"/>
      <c r="O68" s="1"/>
      <c r="P68" s="1"/>
      <c r="Q68" s="1"/>
      <c r="R68" s="1"/>
      <c r="S68" s="1"/>
      <c r="T68" s="1"/>
      <c r="U68" s="1"/>
      <c r="V68" s="1"/>
      <c r="W68" s="1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</row>
    <row r="69" spans="4:40" ht="16">
      <c r="D69" s="6"/>
      <c r="E69" s="6"/>
      <c r="F69" s="6"/>
      <c r="G69" s="6"/>
      <c r="H69" s="6"/>
      <c r="I69" s="6"/>
      <c r="J69" s="6"/>
      <c r="K69" s="6"/>
      <c r="L69" s="6"/>
      <c r="M69" s="1"/>
      <c r="N69" s="1"/>
      <c r="O69" s="2"/>
      <c r="P69" s="1"/>
      <c r="Q69" s="1"/>
      <c r="R69" s="1"/>
      <c r="S69" s="1"/>
      <c r="T69" s="1"/>
      <c r="U69" s="1"/>
      <c r="V69" s="1"/>
      <c r="W69" s="1"/>
      <c r="X69" s="115" t="s">
        <v>30</v>
      </c>
      <c r="Y69" s="1"/>
      <c r="Z69" s="1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</row>
    <row r="70" spans="4:40" ht="19.25" customHeight="1">
      <c r="D70" s="107" t="s">
        <v>31</v>
      </c>
      <c r="E70" s="2"/>
      <c r="F70" s="2" t="s">
        <v>3</v>
      </c>
      <c r="G70" s="2" t="s">
        <v>9</v>
      </c>
      <c r="H70" s="2" t="s">
        <v>10</v>
      </c>
      <c r="I70" s="2" t="s">
        <v>11</v>
      </c>
      <c r="J70" s="2" t="s">
        <v>12</v>
      </c>
      <c r="K70" s="2" t="s">
        <v>13</v>
      </c>
      <c r="L70" s="2" t="s">
        <v>14</v>
      </c>
      <c r="M70" s="2" t="s">
        <v>74</v>
      </c>
      <c r="N70" s="2" t="s">
        <v>75</v>
      </c>
      <c r="O70" s="2" t="s">
        <v>76</v>
      </c>
      <c r="P70" s="1"/>
      <c r="Q70" s="1"/>
      <c r="R70" s="1"/>
      <c r="S70" s="1"/>
      <c r="T70" s="1"/>
      <c r="U70" s="1"/>
      <c r="V70" s="1"/>
      <c r="W70" s="1"/>
      <c r="X70" s="115"/>
      <c r="Y70" s="2"/>
      <c r="Z70" s="2" t="s">
        <v>3</v>
      </c>
      <c r="AA70" s="2" t="s">
        <v>9</v>
      </c>
      <c r="AB70" s="2" t="s">
        <v>10</v>
      </c>
      <c r="AC70" s="2" t="s">
        <v>11</v>
      </c>
      <c r="AD70" s="2" t="s">
        <v>12</v>
      </c>
      <c r="AE70" s="2" t="s">
        <v>13</v>
      </c>
      <c r="AF70" s="2" t="s">
        <v>14</v>
      </c>
      <c r="AG70" s="2" t="s">
        <v>74</v>
      </c>
      <c r="AH70" s="2" t="s">
        <v>75</v>
      </c>
      <c r="AI70" s="2" t="s">
        <v>76</v>
      </c>
      <c r="AJ70" s="6"/>
      <c r="AK70" s="6"/>
      <c r="AL70" s="6"/>
      <c r="AM70" s="6"/>
      <c r="AN70" s="6"/>
    </row>
    <row r="71" spans="4:40" ht="18">
      <c r="D71" s="107"/>
      <c r="E71" s="10"/>
      <c r="F71" s="4" t="s">
        <v>16</v>
      </c>
      <c r="G71" s="4" t="s">
        <v>17</v>
      </c>
      <c r="H71" s="4" t="s">
        <v>18</v>
      </c>
      <c r="I71" s="4" t="s">
        <v>19</v>
      </c>
      <c r="J71" s="4" t="s">
        <v>38</v>
      </c>
      <c r="K71" s="4" t="s">
        <v>38</v>
      </c>
      <c r="L71" s="4" t="s">
        <v>19</v>
      </c>
      <c r="M71" s="4" t="s">
        <v>19</v>
      </c>
      <c r="N71" s="4" t="s">
        <v>39</v>
      </c>
      <c r="O71" s="2" t="s">
        <v>73</v>
      </c>
      <c r="P71" s="1"/>
      <c r="Q71" s="1"/>
      <c r="R71" s="1"/>
      <c r="S71" s="1"/>
      <c r="T71" s="1"/>
      <c r="U71" s="1"/>
      <c r="V71" s="1"/>
      <c r="W71" s="1"/>
      <c r="X71" s="115"/>
      <c r="Y71" s="2"/>
      <c r="Z71" s="4" t="s">
        <v>16</v>
      </c>
      <c r="AA71" s="4" t="s">
        <v>17</v>
      </c>
      <c r="AB71" s="4" t="s">
        <v>18</v>
      </c>
      <c r="AC71" s="4" t="s">
        <v>19</v>
      </c>
      <c r="AD71" s="4" t="s">
        <v>38</v>
      </c>
      <c r="AE71" s="4" t="s">
        <v>38</v>
      </c>
      <c r="AF71" s="4" t="s">
        <v>19</v>
      </c>
      <c r="AG71" s="4" t="s">
        <v>19</v>
      </c>
      <c r="AH71" s="4" t="s">
        <v>39</v>
      </c>
      <c r="AI71" s="2" t="s">
        <v>73</v>
      </c>
      <c r="AJ71" s="6"/>
      <c r="AK71" s="6"/>
      <c r="AL71" s="6"/>
      <c r="AM71" s="6"/>
      <c r="AN71" s="6"/>
    </row>
    <row r="72" spans="4:40" ht="17">
      <c r="D72" s="107"/>
      <c r="E72" s="2" t="s">
        <v>24</v>
      </c>
      <c r="F72" s="8">
        <f>I35</f>
        <v>453.59249999999997</v>
      </c>
      <c r="G72" s="8">
        <f>Constants!D5</f>
        <v>1.201E-2</v>
      </c>
      <c r="H72" s="8">
        <f>F72/G72</f>
        <v>37767.901748542878</v>
      </c>
      <c r="I72" s="2">
        <v>410.3</v>
      </c>
      <c r="J72" s="8">
        <v>1</v>
      </c>
      <c r="K72" s="8">
        <f>LN(J72)</f>
        <v>0</v>
      </c>
      <c r="L72" s="8">
        <f>RT0*K72</f>
        <v>0</v>
      </c>
      <c r="M72" s="2">
        <f>I72+L72</f>
        <v>410.3</v>
      </c>
      <c r="N72" s="2">
        <f>M72*J72</f>
        <v>410.3</v>
      </c>
      <c r="O72" s="11">
        <f>H72*N72</f>
        <v>15496170.087427143</v>
      </c>
      <c r="P72" s="1"/>
      <c r="Q72" s="1"/>
      <c r="R72" s="1"/>
      <c r="S72" s="1"/>
      <c r="T72" s="1"/>
      <c r="U72" s="1"/>
      <c r="V72" s="1"/>
      <c r="W72" s="1"/>
      <c r="X72" s="115"/>
      <c r="Y72" s="5" t="s">
        <v>32</v>
      </c>
      <c r="Z72" s="2">
        <f>F26</f>
        <v>1814.37</v>
      </c>
      <c r="AA72" s="8">
        <f>Constants!D8</f>
        <v>4.4010000000000001E-2</v>
      </c>
      <c r="AB72" s="8">
        <f>Z72/AA72</f>
        <v>41226.312201772322</v>
      </c>
      <c r="AC72" s="10">
        <f>723.8+((3/2)*4)+410.3-1128</f>
        <v>12.099999999999909</v>
      </c>
      <c r="AD72" s="8">
        <f>AB72/AB72</f>
        <v>1</v>
      </c>
      <c r="AE72" s="2">
        <f>LN(AD72)</f>
        <v>0</v>
      </c>
      <c r="AF72" s="2">
        <f>RT0*AE72</f>
        <v>0</v>
      </c>
      <c r="AG72" s="2">
        <f>AC72+AF72</f>
        <v>12.099999999999909</v>
      </c>
      <c r="AH72" s="2">
        <f>AG72*AD72</f>
        <v>12.099999999999909</v>
      </c>
      <c r="AI72" s="11">
        <f>AB72*AH72</f>
        <v>498838.37764144136</v>
      </c>
      <c r="AJ72" s="6"/>
      <c r="AK72" s="6"/>
      <c r="AL72" s="6"/>
      <c r="AM72" s="6"/>
      <c r="AN72" s="6"/>
    </row>
    <row r="73" spans="4:40" ht="16">
      <c r="E73" s="2"/>
      <c r="F73" s="8"/>
      <c r="G73" s="8"/>
      <c r="H73" s="8"/>
      <c r="I73" s="2"/>
      <c r="J73" s="8"/>
      <c r="K73" s="8"/>
      <c r="L73" s="8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</row>
    <row r="74" spans="4:40" ht="16">
      <c r="E74" s="2"/>
      <c r="F74" s="8"/>
      <c r="G74" s="8"/>
      <c r="H74" s="8"/>
      <c r="I74" s="2"/>
      <c r="J74" s="8"/>
      <c r="K74" s="8"/>
      <c r="L74" s="8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</row>
    <row r="75" spans="4:40" ht="16">
      <c r="E75" s="6"/>
      <c r="F75" s="6"/>
      <c r="G75" s="6"/>
      <c r="H75" s="6"/>
      <c r="I75" s="6"/>
      <c r="J75" s="6"/>
      <c r="K75" s="6"/>
      <c r="L75" s="6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</row>
    <row r="76" spans="4:40" ht="18">
      <c r="D76" s="115" t="s">
        <v>33</v>
      </c>
      <c r="E76" s="2"/>
      <c r="F76" s="2" t="s">
        <v>3</v>
      </c>
      <c r="G76" s="2" t="s">
        <v>9</v>
      </c>
      <c r="H76" s="2" t="s">
        <v>10</v>
      </c>
      <c r="I76" s="2" t="s">
        <v>11</v>
      </c>
      <c r="J76" s="2" t="s">
        <v>12</v>
      </c>
      <c r="K76" s="2" t="s">
        <v>13</v>
      </c>
      <c r="L76" s="2" t="s">
        <v>14</v>
      </c>
      <c r="M76" s="2" t="s">
        <v>74</v>
      </c>
      <c r="N76" s="2" t="s">
        <v>75</v>
      </c>
      <c r="O76" s="2" t="s">
        <v>76</v>
      </c>
      <c r="P76" s="1"/>
      <c r="Q76" s="1"/>
      <c r="R76" s="1"/>
      <c r="S76" s="1"/>
      <c r="T76" s="1"/>
      <c r="U76" s="1"/>
      <c r="V76" s="1"/>
      <c r="W76" s="1"/>
      <c r="X76" s="1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</row>
    <row r="77" spans="4:40" ht="18">
      <c r="D77" s="115"/>
      <c r="E77" s="10"/>
      <c r="F77" s="4" t="s">
        <v>16</v>
      </c>
      <c r="G77" s="4" t="s">
        <v>17</v>
      </c>
      <c r="H77" s="4" t="s">
        <v>18</v>
      </c>
      <c r="I77" s="4" t="s">
        <v>19</v>
      </c>
      <c r="J77" s="4" t="s">
        <v>38</v>
      </c>
      <c r="K77" s="4" t="s">
        <v>38</v>
      </c>
      <c r="L77" s="4" t="s">
        <v>19</v>
      </c>
      <c r="M77" s="4" t="s">
        <v>19</v>
      </c>
      <c r="N77" s="4" t="s">
        <v>39</v>
      </c>
      <c r="O77" s="2" t="s">
        <v>73</v>
      </c>
      <c r="P77" s="1"/>
      <c r="Q77" s="1"/>
      <c r="R77" s="1"/>
      <c r="S77" s="1"/>
      <c r="T77" s="1"/>
      <c r="U77" s="1"/>
      <c r="V77" s="1"/>
      <c r="W77" s="1"/>
      <c r="X77" s="1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</row>
    <row r="78" spans="4:40" ht="21" customHeight="1">
      <c r="D78" s="115"/>
      <c r="E78" s="10" t="s">
        <v>34</v>
      </c>
      <c r="F78" s="8">
        <f>I36</f>
        <v>717.30962108458175</v>
      </c>
      <c r="G78" s="8">
        <f>Constants!D12</f>
        <v>3.1998800000000001E-2</v>
      </c>
      <c r="H78" s="8">
        <f>F78/G78</f>
        <v>22416.766287628965</v>
      </c>
      <c r="I78" s="2">
        <v>3.97</v>
      </c>
      <c r="J78" s="8">
        <v>1</v>
      </c>
      <c r="K78" s="8">
        <f>LN(J78)</f>
        <v>0</v>
      </c>
      <c r="L78" s="8">
        <f>RT0*K78</f>
        <v>0</v>
      </c>
      <c r="M78" s="2">
        <f>I78+L78</f>
        <v>3.97</v>
      </c>
      <c r="N78" s="2">
        <f>M78*J78</f>
        <v>3.97</v>
      </c>
      <c r="O78" s="11">
        <f>H78*N78</f>
        <v>88994.562161886992</v>
      </c>
      <c r="P78" s="1"/>
      <c r="Q78" s="1"/>
      <c r="R78" s="1"/>
      <c r="S78" s="1"/>
      <c r="T78" s="1"/>
      <c r="U78" s="1"/>
      <c r="V78" s="1"/>
      <c r="W78" s="1"/>
      <c r="X78" s="1"/>
    </row>
    <row r="79" spans="4:40" ht="14.5" customHeight="1">
      <c r="P79" s="1"/>
      <c r="Q79" s="1"/>
      <c r="R79" s="1"/>
      <c r="S79" s="1"/>
      <c r="T79" s="1"/>
      <c r="U79" s="1"/>
      <c r="V79" s="1"/>
      <c r="W79" s="1"/>
      <c r="X79" s="1"/>
    </row>
    <row r="80" spans="4:40" ht="20.5" customHeight="1">
      <c r="P80" s="1"/>
      <c r="Q80" s="1"/>
      <c r="R80" s="1"/>
      <c r="S80" s="1"/>
      <c r="T80" s="1"/>
      <c r="U80" s="1"/>
      <c r="V80" s="1"/>
      <c r="W80" s="1"/>
      <c r="X80" s="1"/>
    </row>
    <row r="81" spans="15:24" ht="21" customHeight="1">
      <c r="P81" s="1"/>
      <c r="Q81" s="1"/>
      <c r="R81" s="1"/>
      <c r="S81" s="1"/>
      <c r="T81" s="1"/>
      <c r="U81" s="1"/>
      <c r="V81" s="1"/>
      <c r="W81" s="1"/>
      <c r="X81" s="1"/>
    </row>
    <row r="82" spans="15:24" ht="29">
      <c r="O82" s="116" t="s">
        <v>77</v>
      </c>
      <c r="P82" s="116"/>
      <c r="Q82" s="116"/>
      <c r="R82" s="116"/>
      <c r="S82" s="116"/>
      <c r="T82" s="116"/>
      <c r="U82" s="116"/>
      <c r="V82" s="116"/>
      <c r="W82" s="116"/>
    </row>
    <row r="83" spans="15:24" ht="20">
      <c r="O83" s="1"/>
      <c r="P83" s="2" t="s">
        <v>11</v>
      </c>
      <c r="Q83" s="2" t="s">
        <v>12</v>
      </c>
      <c r="R83" s="2" t="s">
        <v>13</v>
      </c>
      <c r="S83" s="2" t="s">
        <v>14</v>
      </c>
      <c r="T83" s="2" t="s">
        <v>35</v>
      </c>
      <c r="U83" s="2" t="s">
        <v>36</v>
      </c>
      <c r="V83" s="2" t="s">
        <v>12</v>
      </c>
      <c r="W83" s="2" t="s">
        <v>37</v>
      </c>
    </row>
    <row r="84" spans="15:24" ht="18">
      <c r="O84" s="3"/>
      <c r="P84" s="4" t="s">
        <v>19</v>
      </c>
      <c r="Q84" s="4" t="s">
        <v>20</v>
      </c>
      <c r="R84" s="4"/>
      <c r="S84" s="4" t="s">
        <v>19</v>
      </c>
      <c r="T84" s="4" t="s">
        <v>19</v>
      </c>
      <c r="U84" s="4" t="s">
        <v>19</v>
      </c>
      <c r="V84" s="4" t="s">
        <v>38</v>
      </c>
      <c r="W84" s="4" t="s">
        <v>39</v>
      </c>
    </row>
    <row r="85" spans="15:24" ht="18">
      <c r="O85" s="2" t="s">
        <v>21</v>
      </c>
      <c r="P85" s="2">
        <f>-742.2416+(2*376.8)+(3/2)*4</f>
        <v>17.358400000000074</v>
      </c>
      <c r="Q85" s="8">
        <v>9.4078300000000005E-4</v>
      </c>
      <c r="R85" s="1">
        <v>0</v>
      </c>
      <c r="S85" s="1">
        <v>0</v>
      </c>
      <c r="T85" s="1"/>
      <c r="U85" s="1"/>
      <c r="V85" s="1"/>
      <c r="W85" s="1"/>
    </row>
    <row r="86" spans="15:24" ht="18">
      <c r="O86" s="2" t="s">
        <v>23</v>
      </c>
      <c r="P86" s="2">
        <f>854.2+4-856.674</f>
        <v>1.5260000000000673</v>
      </c>
      <c r="Q86" s="2">
        <v>0.59155792299999999</v>
      </c>
      <c r="R86" s="1">
        <v>0</v>
      </c>
      <c r="S86" s="1">
        <v>0</v>
      </c>
      <c r="T86" s="1"/>
      <c r="U86" s="1"/>
      <c r="V86" s="1"/>
      <c r="W86" s="1"/>
    </row>
    <row r="87" spans="15:24" ht="16">
      <c r="O87" s="2" t="s">
        <v>24</v>
      </c>
      <c r="P87" s="2">
        <v>410.3</v>
      </c>
      <c r="Q87" s="2">
        <v>3.1399219999999999E-3</v>
      </c>
      <c r="R87" s="1"/>
      <c r="S87" s="1"/>
      <c r="T87" s="1"/>
      <c r="U87" s="1"/>
      <c r="V87" s="1"/>
      <c r="W87" s="1"/>
    </row>
    <row r="88" spans="15:24" ht="18">
      <c r="O88" s="2" t="s">
        <v>28</v>
      </c>
      <c r="P88" s="10">
        <f>723.8+((3/2)*4)+410.3-1128</f>
        <v>12.099999999999909</v>
      </c>
      <c r="Q88" s="8">
        <v>1.2497872E-2</v>
      </c>
    </row>
    <row r="89" spans="15:24" ht="16">
      <c r="O89" s="2" t="s">
        <v>22</v>
      </c>
      <c r="P89" s="10">
        <f>376.8</f>
        <v>376.8</v>
      </c>
      <c r="Q89" s="10">
        <v>0</v>
      </c>
    </row>
    <row r="90" spans="15:24" ht="18">
      <c r="O90" s="2" t="s">
        <v>29</v>
      </c>
      <c r="P90" s="10">
        <f>-1549.7116+723.8+854.2+ (3/2)*4</f>
        <v>34.288399999999911</v>
      </c>
      <c r="Q90" s="9">
        <v>6.3300000000000004E-6</v>
      </c>
    </row>
    <row r="93" spans="15:24">
      <c r="O93" s="111" t="s">
        <v>40</v>
      </c>
      <c r="P93" s="111"/>
      <c r="Q93" s="111"/>
      <c r="R93" s="111"/>
      <c r="S93" s="111"/>
      <c r="T93" s="111"/>
      <c r="U93" s="111"/>
      <c r="V93" s="111"/>
      <c r="W93" s="111"/>
    </row>
    <row r="94" spans="15:24">
      <c r="O94" s="111"/>
      <c r="P94" s="111"/>
      <c r="Q94" s="111"/>
      <c r="R94" s="111"/>
      <c r="S94" s="111"/>
      <c r="T94" s="111"/>
      <c r="U94" s="111"/>
      <c r="V94" s="111"/>
      <c r="W94" s="111"/>
    </row>
    <row r="95" spans="15:24" ht="29">
      <c r="O95" s="7"/>
      <c r="P95" s="2" t="s">
        <v>11</v>
      </c>
      <c r="Q95" s="2" t="s">
        <v>12</v>
      </c>
      <c r="R95" s="2" t="s">
        <v>13</v>
      </c>
      <c r="S95" s="2" t="s">
        <v>14</v>
      </c>
      <c r="T95" s="2" t="s">
        <v>35</v>
      </c>
      <c r="U95" s="2" t="s">
        <v>36</v>
      </c>
      <c r="V95" s="2" t="s">
        <v>12</v>
      </c>
      <c r="W95" s="2" t="s">
        <v>37</v>
      </c>
    </row>
    <row r="96" spans="15:24" ht="29">
      <c r="O96" s="7"/>
      <c r="P96" s="4" t="s">
        <v>19</v>
      </c>
      <c r="Q96" s="4" t="s">
        <v>20</v>
      </c>
      <c r="R96" s="4"/>
      <c r="S96" s="4" t="s">
        <v>19</v>
      </c>
      <c r="T96" s="4" t="s">
        <v>19</v>
      </c>
      <c r="U96" s="4" t="s">
        <v>19</v>
      </c>
      <c r="V96" s="4" t="s">
        <v>38</v>
      </c>
      <c r="W96" s="4" t="s">
        <v>39</v>
      </c>
    </row>
    <row r="97" spans="5:17" ht="17">
      <c r="O97" s="5" t="s">
        <v>32</v>
      </c>
      <c r="P97" s="2">
        <v>19.916160000000001</v>
      </c>
      <c r="Q97" s="2">
        <v>1</v>
      </c>
    </row>
    <row r="98" spans="5:17" ht="17">
      <c r="O98" s="5" t="s">
        <v>41</v>
      </c>
      <c r="P98" s="2">
        <v>3.97</v>
      </c>
      <c r="Q98" s="2">
        <v>1</v>
      </c>
    </row>
    <row r="102" spans="5:17">
      <c r="F102" s="112" t="s">
        <v>4</v>
      </c>
      <c r="G102" s="112"/>
      <c r="H102" s="112"/>
    </row>
    <row r="103" spans="5:17">
      <c r="G103" t="s">
        <v>9</v>
      </c>
      <c r="H103" t="s">
        <v>42</v>
      </c>
      <c r="I103" t="s">
        <v>43</v>
      </c>
      <c r="J103" t="s">
        <v>44</v>
      </c>
      <c r="K103" t="s">
        <v>45</v>
      </c>
    </row>
    <row r="104" spans="5:17">
      <c r="G104" t="s">
        <v>46</v>
      </c>
      <c r="H104" t="s">
        <v>10</v>
      </c>
      <c r="I104" t="s">
        <v>47</v>
      </c>
      <c r="J104" t="s">
        <v>48</v>
      </c>
      <c r="K104" t="s">
        <v>10</v>
      </c>
    </row>
    <row r="105" spans="5:17" ht="16">
      <c r="E105" t="s">
        <v>22</v>
      </c>
      <c r="F105">
        <v>0.62</v>
      </c>
      <c r="G105" s="8">
        <v>55.844999999999999</v>
      </c>
      <c r="H105">
        <v>2</v>
      </c>
      <c r="I105">
        <f>G105*H105</f>
        <v>111.69</v>
      </c>
      <c r="J105">
        <f>1000*983.85</f>
        <v>983850</v>
      </c>
      <c r="K105">
        <f>J105/(I105+I106)</f>
        <v>6160.9994364080403</v>
      </c>
    </row>
    <row r="106" spans="5:17" ht="16">
      <c r="E106" t="s">
        <v>49</v>
      </c>
      <c r="F106">
        <v>0.36</v>
      </c>
      <c r="G106">
        <v>16</v>
      </c>
      <c r="H106">
        <v>3</v>
      </c>
      <c r="I106">
        <f>G106*H106</f>
        <v>48</v>
      </c>
      <c r="K106" s="2">
        <v>983.85</v>
      </c>
    </row>
    <row r="107" spans="5:17" ht="16">
      <c r="E107" t="s">
        <v>50</v>
      </c>
      <c r="F107">
        <v>0.02</v>
      </c>
      <c r="G107">
        <v>29.09</v>
      </c>
      <c r="H107">
        <v>1</v>
      </c>
      <c r="I107">
        <f t="shared" ref="I107:I108" si="4">G107*H107</f>
        <v>29.09</v>
      </c>
      <c r="K107" s="2">
        <v>16.149999999999999</v>
      </c>
    </row>
    <row r="108" spans="5:17">
      <c r="E108" t="s">
        <v>49</v>
      </c>
      <c r="F108" t="s">
        <v>49</v>
      </c>
      <c r="G108">
        <v>16</v>
      </c>
      <c r="H108">
        <v>2</v>
      </c>
      <c r="I108">
        <f t="shared" si="4"/>
        <v>32</v>
      </c>
    </row>
    <row r="109" spans="5:17">
      <c r="E109" t="s">
        <v>51</v>
      </c>
      <c r="F109" t="s">
        <v>51</v>
      </c>
      <c r="G109">
        <v>40.08</v>
      </c>
    </row>
    <row r="110" spans="5:17" ht="16">
      <c r="E110" t="s">
        <v>24</v>
      </c>
      <c r="F110" t="s">
        <v>24</v>
      </c>
      <c r="G110" s="8">
        <v>12.01</v>
      </c>
    </row>
  </sheetData>
  <mergeCells count="17">
    <mergeCell ref="O93:W94"/>
    <mergeCell ref="F102:H102"/>
    <mergeCell ref="J8:K8"/>
    <mergeCell ref="D64:D67"/>
    <mergeCell ref="X64:X66"/>
    <mergeCell ref="X69:X72"/>
    <mergeCell ref="D70:D72"/>
    <mergeCell ref="D76:D78"/>
    <mergeCell ref="O82:W82"/>
    <mergeCell ref="M43:Z43"/>
    <mergeCell ref="D49:D53"/>
    <mergeCell ref="P50:T52"/>
    <mergeCell ref="AI50:AI54"/>
    <mergeCell ref="D55:D59"/>
    <mergeCell ref="X55:X59"/>
    <mergeCell ref="D15:F15"/>
    <mergeCell ref="G15:H15"/>
  </mergeCells>
  <hyperlinks>
    <hyperlink ref="A2" r:id="rId1" xr:uid="{6D479C56-8158-465F-9A1F-607CE199BEBE}"/>
    <hyperlink ref="A3" r:id="rId2" xr:uid="{431CB884-AF4C-44D6-8D4A-47E288958701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8E49-F7E6-4255-8482-1BF8D06541C2}">
  <dimension ref="A1:AM99"/>
  <sheetViews>
    <sheetView zoomScale="72" workbookViewId="0">
      <selection activeCell="D15" sqref="D15"/>
    </sheetView>
  </sheetViews>
  <sheetFormatPr baseColWidth="10" defaultColWidth="8.83203125" defaultRowHeight="15"/>
  <cols>
    <col min="4" max="4" width="11" bestFit="1" customWidth="1"/>
    <col min="5" max="5" width="13.1640625" bestFit="1" customWidth="1"/>
    <col min="7" max="7" width="10.1640625" bestFit="1" customWidth="1"/>
    <col min="12" max="13" width="14.83203125" bestFit="1" customWidth="1"/>
    <col min="21" max="21" width="13.33203125" bestFit="1" customWidth="1"/>
  </cols>
  <sheetData>
    <row r="1" spans="1:21">
      <c r="A1" s="43" t="s">
        <v>78</v>
      </c>
    </row>
    <row r="2" spans="1:21">
      <c r="A2" s="24" t="s">
        <v>200</v>
      </c>
      <c r="B2" t="s">
        <v>201</v>
      </c>
      <c r="C2" t="s">
        <v>202</v>
      </c>
    </row>
    <row r="3" spans="1:21">
      <c r="A3" s="24"/>
    </row>
    <row r="8" spans="1:21">
      <c r="L8" s="5"/>
    </row>
    <row r="10" spans="1:21" ht="17">
      <c r="B10" s="21"/>
      <c r="C10" s="21" t="s">
        <v>72</v>
      </c>
      <c r="D10" s="21" t="s">
        <v>3</v>
      </c>
      <c r="E10" s="21" t="s">
        <v>72</v>
      </c>
      <c r="F10" s="21" t="s">
        <v>9</v>
      </c>
      <c r="G10" s="21" t="s">
        <v>52</v>
      </c>
      <c r="H10" s="21" t="s">
        <v>61</v>
      </c>
      <c r="I10" s="21" t="s">
        <v>179</v>
      </c>
      <c r="J10" s="21" t="s">
        <v>181</v>
      </c>
      <c r="K10" s="5"/>
      <c r="L10" s="21" t="s">
        <v>105</v>
      </c>
      <c r="O10" s="121" t="s">
        <v>198</v>
      </c>
      <c r="P10" s="121"/>
      <c r="Q10" s="121"/>
      <c r="R10" s="121"/>
      <c r="S10" s="121"/>
      <c r="T10" s="121"/>
      <c r="U10" s="121"/>
    </row>
    <row r="11" spans="1:21" ht="18">
      <c r="B11" s="21"/>
      <c r="C11" s="21" t="s">
        <v>199</v>
      </c>
      <c r="D11" s="21" t="s">
        <v>69</v>
      </c>
      <c r="E11" s="21" t="s">
        <v>16</v>
      </c>
      <c r="F11" s="21" t="s">
        <v>17</v>
      </c>
      <c r="G11" s="21" t="s">
        <v>18</v>
      </c>
      <c r="H11" s="21" t="s">
        <v>178</v>
      </c>
      <c r="I11" s="21" t="s">
        <v>180</v>
      </c>
      <c r="J11" s="21" t="s">
        <v>177</v>
      </c>
      <c r="K11" s="5"/>
      <c r="L11" s="21" t="s">
        <v>108</v>
      </c>
      <c r="O11" s="121" t="s">
        <v>191</v>
      </c>
      <c r="P11" s="121"/>
      <c r="Q11" s="121"/>
      <c r="R11" s="21"/>
      <c r="S11" s="21"/>
      <c r="T11" s="122" t="s">
        <v>195</v>
      </c>
      <c r="U11" s="123"/>
    </row>
    <row r="12" spans="1:21" ht="18">
      <c r="B12" s="27" t="s">
        <v>21</v>
      </c>
      <c r="C12" s="27">
        <v>0.88105999999999995</v>
      </c>
      <c r="D12" s="27">
        <f>C12*D14</f>
        <v>0.88105999999999995</v>
      </c>
      <c r="E12" s="21">
        <f>D12*L12</f>
        <v>799.28441609999993</v>
      </c>
      <c r="F12" s="21">
        <f>MW_Fe2O3</f>
        <v>0.159692</v>
      </c>
      <c r="G12" s="21">
        <f>E12/F12</f>
        <v>5005.162538511634</v>
      </c>
      <c r="H12" s="21">
        <f>G12/$F$14</f>
        <v>0.7359330754082829</v>
      </c>
      <c r="I12" s="21">
        <f>(F12*H12)+(F13*H13)</f>
        <v>0.13338776550756987</v>
      </c>
      <c r="J12" s="21">
        <f>(E12+E13)/I12</f>
        <v>6801.1110055555764</v>
      </c>
      <c r="K12" s="5"/>
      <c r="L12" s="21">
        <v>907.18499999999995</v>
      </c>
      <c r="N12" s="6"/>
      <c r="O12" s="121" t="s">
        <v>196</v>
      </c>
      <c r="P12" s="121"/>
      <c r="Q12" s="121"/>
      <c r="R12" s="21"/>
      <c r="S12" s="21"/>
      <c r="T12" s="121" t="s">
        <v>197</v>
      </c>
      <c r="U12" s="121"/>
    </row>
    <row r="13" spans="1:21" ht="18">
      <c r="B13" s="27" t="s">
        <v>23</v>
      </c>
      <c r="C13" s="27">
        <v>0.11894</v>
      </c>
      <c r="D13" s="27">
        <f>C13*D14</f>
        <v>0.11894</v>
      </c>
      <c r="E13" s="21">
        <f>D13*L12</f>
        <v>107.9005839</v>
      </c>
      <c r="F13" s="21">
        <f>MW_SIO2</f>
        <v>6.0080000000000001E-2</v>
      </c>
      <c r="G13" s="21">
        <f>E13/F13</f>
        <v>1795.9484670439415</v>
      </c>
      <c r="H13" s="21">
        <f>G13/$F$14</f>
        <v>0.2640669245917171</v>
      </c>
      <c r="I13" s="21"/>
      <c r="J13" s="21"/>
      <c r="K13" s="5"/>
      <c r="O13" s="121" t="str">
        <f>_xlfn.CONCAT(E19," ",B12, " ","+"," ",E20," ",C20," ","--&gt;"," ",E21," ",C21," ","+"," ",E22," ",C22)</f>
        <v>1 Fe2O3 + 3 CO --&gt; 2 Fe + 3 CO2</v>
      </c>
      <c r="P13" s="121"/>
      <c r="Q13" s="121"/>
      <c r="R13" s="121"/>
      <c r="S13" s="121"/>
      <c r="T13" s="121"/>
      <c r="U13" s="121"/>
    </row>
    <row r="14" spans="1:21">
      <c r="B14" s="5" t="s">
        <v>25</v>
      </c>
      <c r="C14" s="5"/>
      <c r="D14" s="22">
        <v>1</v>
      </c>
      <c r="E14" s="5"/>
      <c r="F14" s="5">
        <f>SUM(G12:G13)</f>
        <v>6801.1110055555755</v>
      </c>
      <c r="G14" s="5">
        <f>SUM(G12:G13)</f>
        <v>6801.1110055555755</v>
      </c>
      <c r="H14" s="5"/>
      <c r="I14" s="5"/>
      <c r="J14" s="5"/>
      <c r="O14" s="121" t="str">
        <f>_xlfn.CONCAT(E23," ",C23," ","+"," ",E24," ",C24," ","--&gt;"," ",E25," ",C25)</f>
        <v>1 CaO + 1 SiO2 --&gt; 1 CaSiO3</v>
      </c>
      <c r="P14" s="121"/>
      <c r="Q14" s="121"/>
      <c r="R14" s="121"/>
      <c r="S14" s="121"/>
      <c r="T14" s="121"/>
      <c r="U14" s="121"/>
    </row>
    <row r="17" spans="1:27">
      <c r="C17" s="5"/>
      <c r="D17" s="5" t="s">
        <v>67</v>
      </c>
      <c r="E17" s="5" t="s">
        <v>184</v>
      </c>
      <c r="F17" t="s">
        <v>61</v>
      </c>
      <c r="G17" s="5" t="s">
        <v>61</v>
      </c>
      <c r="H17" s="5" t="s">
        <v>52</v>
      </c>
      <c r="I17" s="41" t="s">
        <v>9</v>
      </c>
      <c r="J17" s="5" t="s">
        <v>3</v>
      </c>
      <c r="K17" s="5" t="s">
        <v>3</v>
      </c>
      <c r="L17" s="5"/>
      <c r="M17" s="5" t="s">
        <v>182</v>
      </c>
      <c r="N17" s="5" t="s">
        <v>3</v>
      </c>
      <c r="O17" s="5"/>
      <c r="P17" s="5" t="s">
        <v>183</v>
      </c>
      <c r="Q17" s="5" t="s">
        <v>3</v>
      </c>
      <c r="R17" s="5"/>
      <c r="T17" s="5"/>
      <c r="U17" s="5"/>
      <c r="V17" s="5"/>
      <c r="W17" s="5"/>
      <c r="X17" s="5"/>
      <c r="Y17" s="5"/>
      <c r="Z17" s="5"/>
      <c r="AA17" s="5"/>
    </row>
    <row r="18" spans="1:27" ht="17">
      <c r="C18" s="52" t="s">
        <v>63</v>
      </c>
      <c r="D18" s="52"/>
      <c r="E18" s="21"/>
      <c r="F18" s="21" t="s">
        <v>178</v>
      </c>
      <c r="G18" s="21" t="s">
        <v>185</v>
      </c>
      <c r="H18" s="21" t="s">
        <v>133</v>
      </c>
      <c r="I18" s="65" t="s">
        <v>17</v>
      </c>
      <c r="J18" s="21" t="s">
        <v>176</v>
      </c>
      <c r="K18" s="21" t="s">
        <v>69</v>
      </c>
      <c r="L18" s="5"/>
      <c r="M18" s="5" t="s">
        <v>63</v>
      </c>
      <c r="N18" s="21" t="s">
        <v>176</v>
      </c>
      <c r="O18" s="5"/>
      <c r="P18" s="5" t="s">
        <v>63</v>
      </c>
      <c r="Q18" s="21" t="s">
        <v>176</v>
      </c>
      <c r="R18" s="5"/>
      <c r="T18" s="5"/>
      <c r="U18" s="5"/>
      <c r="V18" s="5"/>
      <c r="W18" s="5"/>
      <c r="X18" s="5"/>
      <c r="Y18" s="5"/>
      <c r="Z18" s="5"/>
      <c r="AA18" s="5"/>
    </row>
    <row r="19" spans="1:27" ht="18">
      <c r="B19" s="120" t="s">
        <v>174</v>
      </c>
      <c r="C19" s="27" t="s">
        <v>21</v>
      </c>
      <c r="D19" s="25" t="s">
        <v>53</v>
      </c>
      <c r="E19" s="5">
        <v>1</v>
      </c>
      <c r="F19">
        <f>H12</f>
        <v>0.7359330754082829</v>
      </c>
      <c r="G19">
        <f t="shared" ref="G19:G25" si="0">H19/$H$26</f>
        <v>9.9241225118543455E-2</v>
      </c>
      <c r="H19">
        <f t="shared" ref="H19:H25" si="1">F19*$J$12</f>
        <v>5005.1625385116349</v>
      </c>
      <c r="I19">
        <f>MW_Fe2O3</f>
        <v>0.159692</v>
      </c>
      <c r="J19">
        <f>H19*I19</f>
        <v>799.28441610000004</v>
      </c>
      <c r="K19">
        <f t="shared" ref="K19:K25" si="2">J19/$L$12</f>
        <v>0.88106000000000007</v>
      </c>
      <c r="M19" s="27" t="s">
        <v>21</v>
      </c>
      <c r="N19">
        <f>J19</f>
        <v>799.28441610000004</v>
      </c>
      <c r="P19" s="21" t="s">
        <v>22</v>
      </c>
      <c r="Q19">
        <f>J21</f>
        <v>559.02660392636449</v>
      </c>
    </row>
    <row r="20" spans="1:27" ht="18">
      <c r="A20" s="2"/>
      <c r="B20" s="120"/>
      <c r="C20" s="21" t="s">
        <v>192</v>
      </c>
      <c r="D20" s="5" t="s">
        <v>54</v>
      </c>
      <c r="E20" s="5">
        <f>E22</f>
        <v>3</v>
      </c>
      <c r="F20">
        <f>F22</f>
        <v>2.2077992262248487</v>
      </c>
      <c r="G20">
        <f t="shared" si="0"/>
        <v>0.29772367535563038</v>
      </c>
      <c r="H20">
        <f t="shared" si="1"/>
        <v>15015.487615534905</v>
      </c>
      <c r="I20">
        <f>MW_CO</f>
        <v>2.801E-2</v>
      </c>
      <c r="J20">
        <f>H20*I20</f>
        <v>420.58380811113267</v>
      </c>
      <c r="K20">
        <f t="shared" si="2"/>
        <v>0.46361415600030059</v>
      </c>
      <c r="M20" s="27" t="s">
        <v>23</v>
      </c>
      <c r="N20">
        <f>J24</f>
        <v>107.90058390000002</v>
      </c>
      <c r="P20" s="27" t="s">
        <v>29</v>
      </c>
      <c r="Q20">
        <f>J25</f>
        <v>208.62096582875836</v>
      </c>
    </row>
    <row r="21" spans="1:27" ht="17">
      <c r="A21" s="2"/>
      <c r="B21" s="120" t="s">
        <v>175</v>
      </c>
      <c r="C21" s="21" t="s">
        <v>22</v>
      </c>
      <c r="D21" s="5" t="s">
        <v>55</v>
      </c>
      <c r="E21" s="5">
        <v>2</v>
      </c>
      <c r="F21">
        <f>E21*F19</f>
        <v>1.4718661508165658</v>
      </c>
      <c r="G21">
        <f t="shared" si="0"/>
        <v>0.19848245023708691</v>
      </c>
      <c r="H21">
        <f t="shared" si="1"/>
        <v>10010.32507702327</v>
      </c>
      <c r="I21">
        <f>MW_Fe</f>
        <v>5.5844999999999999E-2</v>
      </c>
      <c r="J21">
        <f>H21*I21</f>
        <v>559.02660392636449</v>
      </c>
      <c r="K21">
        <f t="shared" si="2"/>
        <v>0.61622117200611182</v>
      </c>
      <c r="M21" s="21" t="s">
        <v>192</v>
      </c>
      <c r="N21">
        <f>J20</f>
        <v>420.58380811113267</v>
      </c>
      <c r="P21" s="21" t="s">
        <v>32</v>
      </c>
      <c r="Q21">
        <f>J22</f>
        <v>660.83160995969115</v>
      </c>
    </row>
    <row r="22" spans="1:27" ht="17">
      <c r="A22" s="5"/>
      <c r="B22" s="120"/>
      <c r="C22" s="52" t="s">
        <v>32</v>
      </c>
      <c r="D22" s="5" t="s">
        <v>56</v>
      </c>
      <c r="E22" s="5">
        <f>3*E19</f>
        <v>3</v>
      </c>
      <c r="F22">
        <f>E22*F19</f>
        <v>2.2077992262248487</v>
      </c>
      <c r="G22">
        <f t="shared" si="0"/>
        <v>0.29772367535563038</v>
      </c>
      <c r="H22">
        <f t="shared" si="1"/>
        <v>15015.487615534905</v>
      </c>
      <c r="I22">
        <f>MW_CO2</f>
        <v>4.4010000000000001E-2</v>
      </c>
      <c r="J22">
        <f t="shared" ref="J22:J25" si="3">H22*I22</f>
        <v>660.83160995969115</v>
      </c>
      <c r="K22">
        <f t="shared" si="2"/>
        <v>0.72844194950279295</v>
      </c>
      <c r="M22" s="27" t="s">
        <v>193</v>
      </c>
      <c r="N22">
        <f>J23</f>
        <v>100.71212056580994</v>
      </c>
    </row>
    <row r="23" spans="1:27" ht="16">
      <c r="A23" s="5"/>
      <c r="B23" s="120" t="s">
        <v>174</v>
      </c>
      <c r="C23" s="27" t="s">
        <v>193</v>
      </c>
      <c r="D23" s="5" t="s">
        <v>57</v>
      </c>
      <c r="E23" s="5">
        <v>1</v>
      </c>
      <c r="F23">
        <f>F25</f>
        <v>0.2640669245917171</v>
      </c>
      <c r="G23">
        <f t="shared" si="0"/>
        <v>3.5609657977702963E-2</v>
      </c>
      <c r="H23">
        <f t="shared" si="1"/>
        <v>1795.9484670439417</v>
      </c>
      <c r="I23">
        <f>MW_CaO</f>
        <v>5.6077399999999999E-2</v>
      </c>
      <c r="J23">
        <f t="shared" si="3"/>
        <v>100.71212056580994</v>
      </c>
      <c r="K23">
        <f t="shared" si="2"/>
        <v>0.11101607782956062</v>
      </c>
      <c r="N23">
        <f>SUM(N19:N22)</f>
        <v>1428.4809286769428</v>
      </c>
      <c r="Q23">
        <f>SUM(Q19:Q21)</f>
        <v>1428.4791797148141</v>
      </c>
    </row>
    <row r="24" spans="1:27" ht="18">
      <c r="B24" s="120"/>
      <c r="C24" s="27" t="s">
        <v>23</v>
      </c>
      <c r="D24" s="5" t="s">
        <v>59</v>
      </c>
      <c r="E24" s="5">
        <v>1</v>
      </c>
      <c r="F24">
        <f>H13</f>
        <v>0.2640669245917171</v>
      </c>
      <c r="G24">
        <f t="shared" si="0"/>
        <v>3.5609657977702963E-2</v>
      </c>
      <c r="H24">
        <f t="shared" si="1"/>
        <v>1795.9484670439417</v>
      </c>
      <c r="I24">
        <f>MW_SIO2</f>
        <v>6.0080000000000001E-2</v>
      </c>
      <c r="J24">
        <f t="shared" si="3"/>
        <v>107.90058390000002</v>
      </c>
      <c r="K24">
        <f t="shared" si="2"/>
        <v>0.11894000000000002</v>
      </c>
    </row>
    <row r="25" spans="1:27" ht="18">
      <c r="B25" s="120" t="s">
        <v>175</v>
      </c>
      <c r="C25" s="27" t="s">
        <v>29</v>
      </c>
      <c r="D25" s="5" t="s">
        <v>47</v>
      </c>
      <c r="E25" s="5">
        <f>E24</f>
        <v>1</v>
      </c>
      <c r="F25">
        <f>F24</f>
        <v>0.2640669245917171</v>
      </c>
      <c r="G25">
        <f t="shared" si="0"/>
        <v>3.5609657977702963E-2</v>
      </c>
      <c r="H25">
        <f t="shared" si="1"/>
        <v>1795.9484670439417</v>
      </c>
      <c r="I25">
        <f>MW_CaSiO3</f>
        <v>0.116162</v>
      </c>
      <c r="J25">
        <f t="shared" si="3"/>
        <v>208.62096582875836</v>
      </c>
      <c r="K25">
        <f t="shared" si="2"/>
        <v>0.22996518442077235</v>
      </c>
    </row>
    <row r="26" spans="1:27" ht="16">
      <c r="B26" s="120"/>
      <c r="C26" s="2"/>
      <c r="D26" s="98"/>
      <c r="E26" s="98"/>
      <c r="F26" s="98">
        <f>SUM(F19:F25)</f>
        <v>7.4155984524496965</v>
      </c>
      <c r="G26" s="98">
        <f>SUM(G19:G25)</f>
        <v>1</v>
      </c>
      <c r="H26" s="98">
        <f>SUM(H19:H25)</f>
        <v>50434.308247736539</v>
      </c>
      <c r="I26" s="98"/>
      <c r="J26" s="98">
        <f>SUM(J19:J25)</f>
        <v>2856.9601083917569</v>
      </c>
      <c r="K26" s="98">
        <f>SUM(K19:K25)</f>
        <v>3.1492585397595385</v>
      </c>
    </row>
    <row r="27" spans="1:27" ht="17">
      <c r="C27" s="2"/>
      <c r="H27" s="21" t="s">
        <v>186</v>
      </c>
      <c r="J27" s="21" t="s">
        <v>187</v>
      </c>
      <c r="K27" s="21" t="s">
        <v>188</v>
      </c>
    </row>
    <row r="28" spans="1:27">
      <c r="C28" s="5"/>
    </row>
    <row r="29" spans="1:27">
      <c r="C29" s="5"/>
    </row>
    <row r="41" spans="10:33" ht="16">
      <c r="J41" s="1"/>
      <c r="K41" s="1"/>
    </row>
    <row r="42" spans="10:33" ht="16">
      <c r="J42" s="1"/>
      <c r="K42" s="1"/>
    </row>
    <row r="43" spans="10:33" ht="29">
      <c r="J43" s="1"/>
      <c r="K43" s="1"/>
      <c r="L43" s="1"/>
      <c r="M43" s="1"/>
      <c r="N43" s="117" t="s">
        <v>0</v>
      </c>
      <c r="O43" s="117"/>
      <c r="P43" s="117"/>
      <c r="Q43" s="117"/>
      <c r="R43" s="117"/>
      <c r="S43" s="117"/>
      <c r="T43" s="117"/>
      <c r="U43" s="117"/>
      <c r="V43" s="117"/>
      <c r="W43" s="117"/>
      <c r="X43" s="117"/>
      <c r="Y43" s="117"/>
      <c r="Z43" s="117"/>
      <c r="AA43" s="117"/>
      <c r="AB43" s="117"/>
      <c r="AC43" s="117"/>
      <c r="AD43" s="117"/>
      <c r="AE43" s="1"/>
      <c r="AF43" s="1"/>
      <c r="AG43" s="1"/>
    </row>
    <row r="44" spans="10:33" ht="16">
      <c r="J44" s="1"/>
      <c r="K44" s="1"/>
      <c r="L44" s="1"/>
      <c r="M44" s="1"/>
      <c r="N44" s="1"/>
      <c r="O44" s="1"/>
      <c r="P44" s="1"/>
      <c r="Q44" s="1"/>
      <c r="R44" s="1"/>
      <c r="S44" s="1"/>
      <c r="T44" s="17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0:33" ht="16"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10:33" ht="16"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10:33" ht="16"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10:33" ht="16"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spans="5:39" ht="16.25" customHeight="1"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5:39" ht="16.25" customHeight="1">
      <c r="J50" s="1"/>
      <c r="K50" s="1"/>
      <c r="L50" s="1"/>
      <c r="M50" s="1"/>
      <c r="N50" s="1"/>
      <c r="O50" s="1"/>
      <c r="P50" s="1"/>
      <c r="Q50" s="1"/>
      <c r="R50" s="1"/>
      <c r="S50" s="99"/>
      <c r="T50" s="99"/>
      <c r="U50" s="99"/>
      <c r="V50" s="99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5:39" ht="15.5" customHeight="1">
      <c r="J51" s="1"/>
      <c r="K51" s="1"/>
      <c r="L51" s="1"/>
      <c r="M51" s="1"/>
      <c r="N51" s="1"/>
      <c r="O51" s="1"/>
      <c r="P51" s="1"/>
      <c r="Q51" s="1"/>
      <c r="R51" s="1"/>
      <c r="S51" s="99"/>
      <c r="T51" s="99"/>
      <c r="U51" s="99"/>
      <c r="V51" s="99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spans="5:39" ht="15.5" customHeight="1">
      <c r="J52" s="1"/>
      <c r="K52" s="1"/>
      <c r="L52" s="1"/>
      <c r="M52" s="1"/>
      <c r="N52" s="1"/>
      <c r="O52" s="1"/>
      <c r="P52" s="1"/>
      <c r="Q52" s="1"/>
      <c r="R52" s="1"/>
      <c r="S52" s="99"/>
      <c r="T52" s="99"/>
      <c r="U52" s="99"/>
      <c r="V52" s="99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5:39" ht="16">
      <c r="G53" s="38"/>
      <c r="H53" s="38"/>
      <c r="J53" s="1"/>
      <c r="K53" s="1"/>
      <c r="L53" s="1"/>
      <c r="M53" s="1"/>
      <c r="N53" s="1"/>
      <c r="O53" s="1"/>
      <c r="P53" s="1"/>
      <c r="Q53" s="1"/>
      <c r="R53" s="1"/>
      <c r="S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5:39" ht="16">
      <c r="E54" s="86"/>
      <c r="G54" s="5"/>
      <c r="H54" s="5"/>
      <c r="J54" s="1"/>
      <c r="K54" s="1"/>
      <c r="L54" s="1"/>
      <c r="M54" s="1"/>
      <c r="N54" s="1"/>
      <c r="O54" s="1"/>
      <c r="P54" s="1"/>
      <c r="Q54" s="1"/>
      <c r="R54" s="1"/>
      <c r="S54" s="1"/>
      <c r="T54" s="2"/>
      <c r="U54" s="2"/>
      <c r="V54" s="2"/>
      <c r="W54" s="1"/>
      <c r="X54" s="1"/>
      <c r="Y54" s="1"/>
      <c r="Z54" s="1"/>
      <c r="AA54" s="1"/>
      <c r="AB54" s="1"/>
      <c r="AC54" s="1"/>
      <c r="AE54" s="1"/>
      <c r="AF54" s="1"/>
    </row>
    <row r="55" spans="5:39" ht="17" thickBot="1">
      <c r="E55" s="86"/>
      <c r="G55" s="5"/>
      <c r="H55" s="5"/>
      <c r="J55" s="1"/>
      <c r="K55" s="1"/>
      <c r="L55" s="1"/>
      <c r="M55" s="1"/>
      <c r="N55" s="1"/>
      <c r="O55" s="1"/>
      <c r="P55" s="1"/>
      <c r="Q55" s="1"/>
      <c r="R55" s="1"/>
      <c r="S55" s="1"/>
      <c r="T55" s="2"/>
      <c r="U55" s="2"/>
      <c r="V55" s="2"/>
      <c r="W55" s="1"/>
      <c r="X55" s="1"/>
      <c r="Y55" s="1"/>
      <c r="Z55" s="1"/>
      <c r="AA55" s="1"/>
      <c r="AB55" s="1"/>
      <c r="AC55" s="1"/>
      <c r="AE55" s="1"/>
      <c r="AF55" s="1"/>
    </row>
    <row r="56" spans="5:39" ht="16">
      <c r="E56" s="86"/>
      <c r="J56" s="1"/>
      <c r="K56" s="1"/>
      <c r="L56" s="1"/>
      <c r="M56" s="1"/>
      <c r="N56" s="1"/>
      <c r="O56" s="93" t="s">
        <v>3</v>
      </c>
      <c r="P56" s="88" t="s">
        <v>2</v>
      </c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L56" s="93" t="s">
        <v>3</v>
      </c>
      <c r="AM56" s="88" t="s">
        <v>2</v>
      </c>
    </row>
    <row r="57" spans="5:39" ht="29">
      <c r="E57" s="86"/>
      <c r="J57" s="1"/>
      <c r="K57" s="1"/>
      <c r="L57" s="1"/>
      <c r="M57" s="1"/>
      <c r="N57" s="1"/>
      <c r="O57" s="95" t="s">
        <v>149</v>
      </c>
      <c r="P57" s="94" t="s">
        <v>153</v>
      </c>
      <c r="Q57" s="99"/>
      <c r="R57" s="99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L57" s="95" t="s">
        <v>149</v>
      </c>
      <c r="AM57" s="94" t="s">
        <v>153</v>
      </c>
    </row>
    <row r="58" spans="5:39" ht="30" thickBot="1">
      <c r="E58" s="86"/>
      <c r="J58" s="1"/>
      <c r="K58" s="1"/>
      <c r="L58" s="1"/>
      <c r="M58" s="1"/>
      <c r="N58" s="1"/>
      <c r="O58" s="79">
        <f>G64</f>
        <v>907.18500000000006</v>
      </c>
      <c r="P58" s="77">
        <f>P64</f>
        <v>293.42976186535032</v>
      </c>
      <c r="Q58" s="99"/>
      <c r="R58" s="99"/>
      <c r="S58" s="1"/>
      <c r="T58" s="1"/>
      <c r="U58" s="2"/>
      <c r="V58" s="2"/>
      <c r="W58" s="2"/>
      <c r="X58" s="1"/>
      <c r="Y58" s="1"/>
      <c r="Z58" s="1"/>
      <c r="AA58" s="1"/>
      <c r="AB58" s="1"/>
      <c r="AC58" s="1"/>
      <c r="AD58" s="1"/>
      <c r="AE58" s="1"/>
      <c r="AF58" s="1"/>
      <c r="AG58" s="1"/>
      <c r="AL58" s="79">
        <f>AD63</f>
        <v>559.02660392636449</v>
      </c>
      <c r="AM58" s="77">
        <f>AM63</f>
        <v>559.02660392636449</v>
      </c>
    </row>
    <row r="59" spans="5:39" ht="29">
      <c r="J59" s="1"/>
      <c r="K59" s="1"/>
      <c r="L59" s="1"/>
      <c r="M59" s="1"/>
      <c r="N59" s="1"/>
      <c r="O59" s="1"/>
      <c r="P59" s="1"/>
      <c r="Q59" s="99"/>
      <c r="R59" s="99"/>
      <c r="S59" s="1"/>
      <c r="T59" s="1"/>
      <c r="U59" s="2"/>
      <c r="V59" s="2"/>
      <c r="W59" s="2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</row>
    <row r="60" spans="5:39" ht="18">
      <c r="E60" s="107" t="s">
        <v>8</v>
      </c>
      <c r="F60" s="2"/>
      <c r="G60" s="2" t="s">
        <v>3</v>
      </c>
      <c r="H60" s="2" t="s">
        <v>9</v>
      </c>
      <c r="I60" s="2" t="s">
        <v>10</v>
      </c>
      <c r="J60" s="2" t="s">
        <v>11</v>
      </c>
      <c r="K60" s="2" t="s">
        <v>12</v>
      </c>
      <c r="L60" s="2" t="s">
        <v>13</v>
      </c>
      <c r="M60" s="2" t="s">
        <v>14</v>
      </c>
      <c r="N60" s="2" t="s">
        <v>74</v>
      </c>
      <c r="O60" s="2" t="s">
        <v>75</v>
      </c>
      <c r="P60" s="2" t="s">
        <v>76</v>
      </c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07" t="s">
        <v>15</v>
      </c>
      <c r="AC60" s="2"/>
      <c r="AD60" s="2" t="s">
        <v>3</v>
      </c>
      <c r="AE60" s="2" t="s">
        <v>9</v>
      </c>
      <c r="AF60" s="2" t="s">
        <v>10</v>
      </c>
      <c r="AG60" s="2" t="s">
        <v>11</v>
      </c>
      <c r="AH60" s="2" t="s">
        <v>12</v>
      </c>
      <c r="AI60" s="2" t="s">
        <v>13</v>
      </c>
      <c r="AJ60" s="2" t="s">
        <v>14</v>
      </c>
      <c r="AK60" s="2" t="s">
        <v>74</v>
      </c>
      <c r="AL60" s="2" t="s">
        <v>75</v>
      </c>
      <c r="AM60" s="2" t="s">
        <v>76</v>
      </c>
    </row>
    <row r="61" spans="5:39" ht="18">
      <c r="E61" s="107"/>
      <c r="F61" s="2"/>
      <c r="G61" s="4" t="s">
        <v>16</v>
      </c>
      <c r="H61" s="4" t="s">
        <v>17</v>
      </c>
      <c r="I61" s="4" t="s">
        <v>18</v>
      </c>
      <c r="J61" s="4" t="s">
        <v>19</v>
      </c>
      <c r="K61" s="4" t="s">
        <v>38</v>
      </c>
      <c r="L61" s="4" t="s">
        <v>38</v>
      </c>
      <c r="M61" s="4" t="s">
        <v>19</v>
      </c>
      <c r="N61" s="4" t="s">
        <v>19</v>
      </c>
      <c r="O61" s="4" t="s">
        <v>39</v>
      </c>
      <c r="P61" s="2" t="s">
        <v>73</v>
      </c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07"/>
      <c r="AC61" s="2"/>
      <c r="AD61" s="4" t="s">
        <v>16</v>
      </c>
      <c r="AE61" s="4" t="s">
        <v>17</v>
      </c>
      <c r="AF61" s="4" t="s">
        <v>18</v>
      </c>
      <c r="AG61" s="4" t="s">
        <v>19</v>
      </c>
      <c r="AH61" s="4" t="s">
        <v>38</v>
      </c>
      <c r="AI61" s="4" t="s">
        <v>38</v>
      </c>
      <c r="AJ61" s="4" t="s">
        <v>19</v>
      </c>
      <c r="AK61" s="4" t="s">
        <v>19</v>
      </c>
      <c r="AL61" s="4" t="s">
        <v>39</v>
      </c>
      <c r="AM61" s="2" t="s">
        <v>73</v>
      </c>
    </row>
    <row r="62" spans="5:39" ht="16.25" customHeight="1">
      <c r="E62" s="107"/>
      <c r="F62" s="2" t="s">
        <v>21</v>
      </c>
      <c r="G62" s="2">
        <f>J19</f>
        <v>799.28441610000004</v>
      </c>
      <c r="H62" s="8">
        <f>Constants!E10</f>
        <v>17.358400000000074</v>
      </c>
      <c r="I62" s="8">
        <f>G62/H62</f>
        <v>46.045972906488885</v>
      </c>
      <c r="J62" s="2">
        <f>-742.2416+(2*376.8)+(3/2)*4</f>
        <v>17.358400000000074</v>
      </c>
      <c r="K62" s="8">
        <f>I62/I64</f>
        <v>0.3943842449217515</v>
      </c>
      <c r="L62" s="2">
        <f>LN(K62)</f>
        <v>-0.93042960400452024</v>
      </c>
      <c r="M62" s="2">
        <f>RT0*L62</f>
        <v>-2.1129768804195015</v>
      </c>
      <c r="N62" s="2">
        <f>J62+M62</f>
        <v>15.245423119580572</v>
      </c>
      <c r="O62" s="2">
        <f>N62*K62</f>
        <v>6.0125546855283973</v>
      </c>
      <c r="P62" s="11">
        <f>I62*O62</f>
        <v>276.85393014862336</v>
      </c>
      <c r="Q62" s="2"/>
      <c r="R62" s="2"/>
      <c r="S62" s="1"/>
      <c r="T62" s="1"/>
      <c r="U62" s="1"/>
      <c r="V62" s="1"/>
      <c r="W62" s="1"/>
      <c r="X62" s="1"/>
      <c r="Y62" s="1"/>
      <c r="Z62" s="1"/>
      <c r="AA62" s="1"/>
      <c r="AB62" s="107"/>
      <c r="AC62" s="2" t="s">
        <v>22</v>
      </c>
      <c r="AD62" s="2">
        <f>J21</f>
        <v>559.02660392636449</v>
      </c>
      <c r="AE62" s="8">
        <f>Constants!E9</f>
        <v>376.8</v>
      </c>
      <c r="AF62" s="8">
        <f>AD62/AE62</f>
        <v>1.4836162524585044</v>
      </c>
      <c r="AG62" s="10">
        <f>376.8</f>
        <v>376.8</v>
      </c>
      <c r="AH62" s="8">
        <f>AF62/AF63</f>
        <v>1</v>
      </c>
      <c r="AI62" s="2">
        <f>LN(AH62)</f>
        <v>0</v>
      </c>
      <c r="AJ62" s="2">
        <f>RT0*AI62</f>
        <v>0</v>
      </c>
      <c r="AK62" s="2">
        <f>AG62+AJ62</f>
        <v>376.8</v>
      </c>
      <c r="AL62" s="2">
        <f>AK62*AH62</f>
        <v>376.8</v>
      </c>
      <c r="AM62" s="11">
        <f>AF62*AL62</f>
        <v>559.02660392636449</v>
      </c>
    </row>
    <row r="63" spans="5:39" ht="15.5" customHeight="1">
      <c r="E63" s="107"/>
      <c r="F63" s="2" t="s">
        <v>23</v>
      </c>
      <c r="G63" s="2">
        <f>J24</f>
        <v>107.90058390000002</v>
      </c>
      <c r="H63" s="8">
        <f>Constants!E14</f>
        <v>1.5260000000000673</v>
      </c>
      <c r="I63" s="8">
        <f>G63/H63</f>
        <v>70.708115268673168</v>
      </c>
      <c r="J63" s="2">
        <f>854.2+4-856.674</f>
        <v>1.5260000000000673</v>
      </c>
      <c r="K63" s="8">
        <f>I63/I64</f>
        <v>0.6056157550782485</v>
      </c>
      <c r="L63" s="2">
        <f>LN(K63)</f>
        <v>-0.50150956154629445</v>
      </c>
      <c r="M63" s="2">
        <f>RT0*L63</f>
        <v>-1.1389127176261828</v>
      </c>
      <c r="N63" s="2">
        <f>J63+M63</f>
        <v>0.38708728237388446</v>
      </c>
      <c r="O63" s="2">
        <f>N63*K63</f>
        <v>0.23442615679604722</v>
      </c>
      <c r="P63" s="2">
        <f>I63*O63</f>
        <v>16.575831716726956</v>
      </c>
      <c r="Q63" s="2"/>
      <c r="R63" s="2"/>
      <c r="S63" s="1"/>
      <c r="T63" s="1"/>
      <c r="U63" s="1"/>
      <c r="V63" s="1"/>
      <c r="W63" s="1"/>
      <c r="X63" s="1"/>
      <c r="Y63" s="1"/>
      <c r="Z63" s="1"/>
      <c r="AA63" s="1"/>
      <c r="AB63" s="107"/>
      <c r="AC63" s="11" t="s">
        <v>25</v>
      </c>
      <c r="AD63" s="11">
        <f t="shared" ref="AD63:AM63" si="4">SUM(AD62:AD62)</f>
        <v>559.02660392636449</v>
      </c>
      <c r="AE63" s="11">
        <f t="shared" si="4"/>
        <v>376.8</v>
      </c>
      <c r="AF63" s="11">
        <f t="shared" si="4"/>
        <v>1.4836162524585044</v>
      </c>
      <c r="AG63" s="11">
        <f t="shared" si="4"/>
        <v>376.8</v>
      </c>
      <c r="AH63" s="11">
        <f t="shared" si="4"/>
        <v>1</v>
      </c>
      <c r="AI63" s="11">
        <f t="shared" si="4"/>
        <v>0</v>
      </c>
      <c r="AJ63" s="11">
        <f t="shared" si="4"/>
        <v>0</v>
      </c>
      <c r="AK63" s="11">
        <f t="shared" si="4"/>
        <v>376.8</v>
      </c>
      <c r="AL63" s="11">
        <f t="shared" si="4"/>
        <v>376.8</v>
      </c>
      <c r="AM63" s="11">
        <f t="shared" si="4"/>
        <v>559.02660392636449</v>
      </c>
    </row>
    <row r="64" spans="5:39" ht="19.25" customHeight="1">
      <c r="E64" s="107"/>
      <c r="F64" s="11" t="s">
        <v>25</v>
      </c>
      <c r="G64" s="11">
        <f t="shared" ref="G64:P64" si="5">SUM(G62:G63)</f>
        <v>907.18500000000006</v>
      </c>
      <c r="H64" s="11">
        <f t="shared" si="5"/>
        <v>18.884400000000142</v>
      </c>
      <c r="I64" s="11">
        <f t="shared" si="5"/>
        <v>116.75408817516205</v>
      </c>
      <c r="J64" s="11">
        <f t="shared" si="5"/>
        <v>18.884400000000142</v>
      </c>
      <c r="K64" s="11">
        <f t="shared" si="5"/>
        <v>1</v>
      </c>
      <c r="L64" s="11">
        <f t="shared" si="5"/>
        <v>-1.4319391655508147</v>
      </c>
      <c r="M64" s="11">
        <f t="shared" si="5"/>
        <v>-3.2518895980456843</v>
      </c>
      <c r="N64" s="11">
        <f t="shared" si="5"/>
        <v>15.632510401954455</v>
      </c>
      <c r="O64" s="11">
        <f t="shared" si="5"/>
        <v>6.2469808423244446</v>
      </c>
      <c r="P64" s="11">
        <f t="shared" si="5"/>
        <v>293.42976186535032</v>
      </c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07"/>
      <c r="AC64" s="2"/>
      <c r="AD64" s="2" t="s">
        <v>149</v>
      </c>
      <c r="AE64" s="5" t="s">
        <v>151</v>
      </c>
      <c r="AF64" s="5" t="s">
        <v>147</v>
      </c>
      <c r="AG64" s="6"/>
      <c r="AH64" s="6"/>
      <c r="AI64" s="5"/>
      <c r="AJ64" s="5"/>
      <c r="AK64" s="5"/>
      <c r="AL64" s="5" t="s">
        <v>156</v>
      </c>
      <c r="AM64" s="2" t="s">
        <v>153</v>
      </c>
    </row>
    <row r="65" spans="5:39" ht="18">
      <c r="E65" s="2"/>
      <c r="F65" s="2"/>
      <c r="G65" s="2" t="s">
        <v>149</v>
      </c>
      <c r="H65" s="5" t="s">
        <v>151</v>
      </c>
      <c r="I65" s="5" t="s">
        <v>147</v>
      </c>
      <c r="J65" s="6"/>
      <c r="K65" s="6"/>
      <c r="L65" s="5"/>
      <c r="M65" s="5"/>
      <c r="N65" s="5"/>
      <c r="O65" s="5" t="s">
        <v>156</v>
      </c>
      <c r="P65" s="2" t="s">
        <v>153</v>
      </c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74"/>
      <c r="AC65" s="1"/>
      <c r="AD65" s="1"/>
      <c r="AE65" s="1"/>
      <c r="AF65" s="1"/>
      <c r="AG65" s="1"/>
      <c r="AH65" s="1"/>
      <c r="AI65" s="1"/>
    </row>
    <row r="66" spans="5:39" ht="17" thickBot="1">
      <c r="E66" s="2"/>
      <c r="F66" s="2"/>
      <c r="G66" s="2"/>
      <c r="H66" s="5"/>
      <c r="I66" s="5"/>
      <c r="J66" s="6"/>
      <c r="K66" s="6"/>
      <c r="L66" s="5"/>
      <c r="M66" s="5"/>
      <c r="N66" s="5"/>
      <c r="O66" s="5"/>
      <c r="P66" s="2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</row>
    <row r="67" spans="5:39" ht="17" thickBot="1">
      <c r="E67" s="2"/>
      <c r="F67" s="2"/>
      <c r="G67" s="2"/>
      <c r="H67" s="5"/>
      <c r="I67" s="5"/>
      <c r="J67" s="6"/>
      <c r="K67" s="6"/>
      <c r="L67" s="5"/>
      <c r="M67" s="5"/>
      <c r="N67" s="5"/>
      <c r="O67" s="5"/>
      <c r="P67" s="2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L67" s="93" t="s">
        <v>3</v>
      </c>
      <c r="AM67" s="88" t="s">
        <v>2</v>
      </c>
    </row>
    <row r="68" spans="5:39" ht="18">
      <c r="E68" s="2"/>
      <c r="F68" s="2"/>
      <c r="G68" s="2"/>
      <c r="H68" s="5"/>
      <c r="I68" s="5"/>
      <c r="J68" s="6"/>
      <c r="K68" s="6"/>
      <c r="L68" s="5"/>
      <c r="M68" s="5"/>
      <c r="N68" s="5"/>
      <c r="O68" s="93" t="s">
        <v>3</v>
      </c>
      <c r="P68" s="88" t="s">
        <v>2</v>
      </c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95" t="s">
        <v>149</v>
      </c>
      <c r="AM68" s="94" t="s">
        <v>153</v>
      </c>
    </row>
    <row r="69" spans="5:39" ht="19" thickBot="1">
      <c r="E69" s="2"/>
      <c r="F69" s="2"/>
      <c r="G69" s="2"/>
      <c r="H69" s="5"/>
      <c r="I69" s="5"/>
      <c r="J69" s="6"/>
      <c r="K69" s="6"/>
      <c r="L69" s="5"/>
      <c r="M69" s="5"/>
      <c r="N69" s="5"/>
      <c r="O69" s="95" t="s">
        <v>149</v>
      </c>
      <c r="P69" s="94" t="s">
        <v>153</v>
      </c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79">
        <f>AD74</f>
        <v>208.62096582875836</v>
      </c>
      <c r="AM69" s="77">
        <f>AM74</f>
        <v>208.62193932155051</v>
      </c>
    </row>
    <row r="70" spans="5:39" ht="30" thickBot="1">
      <c r="E70" s="1"/>
      <c r="F70" s="1"/>
      <c r="G70" s="1"/>
      <c r="H70" s="1"/>
      <c r="I70" s="1"/>
      <c r="J70" s="1"/>
      <c r="K70" s="1"/>
      <c r="L70" s="1"/>
      <c r="M70" s="1"/>
      <c r="N70" s="1"/>
      <c r="O70" s="79">
        <f>G75</f>
        <v>100.71212056580994</v>
      </c>
      <c r="P70" s="77">
        <f>P75</f>
        <v>108.25604602074333</v>
      </c>
      <c r="Q70" s="1"/>
      <c r="R70" s="1"/>
      <c r="S70" s="1"/>
      <c r="T70" s="119" t="s">
        <v>5</v>
      </c>
      <c r="U70" s="119"/>
      <c r="V70" s="119"/>
      <c r="W70" s="119"/>
      <c r="X70" s="119"/>
      <c r="Y70" s="80"/>
      <c r="Z70" s="80"/>
      <c r="AA70" s="1"/>
      <c r="AB70" s="1"/>
      <c r="AC70" s="1"/>
      <c r="AD70" s="1"/>
      <c r="AE70" s="1"/>
      <c r="AF70" s="1"/>
      <c r="AG70" s="1"/>
    </row>
    <row r="71" spans="5:39" ht="29">
      <c r="E71" s="126" t="s">
        <v>26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2"/>
      <c r="Q71" s="1"/>
      <c r="R71" s="1"/>
      <c r="S71" s="1"/>
      <c r="T71" s="119"/>
      <c r="U71" s="119"/>
      <c r="V71" s="119"/>
      <c r="W71" s="119"/>
      <c r="X71" s="119"/>
      <c r="Y71" s="80"/>
      <c r="Z71" s="80"/>
      <c r="AA71" s="1"/>
      <c r="AB71" s="1"/>
      <c r="AC71" s="2"/>
      <c r="AD71" s="2" t="s">
        <v>3</v>
      </c>
      <c r="AE71" s="2" t="s">
        <v>9</v>
      </c>
      <c r="AF71" s="2" t="s">
        <v>10</v>
      </c>
      <c r="AG71" s="2" t="s">
        <v>11</v>
      </c>
      <c r="AH71" s="2" t="s">
        <v>12</v>
      </c>
      <c r="AI71" s="2" t="s">
        <v>13</v>
      </c>
      <c r="AJ71" s="2" t="s">
        <v>14</v>
      </c>
      <c r="AK71" s="2" t="s">
        <v>74</v>
      </c>
      <c r="AL71" s="2" t="s">
        <v>75</v>
      </c>
      <c r="AM71" s="2" t="s">
        <v>76</v>
      </c>
    </row>
    <row r="72" spans="5:39" ht="28.75" customHeight="1">
      <c r="E72" s="126"/>
      <c r="F72" s="2"/>
      <c r="G72" s="2" t="s">
        <v>3</v>
      </c>
      <c r="H72" s="2" t="s">
        <v>9</v>
      </c>
      <c r="I72" s="2" t="s">
        <v>10</v>
      </c>
      <c r="J72" s="2" t="s">
        <v>11</v>
      </c>
      <c r="K72" s="2" t="s">
        <v>12</v>
      </c>
      <c r="L72" s="2" t="s">
        <v>13</v>
      </c>
      <c r="M72" s="2" t="s">
        <v>14</v>
      </c>
      <c r="N72" s="2" t="s">
        <v>74</v>
      </c>
      <c r="O72" s="2" t="s">
        <v>75</v>
      </c>
      <c r="P72" s="2" t="s">
        <v>76</v>
      </c>
      <c r="Q72" s="1"/>
      <c r="R72" s="1"/>
      <c r="S72" s="1"/>
      <c r="T72" s="119"/>
      <c r="U72" s="119"/>
      <c r="V72" s="119"/>
      <c r="W72" s="119"/>
      <c r="X72" s="119"/>
      <c r="Y72" s="80"/>
      <c r="Z72" s="80"/>
      <c r="AA72" s="1"/>
      <c r="AB72" s="107" t="s">
        <v>27</v>
      </c>
      <c r="AC72" s="2"/>
      <c r="AD72" s="4" t="s">
        <v>16</v>
      </c>
      <c r="AE72" s="4" t="s">
        <v>17</v>
      </c>
      <c r="AF72" s="4" t="s">
        <v>18</v>
      </c>
      <c r="AG72" s="4" t="s">
        <v>19</v>
      </c>
      <c r="AH72" s="4" t="s">
        <v>38</v>
      </c>
      <c r="AI72" s="4" t="s">
        <v>38</v>
      </c>
      <c r="AJ72" s="4" t="s">
        <v>19</v>
      </c>
      <c r="AK72" s="4" t="s">
        <v>19</v>
      </c>
      <c r="AL72" s="4" t="s">
        <v>39</v>
      </c>
      <c r="AM72" s="2" t="s">
        <v>73</v>
      </c>
    </row>
    <row r="73" spans="5:39" ht="19" thickBot="1">
      <c r="E73" s="126"/>
      <c r="F73" s="10"/>
      <c r="G73" s="4" t="s">
        <v>16</v>
      </c>
      <c r="H73" s="4" t="s">
        <v>17</v>
      </c>
      <c r="I73" s="4" t="s">
        <v>18</v>
      </c>
      <c r="J73" s="4" t="s">
        <v>19</v>
      </c>
      <c r="K73" s="4" t="s">
        <v>38</v>
      </c>
      <c r="L73" s="4" t="s">
        <v>38</v>
      </c>
      <c r="M73" s="4" t="s">
        <v>19</v>
      </c>
      <c r="N73" s="4" t="s">
        <v>19</v>
      </c>
      <c r="O73" s="4" t="s">
        <v>39</v>
      </c>
      <c r="P73" s="2" t="s">
        <v>73</v>
      </c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07"/>
      <c r="AC73" s="2" t="s">
        <v>29</v>
      </c>
      <c r="AD73" s="2">
        <f>J25</f>
        <v>208.62096582875836</v>
      </c>
      <c r="AE73" s="8">
        <f>Constants!E7</f>
        <v>34.288240000000087</v>
      </c>
      <c r="AF73" s="8">
        <f>AD73/AE73</f>
        <v>6.0843299576985528</v>
      </c>
      <c r="AG73" s="10">
        <f>-1549.7116+723.8+854.2+ (3/2)*4</f>
        <v>34.288399999999911</v>
      </c>
      <c r="AH73" s="8">
        <f>AF73/AF73</f>
        <v>1</v>
      </c>
      <c r="AI73" s="2">
        <f>LN(AH73)</f>
        <v>0</v>
      </c>
      <c r="AJ73" s="2">
        <f>RT0*AI73</f>
        <v>0</v>
      </c>
      <c r="AK73" s="2">
        <f>AG73+AJ73</f>
        <v>34.288399999999911</v>
      </c>
      <c r="AL73" s="2">
        <f>AK73*AH73</f>
        <v>34.288399999999911</v>
      </c>
      <c r="AM73" s="11">
        <f>AF73*AL73</f>
        <v>208.62193932155051</v>
      </c>
    </row>
    <row r="74" spans="5:39" ht="18">
      <c r="E74" s="126"/>
      <c r="F74" s="2" t="s">
        <v>193</v>
      </c>
      <c r="G74" s="8">
        <f>J23</f>
        <v>100.71212056580994</v>
      </c>
      <c r="H74" s="8">
        <f>Constants!E6</f>
        <v>11.256799999999885</v>
      </c>
      <c r="I74" s="8">
        <f>G74/H74</f>
        <v>8.9467806628714168</v>
      </c>
      <c r="J74" s="10">
        <f>723.8+((3/2)*4)+410.3-1128</f>
        <v>12.099999999999909</v>
      </c>
      <c r="K74" s="8">
        <v>1</v>
      </c>
      <c r="L74" s="8">
        <f>LN(K74)</f>
        <v>0</v>
      </c>
      <c r="M74" s="8">
        <f>RT0*L74</f>
        <v>0</v>
      </c>
      <c r="N74" s="2">
        <f>J74+M74</f>
        <v>12.099999999999909</v>
      </c>
      <c r="O74" s="2">
        <f>N74*K74</f>
        <v>12.099999999999909</v>
      </c>
      <c r="P74" s="11">
        <f>I74*O74</f>
        <v>108.25604602074333</v>
      </c>
      <c r="Q74" s="1"/>
      <c r="R74" s="1"/>
      <c r="S74" s="1"/>
      <c r="T74" s="1"/>
      <c r="U74" s="35" t="s">
        <v>139</v>
      </c>
      <c r="V74" s="82" t="s">
        <v>190</v>
      </c>
      <c r="W74" s="1"/>
      <c r="X74" s="1"/>
      <c r="Y74" s="1"/>
      <c r="Z74" s="1"/>
      <c r="AA74" s="1"/>
      <c r="AB74" s="107"/>
      <c r="AC74" s="11" t="s">
        <v>25</v>
      </c>
      <c r="AD74" s="40">
        <f>SUM(AD73)</f>
        <v>208.62096582875836</v>
      </c>
      <c r="AE74" s="40">
        <f>SUM(AE73)</f>
        <v>34.288240000000087</v>
      </c>
      <c r="AF74" s="40">
        <f>SUM(AF73)</f>
        <v>6.0843299576985528</v>
      </c>
      <c r="AG74" s="40">
        <f>SUM(AG73)</f>
        <v>34.288399999999911</v>
      </c>
      <c r="AH74" s="40">
        <f>SUM(AH73)</f>
        <v>1</v>
      </c>
      <c r="AI74" s="40"/>
      <c r="AJ74" s="40"/>
      <c r="AK74" s="40">
        <f>SUM(AK73)</f>
        <v>34.288399999999911</v>
      </c>
      <c r="AL74" s="40">
        <f>SUM(AL73)</f>
        <v>34.288399999999911</v>
      </c>
      <c r="AM74" s="40">
        <f>SUM(AM73)</f>
        <v>208.62193932155051</v>
      </c>
    </row>
    <row r="75" spans="5:39" ht="18">
      <c r="E75" s="126"/>
      <c r="F75" s="11" t="s">
        <v>25</v>
      </c>
      <c r="G75" s="40">
        <f>SUM(G74)</f>
        <v>100.71212056580994</v>
      </c>
      <c r="H75" s="40">
        <f>SUM(H74)</f>
        <v>11.256799999999885</v>
      </c>
      <c r="I75" s="40">
        <f>SUM(I74)</f>
        <v>8.9467806628714168</v>
      </c>
      <c r="J75" s="40">
        <f>SUM(J74)</f>
        <v>12.099999999999909</v>
      </c>
      <c r="K75" s="40">
        <f>SUM(K74)</f>
        <v>1</v>
      </c>
      <c r="L75" s="40"/>
      <c r="M75" s="40"/>
      <c r="N75" s="40">
        <f>SUM(N74)</f>
        <v>12.099999999999909</v>
      </c>
      <c r="O75" s="40">
        <f>SUM(O74)</f>
        <v>12.099999999999909</v>
      </c>
      <c r="P75" s="40">
        <f>SUM(P74)</f>
        <v>108.25604602074333</v>
      </c>
      <c r="Q75" s="1"/>
      <c r="R75" s="1"/>
      <c r="S75" s="1"/>
      <c r="T75" s="1"/>
      <c r="U75" s="15" t="s">
        <v>153</v>
      </c>
      <c r="V75" s="15" t="s">
        <v>141</v>
      </c>
      <c r="W75" s="1"/>
      <c r="X75" s="1"/>
      <c r="Y75" s="1"/>
      <c r="Z75" s="1"/>
      <c r="AA75" s="1"/>
      <c r="AB75" s="6"/>
      <c r="AC75" s="2"/>
      <c r="AD75" s="2" t="s">
        <v>149</v>
      </c>
      <c r="AE75" s="5" t="s">
        <v>151</v>
      </c>
      <c r="AF75" s="5" t="s">
        <v>147</v>
      </c>
      <c r="AG75" s="6"/>
      <c r="AH75" s="6"/>
      <c r="AI75" s="5"/>
      <c r="AJ75" s="5"/>
      <c r="AK75" s="5"/>
      <c r="AL75" s="5" t="s">
        <v>156</v>
      </c>
      <c r="AM75" s="2" t="s">
        <v>153</v>
      </c>
    </row>
    <row r="76" spans="5:39" ht="19.75" customHeight="1" thickBot="1">
      <c r="E76" s="8"/>
      <c r="F76" s="2"/>
      <c r="G76" s="2" t="s">
        <v>149</v>
      </c>
      <c r="H76" s="5" t="s">
        <v>151</v>
      </c>
      <c r="I76" s="5" t="s">
        <v>147</v>
      </c>
      <c r="J76" s="6"/>
      <c r="K76" s="6"/>
      <c r="L76" s="5"/>
      <c r="M76" s="5"/>
      <c r="N76" s="5"/>
      <c r="O76" s="5" t="s">
        <v>156</v>
      </c>
      <c r="P76" s="2" t="s">
        <v>153</v>
      </c>
      <c r="Q76" s="1"/>
      <c r="R76" s="1"/>
      <c r="S76" s="1"/>
      <c r="T76" s="1"/>
      <c r="U76" s="16">
        <f>(P70+P81+P58)-(AM58+AM69+AM80)</f>
        <v>-347.19111220104992</v>
      </c>
      <c r="V76" s="16">
        <f>(AM80+AM69+AM58)/(P58+P70+P81)</f>
        <v>1.4222351226975425</v>
      </c>
      <c r="W76" s="1"/>
      <c r="X76" s="1"/>
      <c r="Y76" s="1"/>
      <c r="Z76" s="1"/>
      <c r="AA76" s="1"/>
      <c r="AB76" s="6"/>
      <c r="AC76" s="2"/>
      <c r="AD76" s="2"/>
      <c r="AE76" s="5"/>
      <c r="AF76" s="5"/>
      <c r="AG76" s="6"/>
      <c r="AH76" s="6"/>
      <c r="AI76" s="5"/>
      <c r="AJ76" s="5"/>
      <c r="AK76" s="5"/>
      <c r="AL76" s="5"/>
      <c r="AM76" s="2"/>
    </row>
    <row r="77" spans="5:39" ht="15.5" customHeight="1" thickBot="1">
      <c r="E77" s="8"/>
      <c r="F77" s="2"/>
      <c r="G77" s="2"/>
      <c r="H77" s="5"/>
      <c r="I77" s="5"/>
      <c r="J77" s="6"/>
      <c r="K77" s="6"/>
      <c r="L77" s="5"/>
      <c r="M77" s="5"/>
      <c r="N77" s="5"/>
      <c r="O77" s="5"/>
      <c r="P77" s="2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2"/>
      <c r="AD77" s="2"/>
      <c r="AE77" s="5"/>
      <c r="AF77" s="5"/>
      <c r="AG77" s="6"/>
      <c r="AH77" s="6"/>
      <c r="AI77" s="5"/>
      <c r="AJ77" s="5"/>
      <c r="AK77" s="5"/>
      <c r="AL77" s="5"/>
      <c r="AM77" s="2"/>
    </row>
    <row r="78" spans="5:39" ht="17" thickBot="1">
      <c r="E78" s="8"/>
      <c r="F78" s="2"/>
      <c r="G78" s="2"/>
      <c r="H78" s="5"/>
      <c r="I78" s="5"/>
      <c r="J78" s="6"/>
      <c r="K78" s="6"/>
      <c r="L78" s="5"/>
      <c r="M78" s="5"/>
      <c r="N78" s="5"/>
      <c r="O78" s="5"/>
      <c r="P78" s="2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2"/>
      <c r="AD78" s="2"/>
      <c r="AE78" s="5"/>
      <c r="AF78" s="5"/>
      <c r="AG78" s="6"/>
      <c r="AH78" s="6"/>
      <c r="AI78" s="5"/>
      <c r="AJ78" s="5"/>
      <c r="AK78" s="5"/>
      <c r="AL78" s="93" t="s">
        <v>3</v>
      </c>
      <c r="AM78" s="88" t="s">
        <v>2</v>
      </c>
    </row>
    <row r="79" spans="5:39" ht="18">
      <c r="E79" s="8"/>
      <c r="F79" s="2"/>
      <c r="G79" s="2"/>
      <c r="H79" s="5"/>
      <c r="I79" s="5"/>
      <c r="J79" s="6"/>
      <c r="K79" s="6"/>
      <c r="L79" s="5"/>
      <c r="M79" s="5"/>
      <c r="N79" s="5"/>
      <c r="O79" s="93" t="s">
        <v>3</v>
      </c>
      <c r="P79" s="88" t="s">
        <v>2</v>
      </c>
      <c r="Q79" s="1"/>
      <c r="R79" s="1"/>
      <c r="AB79" s="1"/>
      <c r="AC79" s="2"/>
      <c r="AD79" s="2"/>
      <c r="AE79" s="5"/>
      <c r="AF79" s="5"/>
      <c r="AG79" s="6"/>
      <c r="AH79" s="6"/>
      <c r="AI79" s="5"/>
      <c r="AJ79" s="5"/>
      <c r="AK79" s="5"/>
      <c r="AL79" s="95" t="s">
        <v>149</v>
      </c>
      <c r="AM79" s="94" t="s">
        <v>153</v>
      </c>
    </row>
    <row r="80" spans="5:39" ht="19" thickBot="1">
      <c r="E80" s="8"/>
      <c r="F80" s="2"/>
      <c r="G80" s="2"/>
      <c r="H80" s="5"/>
      <c r="I80" s="5"/>
      <c r="J80" s="6"/>
      <c r="K80" s="6"/>
      <c r="L80" s="5"/>
      <c r="M80" s="5"/>
      <c r="N80" s="5"/>
      <c r="O80" s="95" t="s">
        <v>149</v>
      </c>
      <c r="P80" s="94" t="s">
        <v>153</v>
      </c>
      <c r="Q80" s="1"/>
      <c r="R80" s="1"/>
      <c r="AB80" s="1"/>
      <c r="AC80" s="2"/>
      <c r="AD80" s="2"/>
      <c r="AE80" s="5"/>
      <c r="AF80" s="5"/>
      <c r="AG80" s="6"/>
      <c r="AH80" s="6"/>
      <c r="AI80" s="5"/>
      <c r="AJ80" s="5"/>
      <c r="AK80" s="5"/>
      <c r="AL80" s="79">
        <f>AD85</f>
        <v>660.83160995969115</v>
      </c>
      <c r="AM80" s="77">
        <f>AM85</f>
        <v>401.81218495036126</v>
      </c>
    </row>
    <row r="81" spans="5:39" ht="17" thickBot="1">
      <c r="E81" s="8"/>
      <c r="F81" s="2"/>
      <c r="G81" s="2"/>
      <c r="H81" s="5"/>
      <c r="I81" s="5"/>
      <c r="J81" s="6"/>
      <c r="K81" s="6"/>
      <c r="L81" s="5"/>
      <c r="M81" s="5"/>
      <c r="N81" s="5"/>
      <c r="O81" s="79">
        <f>G86</f>
        <v>420.58380811113267</v>
      </c>
      <c r="P81" s="77">
        <f>P86</f>
        <v>420.58380811113267</v>
      </c>
      <c r="Q81" s="1"/>
      <c r="R81" s="1"/>
      <c r="AC81" s="1"/>
      <c r="AD81" s="1"/>
      <c r="AE81" s="6"/>
      <c r="AF81" s="6"/>
      <c r="AG81" s="6"/>
      <c r="AH81" s="6"/>
      <c r="AI81" s="6"/>
      <c r="AJ81" s="6"/>
      <c r="AK81" s="6"/>
      <c r="AL81" s="6"/>
      <c r="AM81" s="6"/>
    </row>
    <row r="82" spans="5:39" ht="18">
      <c r="E82" s="6"/>
      <c r="F82" s="6"/>
      <c r="G82" s="6"/>
      <c r="H82" s="6"/>
      <c r="I82" s="6"/>
      <c r="J82" s="6"/>
      <c r="K82" s="6"/>
      <c r="L82" s="6"/>
      <c r="M82" s="6"/>
      <c r="N82" s="1"/>
      <c r="O82" s="1"/>
      <c r="P82" s="2"/>
      <c r="Q82" s="1"/>
      <c r="R82" s="1"/>
      <c r="AC82" s="2"/>
      <c r="AD82" s="2" t="s">
        <v>3</v>
      </c>
      <c r="AE82" s="2" t="s">
        <v>9</v>
      </c>
      <c r="AF82" s="2" t="s">
        <v>10</v>
      </c>
      <c r="AG82" s="2" t="s">
        <v>11</v>
      </c>
      <c r="AH82" s="2" t="s">
        <v>12</v>
      </c>
      <c r="AI82" s="2" t="s">
        <v>13</v>
      </c>
      <c r="AJ82" s="2" t="s">
        <v>14</v>
      </c>
      <c r="AK82" s="2" t="s">
        <v>74</v>
      </c>
      <c r="AL82" s="2" t="s">
        <v>75</v>
      </c>
      <c r="AM82" s="2" t="s">
        <v>76</v>
      </c>
    </row>
    <row r="83" spans="5:39" ht="18">
      <c r="E83" s="107" t="s">
        <v>31</v>
      </c>
      <c r="F83" s="2"/>
      <c r="G83" s="2" t="s">
        <v>3</v>
      </c>
      <c r="H83" s="2" t="s">
        <v>9</v>
      </c>
      <c r="I83" s="2" t="s">
        <v>10</v>
      </c>
      <c r="J83" s="2" t="s">
        <v>11</v>
      </c>
      <c r="K83" s="2" t="s">
        <v>12</v>
      </c>
      <c r="L83" s="2" t="s">
        <v>13</v>
      </c>
      <c r="M83" s="2" t="s">
        <v>14</v>
      </c>
      <c r="N83" s="2" t="s">
        <v>74</v>
      </c>
      <c r="O83" s="2" t="s">
        <v>75</v>
      </c>
      <c r="P83" s="2" t="s">
        <v>76</v>
      </c>
      <c r="Q83" s="1"/>
      <c r="R83" s="1"/>
      <c r="AB83" s="125" t="s">
        <v>189</v>
      </c>
      <c r="AC83" s="2"/>
      <c r="AD83" s="4" t="s">
        <v>16</v>
      </c>
      <c r="AE83" s="4" t="s">
        <v>17</v>
      </c>
      <c r="AF83" s="4" t="s">
        <v>18</v>
      </c>
      <c r="AG83" s="4" t="s">
        <v>19</v>
      </c>
      <c r="AH83" s="4" t="s">
        <v>38</v>
      </c>
      <c r="AI83" s="4" t="s">
        <v>38</v>
      </c>
      <c r="AJ83" s="4" t="s">
        <v>19</v>
      </c>
      <c r="AK83" s="4" t="s">
        <v>19</v>
      </c>
      <c r="AL83" s="4" t="s">
        <v>39</v>
      </c>
      <c r="AM83" s="2" t="s">
        <v>73</v>
      </c>
    </row>
    <row r="84" spans="5:39" ht="18">
      <c r="E84" s="107"/>
      <c r="F84" s="10"/>
      <c r="G84" s="4" t="s">
        <v>16</v>
      </c>
      <c r="H84" s="4" t="s">
        <v>17</v>
      </c>
      <c r="I84" s="4" t="s">
        <v>18</v>
      </c>
      <c r="J84" s="4" t="s">
        <v>19</v>
      </c>
      <c r="K84" s="4" t="s">
        <v>38</v>
      </c>
      <c r="L84" s="4" t="s">
        <v>38</v>
      </c>
      <c r="M84" s="4" t="s">
        <v>19</v>
      </c>
      <c r="N84" s="4" t="s">
        <v>19</v>
      </c>
      <c r="O84" s="4" t="s">
        <v>39</v>
      </c>
      <c r="P84" s="2" t="s">
        <v>73</v>
      </c>
      <c r="Q84" s="1"/>
      <c r="R84" s="1"/>
      <c r="AB84" s="125"/>
      <c r="AC84" s="5" t="s">
        <v>32</v>
      </c>
      <c r="AD84" s="2">
        <f>J22</f>
        <v>660.83160995969115</v>
      </c>
      <c r="AE84" s="8">
        <f>Constants!E8</f>
        <v>19.900000000000034</v>
      </c>
      <c r="AF84" s="8">
        <f>AD84/AE84</f>
        <v>33.207618590939198</v>
      </c>
      <c r="AG84" s="10">
        <f>723.8+((3/2)*4)+410.3-1128</f>
        <v>12.099999999999909</v>
      </c>
      <c r="AH84" s="8">
        <f>AF84/AF84</f>
        <v>1</v>
      </c>
      <c r="AI84" s="2">
        <f>LN(AH84)</f>
        <v>0</v>
      </c>
      <c r="AJ84" s="2">
        <f>RT0*AI84</f>
        <v>0</v>
      </c>
      <c r="AK84" s="2">
        <f>AG84+AJ84</f>
        <v>12.099999999999909</v>
      </c>
      <c r="AL84" s="2">
        <f>AK84*AH84</f>
        <v>12.099999999999909</v>
      </c>
      <c r="AM84" s="11">
        <f>AF84*AL84</f>
        <v>401.81218495036126</v>
      </c>
    </row>
    <row r="85" spans="5:39" ht="16">
      <c r="E85" s="107"/>
      <c r="F85" s="2" t="s">
        <v>192</v>
      </c>
      <c r="G85" s="8">
        <f>J20</f>
        <v>420.58380811113267</v>
      </c>
      <c r="H85" s="8">
        <f>Constants!E5</f>
        <v>410.3</v>
      </c>
      <c r="I85" s="8">
        <f>G85/H85</f>
        <v>1.0250641192082199</v>
      </c>
      <c r="J85" s="2">
        <v>410.3</v>
      </c>
      <c r="K85" s="8">
        <v>1</v>
      </c>
      <c r="L85" s="8">
        <f>LN(K85)</f>
        <v>0</v>
      </c>
      <c r="M85" s="8">
        <f>RT0*L85</f>
        <v>0</v>
      </c>
      <c r="N85" s="2">
        <f>J85+M85</f>
        <v>410.3</v>
      </c>
      <c r="O85" s="2">
        <f>N85*K85</f>
        <v>410.3</v>
      </c>
      <c r="P85" s="11">
        <f>I85*O85</f>
        <v>420.58380811113267</v>
      </c>
      <c r="Q85" s="1"/>
      <c r="R85" s="1"/>
      <c r="AB85" s="125"/>
      <c r="AC85" s="11" t="s">
        <v>25</v>
      </c>
      <c r="AD85" s="40">
        <f>SUM(AD84)</f>
        <v>660.83160995969115</v>
      </c>
      <c r="AE85" s="40">
        <f>SUM(AE84)</f>
        <v>19.900000000000034</v>
      </c>
      <c r="AF85" s="40">
        <f>SUM(AF84)</f>
        <v>33.207618590939198</v>
      </c>
      <c r="AG85" s="40">
        <f>SUM(AG84)</f>
        <v>12.099999999999909</v>
      </c>
      <c r="AH85" s="40">
        <f>SUM(AH84)</f>
        <v>1</v>
      </c>
      <c r="AI85" s="40"/>
      <c r="AJ85" s="40"/>
      <c r="AK85" s="40">
        <f>SUM(AK84)</f>
        <v>12.099999999999909</v>
      </c>
      <c r="AL85" s="40">
        <f>SUM(AL84)</f>
        <v>12.099999999999909</v>
      </c>
      <c r="AM85" s="40">
        <f>SUM(AM84)</f>
        <v>401.81218495036126</v>
      </c>
    </row>
    <row r="86" spans="5:39" ht="18">
      <c r="E86" s="107"/>
      <c r="F86" s="11" t="s">
        <v>25</v>
      </c>
      <c r="G86" s="40">
        <f>SUM(G85)</f>
        <v>420.58380811113267</v>
      </c>
      <c r="H86" s="40">
        <f>SUM(H85)</f>
        <v>410.3</v>
      </c>
      <c r="I86" s="40">
        <f>SUM(I85)</f>
        <v>1.0250641192082199</v>
      </c>
      <c r="J86" s="40">
        <f>SUM(J85)</f>
        <v>410.3</v>
      </c>
      <c r="K86" s="40">
        <f>SUM(K85)</f>
        <v>1</v>
      </c>
      <c r="L86" s="40"/>
      <c r="M86" s="40"/>
      <c r="N86" s="40">
        <f>SUM(N85)</f>
        <v>410.3</v>
      </c>
      <c r="O86" s="40">
        <f>SUM(O85)</f>
        <v>410.3</v>
      </c>
      <c r="P86" s="40">
        <f>SUM(P85)</f>
        <v>420.58380811113267</v>
      </c>
      <c r="AB86" s="125"/>
      <c r="AC86" s="2"/>
      <c r="AD86" s="2" t="s">
        <v>149</v>
      </c>
      <c r="AE86" s="5" t="s">
        <v>151</v>
      </c>
      <c r="AF86" s="5" t="s">
        <v>147</v>
      </c>
      <c r="AG86" s="6"/>
      <c r="AH86" s="6"/>
      <c r="AI86" s="5"/>
      <c r="AJ86" s="5"/>
      <c r="AK86" s="5"/>
      <c r="AL86" s="5" t="s">
        <v>156</v>
      </c>
      <c r="AM86" s="2" t="s">
        <v>153</v>
      </c>
    </row>
    <row r="87" spans="5:39" ht="18">
      <c r="F87" s="2"/>
      <c r="G87" s="2" t="s">
        <v>149</v>
      </c>
      <c r="H87" s="5" t="s">
        <v>151</v>
      </c>
      <c r="I87" s="5" t="s">
        <v>147</v>
      </c>
      <c r="J87" s="6"/>
      <c r="K87" s="6"/>
      <c r="L87" s="5"/>
      <c r="M87" s="5"/>
      <c r="N87" s="5"/>
      <c r="O87" s="5" t="s">
        <v>156</v>
      </c>
      <c r="P87" s="2" t="s">
        <v>153</v>
      </c>
      <c r="AB87" s="1"/>
      <c r="AE87" s="6"/>
      <c r="AF87" s="6"/>
      <c r="AG87" s="6"/>
      <c r="AH87" s="6"/>
      <c r="AI87" s="6"/>
      <c r="AJ87" s="6"/>
      <c r="AK87" s="6"/>
      <c r="AL87" s="6"/>
      <c r="AM87" s="6"/>
    </row>
    <row r="88" spans="5:39" ht="16">
      <c r="F88" s="2"/>
      <c r="G88" s="2"/>
      <c r="H88" s="5"/>
      <c r="I88" s="5"/>
      <c r="J88" s="6"/>
      <c r="K88" s="6"/>
      <c r="L88" s="5"/>
      <c r="M88" s="5"/>
      <c r="N88" s="5"/>
      <c r="O88" s="5"/>
      <c r="P88" s="2"/>
      <c r="AB88" s="1"/>
      <c r="AE88" s="6"/>
      <c r="AF88" s="6"/>
      <c r="AG88" s="6"/>
      <c r="AH88" s="6"/>
      <c r="AI88" s="6"/>
      <c r="AJ88" s="6"/>
      <c r="AK88" s="6"/>
      <c r="AL88" s="6"/>
      <c r="AM88" s="6"/>
    </row>
    <row r="89" spans="5:39" ht="16">
      <c r="F89" s="2"/>
      <c r="G89" s="2"/>
      <c r="H89" s="5"/>
      <c r="I89" s="5"/>
      <c r="J89" s="6"/>
      <c r="K89" s="6"/>
      <c r="L89" s="5"/>
      <c r="M89" s="5"/>
      <c r="N89" s="5"/>
      <c r="O89" s="5"/>
      <c r="P89" s="2"/>
      <c r="AE89" s="6"/>
      <c r="AF89" s="6"/>
      <c r="AG89" s="6"/>
      <c r="AH89" s="6"/>
      <c r="AI89" s="6"/>
      <c r="AJ89" s="6"/>
      <c r="AK89" s="6"/>
      <c r="AL89" s="6"/>
      <c r="AM89" s="6"/>
    </row>
    <row r="90" spans="5:39" ht="16">
      <c r="F90" s="2"/>
      <c r="G90" s="2"/>
      <c r="H90" s="5"/>
      <c r="I90" s="5"/>
      <c r="J90" s="6"/>
      <c r="K90" s="6"/>
      <c r="L90" s="5"/>
      <c r="M90" s="5"/>
      <c r="N90" s="5"/>
      <c r="O90" s="5"/>
      <c r="P90" s="5"/>
    </row>
    <row r="91" spans="5:39" ht="16">
      <c r="F91" s="2"/>
      <c r="G91" s="2"/>
      <c r="H91" s="5"/>
      <c r="I91" s="5"/>
      <c r="J91" s="6"/>
      <c r="K91" s="6"/>
      <c r="L91" s="5"/>
      <c r="M91" s="5"/>
      <c r="N91" s="5"/>
      <c r="O91" s="5"/>
      <c r="P91" s="5"/>
    </row>
    <row r="92" spans="5:39" ht="16">
      <c r="F92" s="2"/>
      <c r="G92" s="2"/>
      <c r="H92" s="5"/>
      <c r="I92" s="5"/>
      <c r="J92" s="6"/>
      <c r="K92" s="6"/>
      <c r="L92" s="5"/>
      <c r="M92" s="5"/>
      <c r="N92" s="5"/>
      <c r="O92" s="5"/>
      <c r="P92" s="5"/>
    </row>
    <row r="93" spans="5:39" ht="16">
      <c r="F93" s="2"/>
      <c r="G93" s="2"/>
      <c r="H93" s="5"/>
      <c r="I93" s="5"/>
      <c r="J93" s="6"/>
      <c r="K93" s="6"/>
      <c r="L93" s="5"/>
      <c r="M93" s="5"/>
      <c r="N93" s="5"/>
      <c r="O93" s="5"/>
      <c r="P93" s="2"/>
    </row>
    <row r="94" spans="5:39" ht="16">
      <c r="F94" s="6"/>
      <c r="G94" s="6"/>
      <c r="H94" s="6"/>
      <c r="I94" s="6"/>
      <c r="J94" s="6"/>
      <c r="K94" s="6"/>
      <c r="L94" s="6"/>
      <c r="M94" s="6"/>
      <c r="N94" s="1"/>
      <c r="O94" s="1"/>
      <c r="P94" s="1"/>
    </row>
    <row r="95" spans="5:39" ht="16">
      <c r="E95" s="124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5:39" ht="16">
      <c r="E96" s="124"/>
      <c r="F96" s="10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5:16" ht="16">
      <c r="E97" s="124"/>
      <c r="F97" s="10"/>
      <c r="G97" s="8"/>
      <c r="H97" s="8"/>
      <c r="I97" s="8"/>
      <c r="J97" s="2"/>
      <c r="K97" s="8"/>
      <c r="L97" s="8"/>
      <c r="M97" s="8"/>
      <c r="N97" s="2"/>
      <c r="O97" s="2"/>
      <c r="P97" s="2"/>
    </row>
    <row r="98" spans="5:16" ht="16">
      <c r="F98" s="2"/>
      <c r="G98" s="8"/>
      <c r="H98" s="8"/>
      <c r="I98" s="8"/>
      <c r="J98" s="8"/>
      <c r="K98" s="8"/>
      <c r="L98" s="8"/>
      <c r="M98" s="8"/>
      <c r="N98" s="8"/>
      <c r="O98" s="8"/>
      <c r="P98" s="8"/>
    </row>
    <row r="99" spans="5:16" ht="16">
      <c r="F99" s="2"/>
      <c r="G99" s="2"/>
      <c r="H99" s="5"/>
      <c r="I99" s="5"/>
      <c r="J99" s="6"/>
      <c r="K99" s="6"/>
      <c r="L99" s="5"/>
      <c r="M99" s="5"/>
      <c r="N99" s="5"/>
      <c r="O99" s="5"/>
      <c r="P99" s="2"/>
    </row>
  </sheetData>
  <mergeCells count="20">
    <mergeCell ref="AB72:AB74"/>
    <mergeCell ref="E95:E97"/>
    <mergeCell ref="T70:X72"/>
    <mergeCell ref="AB83:AB86"/>
    <mergeCell ref="N43:AD43"/>
    <mergeCell ref="E60:E64"/>
    <mergeCell ref="AB60:AB64"/>
    <mergeCell ref="E83:E86"/>
    <mergeCell ref="E71:E75"/>
    <mergeCell ref="B19:B20"/>
    <mergeCell ref="B21:B22"/>
    <mergeCell ref="B25:B26"/>
    <mergeCell ref="B23:B24"/>
    <mergeCell ref="O10:U10"/>
    <mergeCell ref="O11:Q11"/>
    <mergeCell ref="T11:U11"/>
    <mergeCell ref="O13:U13"/>
    <mergeCell ref="O12:Q12"/>
    <mergeCell ref="T12:U12"/>
    <mergeCell ref="O14:U1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D9C8D-AF2D-4EFA-8F57-DA599DBFB7D5}">
  <dimension ref="B2:S29"/>
  <sheetViews>
    <sheetView topLeftCell="A18" zoomScale="107" workbookViewId="0">
      <selection activeCell="D31" sqref="D31"/>
    </sheetView>
  </sheetViews>
  <sheetFormatPr baseColWidth="10" defaultColWidth="8.83203125" defaultRowHeight="15"/>
  <cols>
    <col min="2" max="2" width="9.83203125" customWidth="1"/>
    <col min="19" max="19" width="9.83203125" bestFit="1" customWidth="1"/>
    <col min="20" max="20" width="10.5" bestFit="1" customWidth="1"/>
    <col min="22" max="22" width="11.5" bestFit="1" customWidth="1"/>
    <col min="24" max="24" width="11.5" bestFit="1" customWidth="1"/>
  </cols>
  <sheetData>
    <row r="2" spans="2:19" ht="17"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P2" s="127" t="s">
        <v>162</v>
      </c>
      <c r="Q2" s="128"/>
      <c r="R2" s="127" t="s">
        <v>169</v>
      </c>
      <c r="S2" s="128"/>
    </row>
    <row r="3" spans="2:19" ht="18">
      <c r="B3" s="5"/>
      <c r="C3" s="21" t="s">
        <v>111</v>
      </c>
      <c r="D3" s="28" t="s">
        <v>9</v>
      </c>
      <c r="E3" s="62" t="s">
        <v>11</v>
      </c>
      <c r="F3" s="5"/>
      <c r="G3" s="21" t="s">
        <v>112</v>
      </c>
      <c r="H3" s="27" t="s">
        <v>113</v>
      </c>
      <c r="I3" s="5"/>
      <c r="J3" s="5"/>
      <c r="K3" s="21" t="s">
        <v>114</v>
      </c>
      <c r="L3" s="21" t="s">
        <v>159</v>
      </c>
      <c r="M3" s="21" t="s">
        <v>171</v>
      </c>
      <c r="O3" s="21" t="s">
        <v>160</v>
      </c>
      <c r="P3" s="21" t="s">
        <v>62</v>
      </c>
      <c r="Q3" s="21" t="s">
        <v>161</v>
      </c>
      <c r="R3" s="21" t="s">
        <v>163</v>
      </c>
      <c r="S3" s="21" t="s">
        <v>164</v>
      </c>
    </row>
    <row r="4" spans="2:19" ht="18">
      <c r="B4" s="5"/>
      <c r="C4" s="21" t="s">
        <v>115</v>
      </c>
      <c r="D4" s="28" t="s">
        <v>116</v>
      </c>
      <c r="E4" s="62" t="s">
        <v>19</v>
      </c>
      <c r="F4" s="5"/>
      <c r="G4" s="21" t="s">
        <v>117</v>
      </c>
      <c r="H4" s="27" t="s">
        <v>118</v>
      </c>
      <c r="I4" s="5"/>
      <c r="J4" s="5"/>
      <c r="K4" s="21" t="s">
        <v>119</v>
      </c>
      <c r="L4" s="21" t="s">
        <v>120</v>
      </c>
      <c r="M4" s="21" t="s">
        <v>115</v>
      </c>
      <c r="O4" s="21" t="s">
        <v>63</v>
      </c>
      <c r="P4" s="6" t="s">
        <v>166</v>
      </c>
      <c r="Q4" s="91" t="s">
        <v>170</v>
      </c>
      <c r="R4" s="6" t="s">
        <v>166</v>
      </c>
      <c r="S4" s="91" t="s">
        <v>170</v>
      </c>
    </row>
    <row r="5" spans="2:19" ht="17">
      <c r="B5" s="2" t="s">
        <v>24</v>
      </c>
      <c r="C5" s="21">
        <v>0</v>
      </c>
      <c r="D5" s="23">
        <f>12.01/1000</f>
        <v>1.201E-2</v>
      </c>
      <c r="E5" s="62">
        <f>H5</f>
        <v>410.3</v>
      </c>
      <c r="F5" s="5"/>
      <c r="G5" s="21" t="s">
        <v>24</v>
      </c>
      <c r="H5" s="21">
        <v>410.3</v>
      </c>
      <c r="I5" s="5"/>
      <c r="J5" s="5"/>
      <c r="K5" s="21">
        <f>8.314/1000</f>
        <v>8.3140000000000002E-3</v>
      </c>
      <c r="L5" s="21">
        <f>273.15</f>
        <v>273.14999999999998</v>
      </c>
      <c r="M5" s="21">
        <f>K5*L5</f>
        <v>2.2709690999999999</v>
      </c>
      <c r="O5" s="21" t="s">
        <v>32</v>
      </c>
      <c r="P5" s="21">
        <f>115131.4/1000</f>
        <v>115.1314</v>
      </c>
      <c r="Q5" s="21">
        <f>315.97/1000</f>
        <v>0.31597000000000003</v>
      </c>
      <c r="R5" s="21">
        <v>9.3640000000000008</v>
      </c>
      <c r="S5" s="21">
        <v>0.21368500000000001</v>
      </c>
    </row>
    <row r="6" spans="2:19" ht="18">
      <c r="B6" s="2" t="s">
        <v>28</v>
      </c>
      <c r="C6" s="21">
        <v>-1128.8432</v>
      </c>
      <c r="D6" s="23">
        <f>100.087/1000</f>
        <v>0.10008700000000001</v>
      </c>
      <c r="E6" s="63">
        <f>H6+H5+((3/2)*H9)+C6</f>
        <v>11.256799999999885</v>
      </c>
      <c r="F6" s="5"/>
      <c r="G6" s="21" t="s">
        <v>51</v>
      </c>
      <c r="H6" s="21">
        <v>723.8</v>
      </c>
      <c r="I6" s="5"/>
      <c r="J6" s="5"/>
      <c r="K6" s="5"/>
      <c r="L6" s="5"/>
      <c r="M6" s="5"/>
      <c r="O6" s="21" t="s">
        <v>125</v>
      </c>
      <c r="P6" s="21">
        <f>94827.84/1000</f>
        <v>94.827839999999995</v>
      </c>
      <c r="Q6" s="21">
        <f>270.35/1000</f>
        <v>0.27035000000000003</v>
      </c>
      <c r="R6" s="21">
        <v>9.9039999999999999</v>
      </c>
      <c r="S6" s="21">
        <v>0.18872</v>
      </c>
    </row>
    <row r="7" spans="2:19" ht="18">
      <c r="B7" s="2" t="s">
        <v>29</v>
      </c>
      <c r="C7" s="21">
        <v>-1549.7117599999999</v>
      </c>
      <c r="D7" s="23">
        <f>116.162/1000</f>
        <v>0.116162</v>
      </c>
      <c r="E7" s="63">
        <f>C7+H10+H6+ ((3/2)*H9)</f>
        <v>34.288240000000087</v>
      </c>
      <c r="F7" s="5"/>
      <c r="G7" s="21" t="s">
        <v>22</v>
      </c>
      <c r="H7" s="21">
        <v>376.8</v>
      </c>
      <c r="I7" s="5"/>
      <c r="J7" s="5"/>
      <c r="K7" s="5"/>
      <c r="L7" s="5"/>
      <c r="M7" s="5"/>
      <c r="O7" s="28" t="s">
        <v>124</v>
      </c>
      <c r="P7" s="21">
        <f>73347.52/1000</f>
        <v>73.347520000000003</v>
      </c>
      <c r="Q7" s="21">
        <f>256/1000</f>
        <v>0.25600000000000001</v>
      </c>
      <c r="R7" s="21">
        <f>8669/1000</f>
        <v>8.6690000000000005</v>
      </c>
      <c r="S7" s="21">
        <f>191.502/1000</f>
        <v>0.19150200000000001</v>
      </c>
    </row>
    <row r="8" spans="2:19" ht="18">
      <c r="B8" s="10" t="s">
        <v>121</v>
      </c>
      <c r="C8" s="21">
        <v>-394.4</v>
      </c>
      <c r="D8" s="23">
        <f>44.01/1000</f>
        <v>4.4010000000000001E-2</v>
      </c>
      <c r="E8" s="62">
        <f>C8+H5+H9</f>
        <v>19.900000000000034</v>
      </c>
      <c r="F8" s="5"/>
      <c r="G8" s="21" t="s">
        <v>123</v>
      </c>
      <c r="H8" s="21">
        <v>236.1</v>
      </c>
      <c r="I8" s="5"/>
      <c r="J8" s="5"/>
      <c r="K8" s="5"/>
      <c r="L8" s="5"/>
      <c r="M8" s="5"/>
    </row>
    <row r="9" spans="2:19" ht="18">
      <c r="B9" s="10" t="s">
        <v>22</v>
      </c>
      <c r="C9" s="21">
        <v>0</v>
      </c>
      <c r="D9" s="29">
        <f>55.845/1000</f>
        <v>5.5844999999999999E-2</v>
      </c>
      <c r="E9" s="63">
        <f>C9+H7</f>
        <v>376.8</v>
      </c>
      <c r="F9" s="5"/>
      <c r="G9" s="28" t="s">
        <v>34</v>
      </c>
      <c r="H9" s="21">
        <v>4</v>
      </c>
      <c r="I9" s="5"/>
      <c r="J9" s="5"/>
      <c r="K9" s="5"/>
      <c r="L9" s="5"/>
      <c r="M9" s="5"/>
    </row>
    <row r="10" spans="2:19" ht="18">
      <c r="B10" s="2" t="s">
        <v>21</v>
      </c>
      <c r="C10" s="21">
        <v>-742.24159999999995</v>
      </c>
      <c r="D10" s="23">
        <f>159.692/1000</f>
        <v>0.159692</v>
      </c>
      <c r="E10" s="62">
        <f>C10+(2*H7)+((3/2)*H9)</f>
        <v>17.358400000000074</v>
      </c>
      <c r="F10" s="5"/>
      <c r="G10" s="21" t="s">
        <v>50</v>
      </c>
      <c r="H10" s="21">
        <v>854.2</v>
      </c>
      <c r="I10" s="5"/>
      <c r="J10" s="5"/>
      <c r="K10" s="5"/>
      <c r="L10" s="5"/>
      <c r="M10" s="5"/>
      <c r="N10" s="5"/>
      <c r="O10" s="5"/>
      <c r="P10" s="5"/>
      <c r="Q10" s="5"/>
    </row>
    <row r="11" spans="2:19" ht="18">
      <c r="B11" s="10" t="s">
        <v>49</v>
      </c>
      <c r="C11" s="21">
        <v>231.74757600000001</v>
      </c>
      <c r="D11" s="29">
        <f>15.999/1000</f>
        <v>1.5998999999999999E-2</v>
      </c>
      <c r="E11" s="63">
        <f>C11+(0.5*H9)</f>
        <v>233.74757600000001</v>
      </c>
      <c r="F11" s="5"/>
      <c r="G11" s="28" t="s">
        <v>124</v>
      </c>
      <c r="H11" s="21">
        <v>0.7</v>
      </c>
      <c r="I11" s="5"/>
      <c r="J11" s="5"/>
      <c r="K11" s="5"/>
      <c r="L11" s="5"/>
      <c r="M11" s="5"/>
      <c r="N11" s="5"/>
      <c r="O11" s="5"/>
      <c r="P11" s="5"/>
      <c r="Q11" s="5"/>
    </row>
    <row r="12" spans="2:19" ht="18">
      <c r="B12" s="10" t="s">
        <v>34</v>
      </c>
      <c r="C12" s="21">
        <v>0</v>
      </c>
      <c r="D12" s="23">
        <f>31.9988/1000</f>
        <v>3.1998800000000001E-2</v>
      </c>
      <c r="E12" s="62">
        <f>C12+H9</f>
        <v>4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2:19" ht="16">
      <c r="B13" s="10" t="s">
        <v>50</v>
      </c>
      <c r="C13" s="21">
        <v>0</v>
      </c>
      <c r="D13" s="29">
        <f>28.085/1000</f>
        <v>2.8085000000000002E-2</v>
      </c>
      <c r="E13" s="63">
        <f>C13+H10</f>
        <v>854.2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2:19" ht="18">
      <c r="B14" s="2" t="s">
        <v>23</v>
      </c>
      <c r="C14" s="21">
        <v>-856.67399999999998</v>
      </c>
      <c r="D14" s="23">
        <f>60.08/1000</f>
        <v>6.0080000000000001E-2</v>
      </c>
      <c r="E14" s="62">
        <f>C14+H10+H9</f>
        <v>1.5260000000000673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2:19" ht="16">
      <c r="B15" s="10" t="s">
        <v>15</v>
      </c>
      <c r="C15" s="21" t="s">
        <v>126</v>
      </c>
      <c r="D15" s="21">
        <v>4.7226465048321509E-2</v>
      </c>
      <c r="E15" s="21">
        <f>0+H7+H5</f>
        <v>787.1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2:19" ht="16">
      <c r="B16" s="100" t="s">
        <v>192</v>
      </c>
      <c r="C16" s="21">
        <v>-137.27704</v>
      </c>
      <c r="D16" s="97">
        <f>28.01/1000</f>
        <v>2.801E-2</v>
      </c>
      <c r="E16" s="97">
        <f>C16+H5+(0.5*H9)</f>
        <v>275.02296000000001</v>
      </c>
      <c r="J16" s="5"/>
    </row>
    <row r="17" spans="2:5" ht="16">
      <c r="B17" s="100" t="s">
        <v>193</v>
      </c>
      <c r="C17" s="97">
        <v>-603.54200000000003</v>
      </c>
      <c r="D17" s="97">
        <f>56.0774/1000</f>
        <v>5.6077399999999999E-2</v>
      </c>
      <c r="E17" s="97">
        <f>C17+(0.5*H9)+(b_ch_Ca)</f>
        <v>122.25799999999992</v>
      </c>
    </row>
    <row r="18" spans="2:5" ht="17">
      <c r="B18" s="5" t="s">
        <v>122</v>
      </c>
      <c r="C18" s="21">
        <v>-50.7</v>
      </c>
      <c r="D18" s="21">
        <f>16.04/1000</f>
        <v>1.6039999999999999E-2</v>
      </c>
      <c r="E18" s="21">
        <f>C18+H5+(2*H8)</f>
        <v>831.8</v>
      </c>
    </row>
    <row r="19" spans="2:5" ht="18">
      <c r="B19" s="10" t="s">
        <v>124</v>
      </c>
      <c r="C19" s="21">
        <v>0</v>
      </c>
      <c r="D19" s="21">
        <f>28.0134/1000</f>
        <v>2.8013400000000001E-2</v>
      </c>
      <c r="E19" s="21">
        <f>C19+H11</f>
        <v>0.7</v>
      </c>
    </row>
    <row r="20" spans="2:5" ht="17">
      <c r="B20" s="5" t="s">
        <v>125</v>
      </c>
      <c r="C20" s="21">
        <v>-228.58865599999999</v>
      </c>
      <c r="D20" s="21">
        <f>18.01528/1000</f>
        <v>1.8015280000000002E-2</v>
      </c>
      <c r="E20" s="21">
        <f>b_ch_H2+(0.5*H9)+C20</f>
        <v>9.5113440000000082</v>
      </c>
    </row>
    <row r="26" spans="2:5">
      <c r="B26" t="s">
        <v>168</v>
      </c>
    </row>
    <row r="27" spans="2:5" ht="17">
      <c r="B27" s="21" t="s">
        <v>111</v>
      </c>
      <c r="C27" t="s">
        <v>194</v>
      </c>
    </row>
    <row r="28" spans="2:5" ht="18">
      <c r="B28" s="27" t="s">
        <v>11</v>
      </c>
      <c r="C28" t="s">
        <v>203</v>
      </c>
    </row>
    <row r="29" spans="2:5" ht="17">
      <c r="B29" t="s">
        <v>255</v>
      </c>
    </row>
  </sheetData>
  <sortState xmlns:xlrd2="http://schemas.microsoft.com/office/spreadsheetml/2017/richdata2" ref="G6:G10">
    <sortCondition ref="G5:G10"/>
  </sortState>
  <mergeCells count="2">
    <mergeCell ref="P2:Q2"/>
    <mergeCell ref="R2:S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6AF1C-B236-FA4B-B350-F1BEA1976CD1}">
  <dimension ref="C2:CI68"/>
  <sheetViews>
    <sheetView showGridLines="0" zoomScale="16" zoomScaleNormal="27" workbookViewId="0">
      <selection activeCell="AX46" sqref="AX46"/>
    </sheetView>
  </sheetViews>
  <sheetFormatPr baseColWidth="10" defaultColWidth="8.83203125" defaultRowHeight="15"/>
  <cols>
    <col min="1" max="3" width="8.83203125" style="5"/>
    <col min="4" max="4" width="10.5" style="5" bestFit="1" customWidth="1"/>
    <col min="5" max="5" width="8.83203125" style="5"/>
    <col min="6" max="6" width="12.5" style="5" bestFit="1" customWidth="1"/>
    <col min="7" max="7" width="11.5" style="5" bestFit="1" customWidth="1"/>
    <col min="8" max="8" width="9.6640625" style="5" bestFit="1" customWidth="1"/>
    <col min="9" max="9" width="13.33203125" style="5" bestFit="1" customWidth="1"/>
    <col min="10" max="10" width="8.83203125" style="5"/>
    <col min="11" max="11" width="14" style="5" bestFit="1" customWidth="1"/>
    <col min="12" max="13" width="13.33203125" style="5" bestFit="1" customWidth="1"/>
    <col min="14" max="14" width="8.83203125" style="5"/>
    <col min="15" max="15" width="16.33203125" style="5" bestFit="1" customWidth="1"/>
    <col min="16" max="16" width="11.5" style="5" bestFit="1" customWidth="1"/>
    <col min="17" max="17" width="9.6640625" style="5" bestFit="1" customWidth="1"/>
    <col min="18" max="18" width="8.5" style="5" customWidth="1"/>
    <col min="19" max="29" width="8.83203125" style="5"/>
    <col min="30" max="31" width="14" style="5" bestFit="1" customWidth="1"/>
    <col min="32" max="32" width="14.33203125" style="5" bestFit="1" customWidth="1"/>
    <col min="33" max="38" width="8.83203125" style="5"/>
    <col min="39" max="39" width="13.6640625" style="5" bestFit="1" customWidth="1"/>
    <col min="40" max="47" width="8.83203125" style="5"/>
    <col min="48" max="48" width="12.6640625" style="5" bestFit="1" customWidth="1"/>
    <col min="49" max="49" width="13.83203125" style="5" bestFit="1" customWidth="1"/>
    <col min="50" max="50" width="8.83203125" style="5"/>
    <col min="51" max="51" width="13.83203125" style="5" bestFit="1" customWidth="1"/>
    <col min="52" max="53" width="13.6640625" style="5" bestFit="1" customWidth="1"/>
    <col min="54" max="54" width="14.6640625" style="5" bestFit="1" customWidth="1"/>
    <col min="55" max="55" width="10.5" style="5" bestFit="1" customWidth="1"/>
    <col min="56" max="58" width="8.83203125" style="5"/>
    <col min="59" max="59" width="12" style="5" bestFit="1" customWidth="1"/>
    <col min="60" max="60" width="14.6640625" style="5" bestFit="1" customWidth="1"/>
    <col min="61" max="63" width="8.83203125" style="5"/>
    <col min="64" max="64" width="13.6640625" style="5" bestFit="1" customWidth="1"/>
    <col min="65" max="65" width="8.83203125" style="5"/>
    <col min="66" max="66" width="14" style="5" bestFit="1" customWidth="1"/>
    <col min="67" max="67" width="8.83203125" style="5"/>
    <col min="68" max="68" width="12.5" style="5" bestFit="1" customWidth="1"/>
    <col min="69" max="71" width="8.83203125" style="5"/>
    <col min="72" max="72" width="11.1640625" style="5" bestFit="1" customWidth="1"/>
    <col min="73" max="73" width="7.83203125" style="5" bestFit="1" customWidth="1"/>
    <col min="74" max="74" width="13.6640625" style="5" bestFit="1" customWidth="1"/>
    <col min="75" max="76" width="14.5" style="5" bestFit="1" customWidth="1"/>
    <col min="77" max="77" width="8.83203125" style="5"/>
    <col min="78" max="78" width="11.33203125" style="5" bestFit="1" customWidth="1"/>
    <col min="79" max="79" width="13.83203125" style="5" bestFit="1" customWidth="1"/>
    <col min="80" max="80" width="12.1640625" style="5" bestFit="1" customWidth="1"/>
    <col min="81" max="85" width="8.83203125" style="5"/>
    <col min="86" max="86" width="15.1640625" style="5" bestFit="1" customWidth="1"/>
    <col min="87" max="16384" width="8.83203125" style="5"/>
  </cols>
  <sheetData>
    <row r="2" spans="3:69">
      <c r="H2" s="121" t="s">
        <v>127</v>
      </c>
      <c r="I2" s="121"/>
      <c r="J2" s="121"/>
      <c r="K2" s="121"/>
      <c r="L2" s="121"/>
      <c r="M2" s="121"/>
    </row>
    <row r="3" spans="3:69" ht="18">
      <c r="C3" s="21" t="s">
        <v>122</v>
      </c>
      <c r="D3" s="21" t="s">
        <v>128</v>
      </c>
      <c r="E3" s="28" t="s">
        <v>129</v>
      </c>
      <c r="F3" s="28" t="s">
        <v>130</v>
      </c>
      <c r="H3" s="121" t="s">
        <v>131</v>
      </c>
      <c r="I3" s="121"/>
      <c r="J3" s="121"/>
      <c r="K3" s="21"/>
      <c r="L3" s="123" t="s">
        <v>132</v>
      </c>
      <c r="M3" s="123"/>
      <c r="N3" s="10"/>
    </row>
    <row r="4" spans="3:69" ht="17">
      <c r="C4" s="21" t="s">
        <v>16</v>
      </c>
      <c r="D4" s="21" t="s">
        <v>133</v>
      </c>
      <c r="E4" s="21"/>
      <c r="F4" s="21"/>
    </row>
    <row r="5" spans="3:69">
      <c r="C5" s="53">
        <v>1</v>
      </c>
      <c r="D5" s="21">
        <f>F12</f>
        <v>62.344139650872826</v>
      </c>
      <c r="E5" s="21">
        <v>2</v>
      </c>
      <c r="F5" s="21">
        <v>3.76</v>
      </c>
      <c r="H5" s="121" t="str">
        <f>_xlfn.CONCAT($I$12," ",$C$12," ","+"," ",$I$13,"(",$C$13, " ","+"," ",$F$5,$C$14,")","  ", "--","&gt;","  ", $R$12," ",$L$12," ","+"," ",$R$13," ",$L$13," ","+"," ",$R$14," ",$L$14)</f>
        <v>1 CH4 + 2(O2 + 3.76N2)  --&gt;  1 CO2 + 2 H2O + 7.52 N2</v>
      </c>
      <c r="I5" s="121"/>
      <c r="J5" s="121"/>
      <c r="K5" s="121"/>
      <c r="L5" s="121"/>
      <c r="M5" s="121"/>
    </row>
    <row r="8" spans="3:69">
      <c r="AN8" s="129" t="s">
        <v>135</v>
      </c>
      <c r="AO8" s="129"/>
      <c r="AP8" s="129"/>
      <c r="AQ8" s="129"/>
      <c r="AR8" s="129"/>
      <c r="AS8" s="129"/>
      <c r="AT8" s="129"/>
      <c r="AU8" s="129"/>
      <c r="AV8" s="129"/>
      <c r="AW8" s="129"/>
      <c r="AX8" s="129"/>
      <c r="AY8" s="129"/>
      <c r="AZ8" s="129"/>
      <c r="BA8" s="129"/>
      <c r="BB8" s="129"/>
      <c r="BC8" s="129"/>
      <c r="BD8" s="129"/>
      <c r="BE8" s="129"/>
      <c r="BF8" s="129"/>
      <c r="BG8" s="129"/>
      <c r="BH8" s="129"/>
      <c r="BI8" s="129"/>
      <c r="BJ8" s="129"/>
      <c r="BK8" s="129"/>
    </row>
    <row r="9" spans="3:69">
      <c r="AN9" s="129"/>
      <c r="AO9" s="129"/>
      <c r="AP9" s="129"/>
      <c r="AQ9" s="129"/>
      <c r="AR9" s="129"/>
      <c r="AS9" s="129"/>
      <c r="AT9" s="129"/>
      <c r="AU9" s="129"/>
      <c r="AV9" s="129"/>
      <c r="AW9" s="129"/>
      <c r="AX9" s="129"/>
      <c r="AY9" s="129"/>
      <c r="AZ9" s="129"/>
      <c r="BA9" s="129"/>
      <c r="BB9" s="129"/>
      <c r="BC9" s="129"/>
      <c r="BD9" s="129"/>
      <c r="BE9" s="129"/>
      <c r="BF9" s="129"/>
      <c r="BG9" s="129"/>
      <c r="BH9" s="129"/>
      <c r="BI9" s="129"/>
      <c r="BJ9" s="129"/>
      <c r="BK9" s="129"/>
    </row>
    <row r="10" spans="3:69">
      <c r="C10" s="38" t="s">
        <v>4</v>
      </c>
      <c r="D10" s="5" t="s">
        <v>3</v>
      </c>
      <c r="E10" s="5" t="s">
        <v>9</v>
      </c>
      <c r="F10" s="5" t="s">
        <v>52</v>
      </c>
      <c r="G10" s="5" t="s">
        <v>61</v>
      </c>
      <c r="H10" s="5" t="s">
        <v>67</v>
      </c>
      <c r="L10" s="38" t="s">
        <v>6</v>
      </c>
      <c r="M10" s="5" t="s">
        <v>3</v>
      </c>
      <c r="N10" s="5" t="s">
        <v>9</v>
      </c>
      <c r="O10" s="5" t="s">
        <v>52</v>
      </c>
      <c r="P10" s="5" t="s">
        <v>61</v>
      </c>
      <c r="Q10" s="5" t="s">
        <v>67</v>
      </c>
      <c r="AN10" s="129"/>
      <c r="AO10" s="129"/>
      <c r="AP10" s="129"/>
      <c r="AQ10" s="129"/>
      <c r="AR10" s="129"/>
      <c r="AS10" s="129"/>
      <c r="AT10" s="129"/>
      <c r="AU10" s="129"/>
      <c r="AV10" s="129"/>
      <c r="AW10" s="129"/>
      <c r="AX10" s="129"/>
      <c r="AY10" s="129"/>
      <c r="AZ10" s="129"/>
      <c r="BA10" s="129"/>
      <c r="BB10" s="129"/>
      <c r="BC10" s="129"/>
      <c r="BD10" s="129"/>
      <c r="BE10" s="129"/>
      <c r="BF10" s="129"/>
      <c r="BG10" s="129"/>
      <c r="BH10" s="129"/>
      <c r="BI10" s="129"/>
      <c r="BJ10" s="129"/>
      <c r="BK10" s="129"/>
    </row>
    <row r="11" spans="3:69" ht="18">
      <c r="C11" s="21" t="s">
        <v>63</v>
      </c>
      <c r="D11" s="21" t="s">
        <v>16</v>
      </c>
      <c r="E11" s="27" t="s">
        <v>144</v>
      </c>
      <c r="F11" s="21" t="s">
        <v>65</v>
      </c>
      <c r="G11" s="21" t="s">
        <v>66</v>
      </c>
      <c r="H11" s="21" t="s">
        <v>126</v>
      </c>
      <c r="I11" s="55" t="s">
        <v>134</v>
      </c>
      <c r="L11" s="21" t="s">
        <v>63</v>
      </c>
      <c r="M11" s="21" t="s">
        <v>16</v>
      </c>
      <c r="N11" s="27" t="s">
        <v>144</v>
      </c>
      <c r="O11" s="21" t="s">
        <v>65</v>
      </c>
      <c r="P11" s="21" t="s">
        <v>66</v>
      </c>
      <c r="Q11" s="21"/>
      <c r="R11" s="55" t="s">
        <v>134</v>
      </c>
    </row>
    <row r="12" spans="3:69" ht="18">
      <c r="C12" s="21" t="s">
        <v>122</v>
      </c>
      <c r="D12" s="5">
        <f>C5</f>
        <v>1</v>
      </c>
      <c r="E12" s="5">
        <f>MW_CH4</f>
        <v>1.6039999999999999E-2</v>
      </c>
      <c r="F12" s="5">
        <f>D12/E12</f>
        <v>62.344139650872826</v>
      </c>
      <c r="G12" s="5">
        <f>F12/F15</f>
        <v>9.5057034220532327E-2</v>
      </c>
      <c r="H12" s="46" t="s">
        <v>53</v>
      </c>
      <c r="I12" s="81">
        <f>F12/D5</f>
        <v>1</v>
      </c>
      <c r="L12" s="28" t="s">
        <v>121</v>
      </c>
      <c r="M12" s="5">
        <f>N12*O12</f>
        <v>2.7437655860349133</v>
      </c>
      <c r="N12" s="5">
        <f>MW_CO2</f>
        <v>4.4010000000000001E-2</v>
      </c>
      <c r="O12" s="5">
        <f>R12*D5</f>
        <v>62.344139650872826</v>
      </c>
      <c r="P12" s="5">
        <f>O12/O15</f>
        <v>9.5057034220532327E-2</v>
      </c>
      <c r="Q12" s="46" t="s">
        <v>55</v>
      </c>
      <c r="R12" s="5">
        <f>I12</f>
        <v>1</v>
      </c>
    </row>
    <row r="13" spans="3:69" ht="19" thickBot="1">
      <c r="C13" s="28" t="s">
        <v>34</v>
      </c>
      <c r="D13" s="5">
        <f>F13*E13</f>
        <v>3.9898753117206991</v>
      </c>
      <c r="E13" s="5">
        <f>MW_O2</f>
        <v>3.1998800000000001E-2</v>
      </c>
      <c r="F13" s="5">
        <f>I13*D5</f>
        <v>124.68827930174565</v>
      </c>
      <c r="G13" s="5">
        <f>F13/F15</f>
        <v>0.19011406844106465</v>
      </c>
      <c r="H13" s="46" t="s">
        <v>54</v>
      </c>
      <c r="I13" s="5">
        <f>E5*I12</f>
        <v>2</v>
      </c>
      <c r="L13" s="21" t="s">
        <v>125</v>
      </c>
      <c r="M13" s="5">
        <f>N13*O13</f>
        <v>2.2462942643391526</v>
      </c>
      <c r="N13" s="5">
        <f>MW_H2O</f>
        <v>1.8015280000000002E-2</v>
      </c>
      <c r="O13" s="5">
        <f>R13*D5</f>
        <v>124.68827930174565</v>
      </c>
      <c r="P13" s="5">
        <f>O13/O15</f>
        <v>0.19011406844106465</v>
      </c>
      <c r="Q13" s="46" t="s">
        <v>56</v>
      </c>
      <c r="R13" s="5">
        <f>2*I12</f>
        <v>2</v>
      </c>
    </row>
    <row r="14" spans="3:69" ht="18">
      <c r="C14" s="68" t="s">
        <v>124</v>
      </c>
      <c r="D14" s="5">
        <f>F14*E14</f>
        <v>13.133464339152122</v>
      </c>
      <c r="E14" s="5">
        <f>MW_N2</f>
        <v>2.8013400000000001E-2</v>
      </c>
      <c r="F14" s="5">
        <f>I14*F5*D5</f>
        <v>468.82793017456362</v>
      </c>
      <c r="G14" s="5">
        <f>F14/F15</f>
        <v>0.71482889733840305</v>
      </c>
      <c r="H14" s="46" t="s">
        <v>54</v>
      </c>
      <c r="I14" s="5">
        <f>I13</f>
        <v>2</v>
      </c>
      <c r="L14" s="68" t="s">
        <v>124</v>
      </c>
      <c r="M14" s="5">
        <f>N14*O14</f>
        <v>13.133464339152122</v>
      </c>
      <c r="N14" s="5">
        <f>MW_N2</f>
        <v>2.8013400000000001E-2</v>
      </c>
      <c r="O14" s="5">
        <f>R14*D5</f>
        <v>468.82793017456362</v>
      </c>
      <c r="P14" s="5">
        <f>O14/O15</f>
        <v>0.71482889733840305</v>
      </c>
      <c r="Q14" s="46" t="s">
        <v>57</v>
      </c>
      <c r="R14" s="5">
        <f>I14*F5</f>
        <v>7.52</v>
      </c>
      <c r="BO14" s="93" t="s">
        <v>248</v>
      </c>
      <c r="BP14" s="103" t="s">
        <v>249</v>
      </c>
      <c r="BQ14" s="88" t="s">
        <v>254</v>
      </c>
    </row>
    <row r="15" spans="3:69" ht="18">
      <c r="C15" s="25" t="s">
        <v>25</v>
      </c>
      <c r="D15" s="69">
        <f>SUM(D12:D14)</f>
        <v>18.123339650872822</v>
      </c>
      <c r="E15" s="25"/>
      <c r="F15" s="70">
        <f>SUM(F12:F14)</f>
        <v>655.86034912718208</v>
      </c>
      <c r="G15" s="69">
        <f>SUM(G12:G14)</f>
        <v>1</v>
      </c>
      <c r="H15" s="25"/>
      <c r="I15" s="25"/>
      <c r="L15" s="25" t="s">
        <v>25</v>
      </c>
      <c r="M15" s="69">
        <f>SUM(M12:M14)</f>
        <v>18.123524189526186</v>
      </c>
      <c r="N15" s="25"/>
      <c r="O15" s="70">
        <f>SUM(O12:O14)</f>
        <v>655.86034912718208</v>
      </c>
      <c r="P15" s="70">
        <f>SUM(P12:P14)</f>
        <v>1</v>
      </c>
      <c r="Q15" s="25"/>
      <c r="R15" s="25"/>
      <c r="BO15" s="78" t="s">
        <v>120</v>
      </c>
      <c r="BP15" s="101" t="s">
        <v>149</v>
      </c>
      <c r="BQ15" s="94" t="s">
        <v>153</v>
      </c>
    </row>
    <row r="16" spans="3:69" ht="16" thickBot="1">
      <c r="BO16" s="20">
        <v>298.14999999999998</v>
      </c>
      <c r="BP16" s="102">
        <f>BK23</f>
        <v>18.123524189526186</v>
      </c>
      <c r="BQ16" s="77" t="str">
        <f>BQ24</f>
        <v>[kJm]</v>
      </c>
    </row>
    <row r="17" spans="3:87">
      <c r="BI17" s="133" t="s">
        <v>173</v>
      </c>
    </row>
    <row r="18" spans="3:87" ht="18.5" customHeight="1">
      <c r="BI18" s="133"/>
      <c r="BK18" s="2" t="s">
        <v>3</v>
      </c>
      <c r="BL18" s="2" t="s">
        <v>9</v>
      </c>
      <c r="BM18" s="2" t="s">
        <v>145</v>
      </c>
      <c r="BN18" s="5" t="s">
        <v>222</v>
      </c>
      <c r="BO18" s="5" t="s">
        <v>232</v>
      </c>
      <c r="BP18" s="5" t="s">
        <v>204</v>
      </c>
      <c r="BQ18" s="5" t="s">
        <v>205</v>
      </c>
    </row>
    <row r="19" spans="3:87" ht="18">
      <c r="BI19" s="133"/>
      <c r="BK19" s="2" t="s">
        <v>148</v>
      </c>
      <c r="BL19" s="2" t="s">
        <v>150</v>
      </c>
      <c r="BM19" s="4" t="s">
        <v>146</v>
      </c>
      <c r="BN19" s="6" t="s">
        <v>166</v>
      </c>
      <c r="BO19" s="6" t="s">
        <v>166</v>
      </c>
      <c r="BP19" s="5" t="s">
        <v>172</v>
      </c>
      <c r="BQ19" s="5" t="s">
        <v>172</v>
      </c>
    </row>
    <row r="20" spans="3:87" ht="17">
      <c r="BI20" s="133"/>
      <c r="BJ20" s="39" t="s">
        <v>32</v>
      </c>
      <c r="BK20" s="11">
        <f>AU43</f>
        <v>2.7437655860349133</v>
      </c>
      <c r="BL20" s="40">
        <f>MW_CO2</f>
        <v>4.4010000000000001E-2</v>
      </c>
      <c r="BM20" s="40">
        <f>BK20/BL20</f>
        <v>62.344139650872833</v>
      </c>
      <c r="BN20" s="92">
        <f>h_CO2</f>
        <v>115.1314</v>
      </c>
      <c r="BO20" s="92">
        <f>h_0_CO2</f>
        <v>9.3640000000000008</v>
      </c>
      <c r="BP20" s="25">
        <f>BM20*(BN20-BO20)</f>
        <v>6593.9775561097267</v>
      </c>
      <c r="BQ20" s="25">
        <f>BP208*($BF$38-$BF$38)/$BF$38</f>
        <v>0</v>
      </c>
    </row>
    <row r="21" spans="3:87" ht="17">
      <c r="BI21" s="133"/>
      <c r="BJ21" s="37" t="s">
        <v>125</v>
      </c>
      <c r="BK21" s="2">
        <f>AU44</f>
        <v>2.2462942643391526</v>
      </c>
      <c r="BL21" s="8">
        <f>MW_H2O</f>
        <v>1.8015280000000002E-2</v>
      </c>
      <c r="BM21" s="8">
        <f>BK21/BL21</f>
        <v>124.68827930174565</v>
      </c>
      <c r="BN21" s="2">
        <f>h_H2O</f>
        <v>94.827839999999995</v>
      </c>
      <c r="BO21" s="2">
        <f>h_0_H2O</f>
        <v>9.9039999999999999</v>
      </c>
      <c r="BP21" s="5">
        <f t="shared" ref="BP21:BP22" si="0">BM21*(BN21-BO21)</f>
        <v>10589.00748129676</v>
      </c>
      <c r="BQ21" s="5">
        <f t="shared" ref="BQ21:BQ22" si="1">BP209*($BF$38-$BF$38)/$BF$38</f>
        <v>0</v>
      </c>
    </row>
    <row r="22" spans="3:87" ht="18">
      <c r="C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BI22" s="133"/>
      <c r="BJ22" s="89" t="s">
        <v>124</v>
      </c>
      <c r="BK22" s="41">
        <f>AU45</f>
        <v>13.133464339152122</v>
      </c>
      <c r="BL22" s="42">
        <f>MW_N2</f>
        <v>2.8013400000000001E-2</v>
      </c>
      <c r="BM22" s="42">
        <f>BK22/BL22</f>
        <v>468.82793017456362</v>
      </c>
      <c r="BN22" s="2">
        <f>h_N2</f>
        <v>73.347520000000003</v>
      </c>
      <c r="BO22" s="2">
        <f>h_0_N2</f>
        <v>8.6690000000000005</v>
      </c>
      <c r="BP22" s="5">
        <f t="shared" si="0"/>
        <v>30323.096658354119</v>
      </c>
      <c r="BQ22" s="5">
        <f t="shared" si="1"/>
        <v>0</v>
      </c>
    </row>
    <row r="23" spans="3:87" ht="29">
      <c r="H23" s="2"/>
      <c r="I23" s="2"/>
      <c r="J23" s="2"/>
      <c r="K23" s="2"/>
      <c r="L23" s="83"/>
      <c r="M23" s="84"/>
      <c r="N23" s="84"/>
      <c r="O23" s="84"/>
      <c r="P23" s="84"/>
      <c r="Q23" s="84"/>
      <c r="R23" s="96"/>
      <c r="S23" s="96"/>
      <c r="T23" s="96"/>
      <c r="U23" s="96"/>
      <c r="V23" s="96"/>
      <c r="W23" s="96"/>
      <c r="X23" s="96"/>
      <c r="Y23" s="96"/>
      <c r="Z23" s="96"/>
      <c r="AA23" s="96"/>
      <c r="AB23" s="96"/>
      <c r="AC23" s="96"/>
      <c r="AD23" s="96"/>
      <c r="AE23" s="96"/>
      <c r="AF23" s="96"/>
      <c r="AG23" s="96"/>
      <c r="AH23" s="96"/>
      <c r="AI23" s="96"/>
      <c r="AJ23" s="96"/>
      <c r="AK23" s="96"/>
      <c r="AL23" s="96"/>
      <c r="AM23" s="96"/>
      <c r="AN23" s="96"/>
      <c r="AO23" s="96"/>
      <c r="BJ23" s="6" t="s">
        <v>25</v>
      </c>
      <c r="BK23" s="6">
        <f>SUM(BK20:BK22)</f>
        <v>18.123524189526186</v>
      </c>
      <c r="BL23" s="6">
        <f>BO20*BL20 + BO21*BL21 + BO22*BL22</f>
        <v>0.83338113772000011</v>
      </c>
      <c r="BM23" s="6">
        <f>SUM(BM20:BM22)</f>
        <v>655.86034912718208</v>
      </c>
      <c r="BN23" s="25"/>
      <c r="BO23" s="25"/>
      <c r="BP23" s="92">
        <f>SUM(BP20:BP22)</f>
        <v>47506.0816957606</v>
      </c>
      <c r="BQ23" s="92">
        <f>SUM(BQ20:BQ22)</f>
        <v>0</v>
      </c>
    </row>
    <row r="24" spans="3:87" ht="19.25" customHeight="1">
      <c r="H24" s="2"/>
      <c r="I24" s="2"/>
      <c r="J24" s="2"/>
      <c r="K24" s="2"/>
      <c r="L24" s="2"/>
      <c r="M24" s="2"/>
      <c r="N24" s="2"/>
      <c r="O24" s="2"/>
      <c r="P24" s="2"/>
      <c r="Q24" s="73"/>
      <c r="R24" s="96"/>
      <c r="S24" s="96"/>
      <c r="T24" s="96"/>
      <c r="U24" s="96"/>
      <c r="V24" s="96"/>
      <c r="W24" s="96"/>
      <c r="X24" s="96"/>
      <c r="Y24" s="96"/>
      <c r="Z24" s="96"/>
      <c r="AA24" s="96"/>
      <c r="AB24" s="96"/>
      <c r="AC24" s="96"/>
      <c r="AD24" s="96"/>
      <c r="AE24" s="96"/>
      <c r="AF24" s="96"/>
      <c r="AG24" s="96"/>
      <c r="AH24" s="96"/>
      <c r="AI24" s="96"/>
      <c r="AJ24" s="96"/>
      <c r="AK24" s="96"/>
      <c r="AL24" s="96"/>
      <c r="AM24" s="96"/>
      <c r="AN24" s="96"/>
      <c r="AO24" s="96"/>
      <c r="BK24" s="2" t="s">
        <v>149</v>
      </c>
      <c r="BL24" s="5" t="s">
        <v>151</v>
      </c>
      <c r="BM24" s="5" t="s">
        <v>147</v>
      </c>
      <c r="BP24" s="2" t="s">
        <v>153</v>
      </c>
      <c r="BQ24" s="2" t="s">
        <v>153</v>
      </c>
    </row>
    <row r="25" spans="3:87" ht="16.25" customHeight="1">
      <c r="H25" s="2"/>
      <c r="I25" s="2"/>
      <c r="J25" s="2"/>
      <c r="K25" s="2"/>
      <c r="L25" s="2"/>
      <c r="M25" s="2"/>
      <c r="N25" s="2"/>
      <c r="O25" s="2"/>
      <c r="P25" s="2"/>
      <c r="Q25" s="2"/>
      <c r="R25" s="96"/>
      <c r="S25" s="96"/>
      <c r="T25" s="96"/>
      <c r="U25" s="96"/>
      <c r="V25" s="96"/>
      <c r="W25" s="96"/>
      <c r="X25" s="96"/>
      <c r="Y25" s="96"/>
      <c r="Z25" s="96"/>
      <c r="AA25" s="96"/>
      <c r="AB25" s="96"/>
      <c r="AC25" s="96"/>
      <c r="AD25" s="96"/>
      <c r="AE25" s="96"/>
      <c r="AF25" s="96"/>
      <c r="AG25" s="96"/>
      <c r="AH25" s="96"/>
      <c r="AI25" s="96"/>
      <c r="AJ25" s="96"/>
      <c r="AK25" s="96"/>
      <c r="AL25" s="96"/>
      <c r="AM25" s="96"/>
      <c r="AN25" s="96"/>
      <c r="AO25" s="96"/>
      <c r="CC25" s="38"/>
    </row>
    <row r="26" spans="3:87" ht="16"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</row>
    <row r="27" spans="3:87" ht="16"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</row>
    <row r="28" spans="3:87" ht="34">
      <c r="C28" s="131">
        <v>1</v>
      </c>
      <c r="D28" s="131"/>
      <c r="E28" s="131"/>
      <c r="F28" s="131"/>
      <c r="G28" s="131"/>
      <c r="H28" s="131"/>
      <c r="I28" s="131"/>
      <c r="J28" s="131"/>
      <c r="K28" s="131"/>
      <c r="L28" s="131"/>
      <c r="M28" s="131"/>
      <c r="N28" s="131"/>
      <c r="O28" s="131"/>
      <c r="P28" s="2"/>
      <c r="Q28" s="2"/>
      <c r="R28" s="2"/>
      <c r="S28" s="2"/>
      <c r="T28" s="2"/>
      <c r="U28" s="2"/>
      <c r="V28" s="2"/>
      <c r="W28" s="132">
        <v>2</v>
      </c>
      <c r="X28" s="132"/>
      <c r="Y28" s="132"/>
      <c r="Z28" s="132"/>
      <c r="AA28" s="132"/>
      <c r="AB28" s="132"/>
      <c r="AC28" s="132"/>
      <c r="AD28" s="132"/>
      <c r="AE28" s="132"/>
      <c r="AF28" s="132"/>
      <c r="AG28" s="13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131">
        <v>3</v>
      </c>
      <c r="AU28" s="131"/>
      <c r="AV28" s="131"/>
      <c r="AW28" s="131"/>
      <c r="AX28" s="131"/>
      <c r="AY28" s="131"/>
      <c r="AZ28" s="131"/>
      <c r="BA28" s="131"/>
      <c r="BB28" s="131"/>
      <c r="BC28" s="131"/>
      <c r="BD28" s="131"/>
      <c r="BE28" s="131"/>
      <c r="BF28" s="131"/>
      <c r="BG28" s="131"/>
      <c r="BH28" s="131"/>
      <c r="BI28" s="131"/>
      <c r="BT28" s="131">
        <v>4</v>
      </c>
      <c r="BU28" s="131"/>
      <c r="BV28" s="131"/>
      <c r="BW28" s="131"/>
      <c r="BX28" s="131"/>
      <c r="BY28" s="131"/>
      <c r="BZ28" s="131"/>
      <c r="CA28" s="131"/>
      <c r="CB28" s="131"/>
      <c r="CC28" s="131"/>
      <c r="CD28" s="131"/>
      <c r="CE28" s="131"/>
      <c r="CF28" s="131"/>
      <c r="CG28" s="131"/>
      <c r="CH28" s="131"/>
      <c r="CI28" s="131"/>
    </row>
    <row r="29" spans="3:87" ht="20.5" customHeight="1">
      <c r="C29" s="74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10"/>
      <c r="AU29" s="2"/>
      <c r="AV29" s="2"/>
      <c r="AW29" s="2"/>
      <c r="BD29" s="74"/>
      <c r="BE29" s="74"/>
      <c r="BF29" s="74"/>
      <c r="BG29" s="74"/>
      <c r="BH29" s="74"/>
      <c r="BI29" s="74"/>
      <c r="BJ29" s="74"/>
    </row>
    <row r="30" spans="3:87" ht="15.5" customHeight="1" thickBot="1">
      <c r="C30" s="74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80"/>
      <c r="AK30" s="80"/>
      <c r="AL30" s="80"/>
      <c r="AM30" s="80"/>
      <c r="AN30" s="80"/>
      <c r="AO30" s="2"/>
      <c r="AP30" s="2"/>
      <c r="AQ30" s="2"/>
      <c r="AR30" s="2"/>
      <c r="AS30" s="86"/>
      <c r="AW30" s="74"/>
      <c r="BM30" s="87"/>
    </row>
    <row r="31" spans="3:87" ht="16.25" customHeight="1">
      <c r="C31" s="74"/>
      <c r="L31" s="93" t="s">
        <v>244</v>
      </c>
      <c r="M31" s="103" t="s">
        <v>245</v>
      </c>
      <c r="N31" s="88" t="s">
        <v>242</v>
      </c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80"/>
      <c r="AL31" s="80"/>
      <c r="AM31" s="80"/>
      <c r="AN31" s="80"/>
      <c r="AO31" s="80"/>
      <c r="AP31" s="2"/>
      <c r="AQ31" s="2"/>
      <c r="AR31" s="2"/>
      <c r="AS31" s="86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74"/>
      <c r="BM31" s="87"/>
    </row>
    <row r="32" spans="3:87" ht="19.25" customHeight="1">
      <c r="C32" s="74"/>
      <c r="L32" s="78" t="s">
        <v>120</v>
      </c>
      <c r="M32" s="67" t="s">
        <v>16</v>
      </c>
      <c r="N32" s="76" t="s">
        <v>73</v>
      </c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80"/>
      <c r="AL32" s="80"/>
      <c r="AM32" s="80"/>
      <c r="AN32" s="80"/>
      <c r="AO32" s="80"/>
      <c r="AP32" s="2"/>
      <c r="AQ32" s="2"/>
      <c r="AR32" s="2"/>
      <c r="AS32" s="86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74"/>
      <c r="BM32" s="87"/>
    </row>
    <row r="33" spans="3:87" ht="17" thickBot="1">
      <c r="C33" s="74"/>
      <c r="L33" s="79">
        <v>298.14999999999998</v>
      </c>
      <c r="M33" s="102">
        <f>E37</f>
        <v>1</v>
      </c>
      <c r="N33" s="77">
        <f>N37</f>
        <v>51857.855361596012</v>
      </c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N33" s="2"/>
      <c r="AO33" s="2"/>
      <c r="AP33" s="2"/>
      <c r="AQ33" s="2"/>
      <c r="AR33" s="2"/>
      <c r="AS33" s="86"/>
      <c r="BK33" s="74"/>
      <c r="BM33" s="87"/>
    </row>
    <row r="34" spans="3:87" ht="16">
      <c r="C34" s="115" t="s">
        <v>136</v>
      </c>
      <c r="H34" s="2"/>
      <c r="I34" s="2"/>
      <c r="J34" s="2"/>
      <c r="K34" s="2"/>
      <c r="L34" s="2"/>
      <c r="M34" s="2"/>
      <c r="N34" s="2"/>
      <c r="O34" s="2"/>
      <c r="P34" s="2"/>
      <c r="Q34" s="73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74"/>
      <c r="AT34" s="2"/>
      <c r="AU34" s="2"/>
      <c r="AV34" s="8"/>
      <c r="AW34" s="8"/>
      <c r="AX34" s="2"/>
      <c r="AY34" s="8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M34" s="87"/>
    </row>
    <row r="35" spans="3:87" ht="17.5" customHeight="1" thickBot="1">
      <c r="C35" s="115"/>
      <c r="D35" s="2"/>
      <c r="E35" s="2" t="s">
        <v>209</v>
      </c>
      <c r="F35" s="2" t="s">
        <v>9</v>
      </c>
      <c r="G35" s="2" t="s">
        <v>208</v>
      </c>
      <c r="H35" s="2" t="s">
        <v>210</v>
      </c>
      <c r="I35" s="2" t="s">
        <v>206</v>
      </c>
      <c r="J35" s="2" t="s">
        <v>13</v>
      </c>
      <c r="K35" s="2" t="s">
        <v>211</v>
      </c>
      <c r="L35" s="2" t="s">
        <v>212</v>
      </c>
      <c r="M35" s="2" t="s">
        <v>213</v>
      </c>
      <c r="N35" s="2" t="s">
        <v>214</v>
      </c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I35" s="2"/>
      <c r="AJ35" s="2"/>
      <c r="AK35" s="2"/>
      <c r="AL35" s="2"/>
      <c r="AM35" s="2"/>
      <c r="AN35" s="2"/>
      <c r="AO35" s="2"/>
      <c r="AP35" s="2"/>
      <c r="AQ35" s="2"/>
      <c r="AR35" s="80"/>
      <c r="AS35" s="74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M35" s="87"/>
      <c r="BS35" s="74"/>
      <c r="BT35" s="2"/>
      <c r="BU35" s="2"/>
      <c r="BX35" s="6"/>
      <c r="BY35" s="6"/>
      <c r="CD35" s="2"/>
    </row>
    <row r="36" spans="3:87" ht="18" customHeight="1">
      <c r="C36" s="115"/>
      <c r="D36" s="2"/>
      <c r="E36" s="2" t="s">
        <v>148</v>
      </c>
      <c r="F36" s="2" t="s">
        <v>150</v>
      </c>
      <c r="G36" s="4" t="s">
        <v>146</v>
      </c>
      <c r="H36" s="4" t="s">
        <v>155</v>
      </c>
      <c r="I36" s="2" t="s">
        <v>158</v>
      </c>
      <c r="J36" s="4" t="s">
        <v>38</v>
      </c>
      <c r="K36" s="4" t="s">
        <v>155</v>
      </c>
      <c r="L36" s="4" t="s">
        <v>155</v>
      </c>
      <c r="M36" s="4" t="s">
        <v>154</v>
      </c>
      <c r="N36" s="2" t="s">
        <v>152</v>
      </c>
      <c r="O36" s="2"/>
      <c r="P36" s="2"/>
      <c r="Q36" s="75"/>
      <c r="R36" s="73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93" t="s">
        <v>247</v>
      </c>
      <c r="AF36" s="103" t="s">
        <v>246</v>
      </c>
      <c r="AG36" s="88" t="s">
        <v>243</v>
      </c>
      <c r="AI36" s="2"/>
      <c r="AJ36" s="2"/>
      <c r="AK36" s="2"/>
      <c r="AL36" s="2"/>
      <c r="AM36" s="2"/>
      <c r="AN36" s="2"/>
      <c r="AO36" s="2"/>
      <c r="AP36" s="2"/>
      <c r="AQ36" s="2"/>
      <c r="AR36" s="80"/>
      <c r="AS36" s="2"/>
      <c r="AT36" s="2"/>
      <c r="AU36" s="2"/>
      <c r="AV36" s="2"/>
      <c r="AW36" s="2"/>
      <c r="AX36" s="2"/>
      <c r="AY36" s="2"/>
      <c r="AZ36" s="2"/>
      <c r="BA36" s="2"/>
      <c r="BB36" s="2"/>
      <c r="BD36" s="38"/>
      <c r="BE36" s="38"/>
      <c r="BF36" s="18" t="s">
        <v>159</v>
      </c>
      <c r="BG36" s="93" t="s">
        <v>248</v>
      </c>
      <c r="BH36" s="103" t="s">
        <v>249</v>
      </c>
      <c r="BI36" s="88" t="s">
        <v>250</v>
      </c>
      <c r="BJ36" s="38"/>
      <c r="BM36" s="87"/>
      <c r="BS36" s="2"/>
      <c r="BT36" s="2"/>
      <c r="BU36" s="2"/>
      <c r="BV36" s="2"/>
      <c r="BW36" s="2"/>
      <c r="BX36" s="2"/>
      <c r="BY36" s="2"/>
      <c r="BZ36" s="2"/>
      <c r="CC36" s="38"/>
      <c r="CG36" s="93" t="s">
        <v>251</v>
      </c>
      <c r="CH36" s="103" t="s">
        <v>252</v>
      </c>
      <c r="CI36" s="88" t="s">
        <v>253</v>
      </c>
    </row>
    <row r="37" spans="3:87" ht="17" customHeight="1">
      <c r="C37" s="115"/>
      <c r="D37" s="21" t="s">
        <v>122</v>
      </c>
      <c r="E37" s="71">
        <f>D12</f>
        <v>1</v>
      </c>
      <c r="F37" s="54" cm="1">
        <f t="array" ref="F37">MW_CH4</f>
        <v>1.6039999999999999E-2</v>
      </c>
      <c r="G37" s="54">
        <f>E37/F37</f>
        <v>62.344139650872826</v>
      </c>
      <c r="H37" s="71">
        <f>b_ch_CH4</f>
        <v>831.8</v>
      </c>
      <c r="I37" s="54">
        <f>G37/G37</f>
        <v>1</v>
      </c>
      <c r="J37" s="71">
        <f>LN(I37)</f>
        <v>0</v>
      </c>
      <c r="K37" s="71">
        <f>RT0*J37</f>
        <v>0</v>
      </c>
      <c r="L37" s="71">
        <f>H37+K37</f>
        <v>831.8</v>
      </c>
      <c r="M37" s="71">
        <f>L37*I37</f>
        <v>831.8</v>
      </c>
      <c r="N37" s="62">
        <f>G37*M37</f>
        <v>51857.855361596012</v>
      </c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78" t="s">
        <v>120</v>
      </c>
      <c r="AF37" s="67" t="s">
        <v>16</v>
      </c>
      <c r="AG37" s="76" t="s">
        <v>73</v>
      </c>
      <c r="AI37" s="2"/>
      <c r="AJ37" s="130" t="s">
        <v>137</v>
      </c>
      <c r="AK37" s="130"/>
      <c r="AL37" s="130"/>
      <c r="AM37" s="130"/>
      <c r="AN37" s="130"/>
      <c r="AO37" s="130"/>
      <c r="AP37" s="2"/>
      <c r="AQ37" s="2"/>
      <c r="AR37" s="80"/>
      <c r="AS37" s="2"/>
      <c r="AT37" s="2"/>
      <c r="AU37" s="2"/>
      <c r="AV37" s="2"/>
      <c r="AW37" s="2"/>
      <c r="AX37" s="2"/>
      <c r="BF37" s="19" t="s">
        <v>120</v>
      </c>
      <c r="BG37" s="78" t="s">
        <v>120</v>
      </c>
      <c r="BH37" s="101" t="s">
        <v>149</v>
      </c>
      <c r="BI37" s="94" t="s">
        <v>153</v>
      </c>
      <c r="BM37" s="87"/>
      <c r="BS37" s="2"/>
      <c r="BT37" s="2"/>
      <c r="BU37" s="2"/>
      <c r="BV37" s="2"/>
      <c r="BW37" s="2"/>
      <c r="BX37" s="2"/>
      <c r="CG37" s="78" t="s">
        <v>120</v>
      </c>
      <c r="CH37" s="101" t="s">
        <v>149</v>
      </c>
      <c r="CI37" s="94" t="s">
        <v>153</v>
      </c>
    </row>
    <row r="38" spans="3:87" ht="15.5" customHeight="1" thickBot="1">
      <c r="C38" s="74"/>
      <c r="D38" s="2" t="s">
        <v>25</v>
      </c>
      <c r="E38" s="2">
        <f>E37</f>
        <v>1</v>
      </c>
      <c r="F38" s="8">
        <f>F37</f>
        <v>1.6039999999999999E-2</v>
      </c>
      <c r="G38" s="8">
        <f>G37</f>
        <v>62.344139650872826</v>
      </c>
      <c r="H38" s="2"/>
      <c r="I38" s="8"/>
      <c r="J38" s="2"/>
      <c r="K38" s="2"/>
      <c r="L38" s="2"/>
      <c r="M38" s="2">
        <f>M37</f>
        <v>831.8</v>
      </c>
      <c r="N38" s="2">
        <f>G38*M38</f>
        <v>51857.855361596012</v>
      </c>
      <c r="O38" s="2"/>
      <c r="P38" s="2"/>
      <c r="Q38" s="2"/>
      <c r="R38" s="130" t="s">
        <v>138</v>
      </c>
      <c r="S38" s="130"/>
      <c r="T38" s="130"/>
      <c r="U38" s="130"/>
      <c r="V38" s="80"/>
      <c r="W38" s="80"/>
      <c r="X38" s="80"/>
      <c r="Y38" s="80"/>
      <c r="Z38" s="80"/>
      <c r="AA38" s="80"/>
      <c r="AB38" s="80"/>
      <c r="AC38" s="80"/>
      <c r="AD38" s="80"/>
      <c r="AE38" s="79">
        <v>298.14999999999998</v>
      </c>
      <c r="AF38" s="102">
        <f>X46</f>
        <v>18.123339650872822</v>
      </c>
      <c r="AG38" s="77">
        <f>AG46</f>
        <v>51628.353678519219</v>
      </c>
      <c r="AH38" s="80"/>
      <c r="AI38" s="80"/>
      <c r="AJ38" s="130"/>
      <c r="AK38" s="130"/>
      <c r="AL38" s="130"/>
      <c r="AM38" s="130"/>
      <c r="AN38" s="130"/>
      <c r="AO38" s="130"/>
      <c r="AP38" s="80"/>
      <c r="AQ38" s="80"/>
      <c r="AR38" s="2"/>
      <c r="AS38" s="2"/>
      <c r="AT38" s="2"/>
      <c r="AU38" s="2"/>
      <c r="AV38" s="2"/>
      <c r="AW38" s="2"/>
      <c r="AX38" s="2"/>
      <c r="BA38" s="2"/>
      <c r="BB38" s="2"/>
      <c r="BF38" s="20">
        <v>298.14999999999998</v>
      </c>
      <c r="BG38" s="79">
        <v>2236</v>
      </c>
      <c r="BH38" s="102">
        <f>AU46</f>
        <v>18.123524189526186</v>
      </c>
      <c r="BI38" s="77">
        <f>BI46</f>
        <v>35148.639922162285</v>
      </c>
      <c r="BL38" s="130" t="s">
        <v>157</v>
      </c>
      <c r="BM38" s="130"/>
      <c r="BN38" s="130"/>
      <c r="BO38" s="130"/>
      <c r="BS38" s="2"/>
      <c r="BT38" s="2"/>
      <c r="BU38" s="2"/>
      <c r="BV38" s="2"/>
      <c r="BW38" s="2"/>
      <c r="BX38" s="2"/>
      <c r="CG38" s="79">
        <v>298.14999999999998</v>
      </c>
      <c r="CH38" s="102">
        <f>BU43</f>
        <v>2.2462942643391526</v>
      </c>
      <c r="CI38" s="77">
        <f>CI45</f>
        <v>1594.0815165513104</v>
      </c>
    </row>
    <row r="39" spans="3:87" ht="15.5" customHeight="1">
      <c r="C39" s="74"/>
      <c r="D39" s="2"/>
      <c r="E39" s="2" t="s">
        <v>149</v>
      </c>
      <c r="F39" s="5" t="s">
        <v>151</v>
      </c>
      <c r="G39" s="5" t="s">
        <v>147</v>
      </c>
      <c r="H39" s="6"/>
      <c r="I39" s="6"/>
      <c r="M39" s="5" t="s">
        <v>156</v>
      </c>
      <c r="N39" s="2" t="s">
        <v>153</v>
      </c>
      <c r="O39" s="2"/>
      <c r="P39" s="2"/>
      <c r="Q39" s="2"/>
      <c r="R39" s="130"/>
      <c r="S39" s="130"/>
      <c r="T39" s="130"/>
      <c r="U39" s="130"/>
      <c r="V39" s="80"/>
      <c r="W39" s="80"/>
      <c r="X39" s="80"/>
      <c r="Y39" s="80"/>
      <c r="Z39" s="80"/>
      <c r="AA39" s="80"/>
      <c r="AB39" s="80"/>
      <c r="AC39" s="80"/>
      <c r="AD39" s="80"/>
      <c r="AE39" s="80"/>
      <c r="AF39" s="80"/>
      <c r="AG39" s="80"/>
      <c r="AH39" s="80"/>
      <c r="AI39" s="80"/>
      <c r="AJ39" s="130"/>
      <c r="AK39" s="130"/>
      <c r="AL39" s="130"/>
      <c r="AM39" s="130"/>
      <c r="AN39" s="130"/>
      <c r="AO39" s="130"/>
      <c r="AP39" s="80"/>
      <c r="AQ39" s="80"/>
      <c r="AR39" s="2"/>
      <c r="AS39" s="2"/>
      <c r="AT39" s="2"/>
      <c r="AU39" s="2"/>
      <c r="AV39" s="2"/>
      <c r="AW39" s="2"/>
      <c r="AX39" s="2"/>
      <c r="BL39" s="130"/>
      <c r="BM39" s="130"/>
      <c r="BN39" s="130"/>
      <c r="BO39" s="130"/>
      <c r="BS39" s="2"/>
      <c r="BT39" s="2"/>
      <c r="BU39" s="2"/>
      <c r="BV39" s="2"/>
      <c r="BW39" s="2"/>
      <c r="BX39" s="2"/>
    </row>
    <row r="40" spans="3:87" ht="15.5" customHeight="1" thickBot="1">
      <c r="C40" s="2"/>
      <c r="D40" s="2"/>
      <c r="E40" s="2"/>
      <c r="F40" s="2"/>
      <c r="G40" s="2"/>
      <c r="H40" s="2"/>
      <c r="I40" s="2"/>
      <c r="J40" s="2"/>
      <c r="K40" s="2"/>
      <c r="O40" s="2"/>
      <c r="P40" s="2"/>
      <c r="Q40" s="2"/>
      <c r="R40" s="130"/>
      <c r="S40" s="130"/>
      <c r="T40" s="130"/>
      <c r="U40" s="130"/>
      <c r="V40" s="80"/>
      <c r="W40" s="80"/>
      <c r="X40" s="80"/>
      <c r="Y40" s="80"/>
      <c r="Z40" s="80"/>
      <c r="AA40" s="80"/>
      <c r="AB40" s="80"/>
      <c r="AC40" s="80"/>
      <c r="AD40" s="80"/>
      <c r="AE40" s="80"/>
      <c r="AF40" s="80"/>
      <c r="AG40" s="80"/>
      <c r="AH40" s="80"/>
      <c r="AI40" s="80"/>
      <c r="AJ40" s="130"/>
      <c r="AK40" s="130"/>
      <c r="AL40" s="130"/>
      <c r="AM40" s="130"/>
      <c r="AN40" s="130"/>
      <c r="AO40" s="130"/>
      <c r="AP40" s="80"/>
      <c r="AQ40" s="80"/>
      <c r="AR40" s="2"/>
      <c r="AS40" s="86"/>
      <c r="AT40" s="2"/>
      <c r="AU40" s="2"/>
      <c r="AV40" s="2"/>
      <c r="AW40" s="2"/>
      <c r="AX40" s="2"/>
      <c r="BL40" s="130"/>
      <c r="BM40" s="130"/>
      <c r="BN40" s="130"/>
      <c r="BO40" s="130"/>
      <c r="BS40" s="2"/>
      <c r="BT40" s="2"/>
      <c r="BU40" s="2" t="s">
        <v>241</v>
      </c>
      <c r="BV40" s="2" t="s">
        <v>9</v>
      </c>
      <c r="BW40" s="2" t="s">
        <v>145</v>
      </c>
      <c r="BX40" s="2" t="s">
        <v>240</v>
      </c>
      <c r="BY40" s="2" t="s">
        <v>239</v>
      </c>
      <c r="BZ40" s="2" t="s">
        <v>13</v>
      </c>
      <c r="CA40" s="2" t="s">
        <v>238</v>
      </c>
      <c r="CB40" s="2" t="s">
        <v>237</v>
      </c>
      <c r="CC40" s="5" t="s">
        <v>232</v>
      </c>
      <c r="CD40" s="5" t="s">
        <v>233</v>
      </c>
      <c r="CE40" s="5" t="s">
        <v>163</v>
      </c>
      <c r="CF40" s="5" t="s">
        <v>164</v>
      </c>
      <c r="CG40" s="2" t="s">
        <v>236</v>
      </c>
      <c r="CH40" s="2" t="s">
        <v>234</v>
      </c>
      <c r="CI40" s="2" t="s">
        <v>235</v>
      </c>
    </row>
    <row r="41" spans="3:87" ht="20" customHeight="1" thickBot="1">
      <c r="C41" s="2"/>
      <c r="D41" s="2"/>
      <c r="E41" s="2"/>
      <c r="F41" s="2"/>
      <c r="G41" s="2"/>
      <c r="H41" s="2"/>
      <c r="I41" s="2"/>
      <c r="J41" s="2"/>
      <c r="K41" s="2"/>
      <c r="L41" s="93" t="s">
        <v>244</v>
      </c>
      <c r="M41" s="103" t="s">
        <v>245</v>
      </c>
      <c r="N41" s="88" t="s">
        <v>242</v>
      </c>
      <c r="O41" s="2"/>
      <c r="P41" s="2"/>
      <c r="Q41" s="2"/>
      <c r="R41" s="2"/>
      <c r="S41" s="2"/>
      <c r="T41" s="2"/>
      <c r="U41" s="2"/>
      <c r="V41" s="2"/>
      <c r="W41" s="2"/>
      <c r="X41" s="2" t="s">
        <v>215</v>
      </c>
      <c r="Y41" s="2" t="s">
        <v>9</v>
      </c>
      <c r="Z41" s="2" t="s">
        <v>145</v>
      </c>
      <c r="AA41" s="2" t="s">
        <v>216</v>
      </c>
      <c r="AB41" s="2" t="s">
        <v>217</v>
      </c>
      <c r="AC41" s="2" t="s">
        <v>13</v>
      </c>
      <c r="AD41" s="2" t="s">
        <v>218</v>
      </c>
      <c r="AE41" s="2" t="s">
        <v>219</v>
      </c>
      <c r="AF41" s="2" t="s">
        <v>220</v>
      </c>
      <c r="AG41" s="2" t="s">
        <v>221</v>
      </c>
      <c r="AH41" s="2"/>
      <c r="AI41" s="2"/>
      <c r="AJ41" s="130"/>
      <c r="AK41" s="130"/>
      <c r="AL41" s="130"/>
      <c r="AM41" s="130"/>
      <c r="AN41" s="130"/>
      <c r="AO41" s="130"/>
      <c r="AP41" s="2"/>
      <c r="AQ41" s="2"/>
      <c r="AR41" s="2"/>
      <c r="AS41" s="86"/>
      <c r="AT41" s="2"/>
      <c r="AU41" s="2" t="s">
        <v>224</v>
      </c>
      <c r="AV41" s="2" t="s">
        <v>9</v>
      </c>
      <c r="AW41" s="2" t="s">
        <v>145</v>
      </c>
      <c r="AX41" s="2" t="s">
        <v>225</v>
      </c>
      <c r="AY41" s="2" t="s">
        <v>226</v>
      </c>
      <c r="AZ41" s="2" t="s">
        <v>13</v>
      </c>
      <c r="BA41" s="2" t="s">
        <v>227</v>
      </c>
      <c r="BB41" s="2" t="s">
        <v>228</v>
      </c>
      <c r="BC41" s="5" t="s">
        <v>222</v>
      </c>
      <c r="BD41" s="5" t="s">
        <v>223</v>
      </c>
      <c r="BE41" s="5" t="s">
        <v>163</v>
      </c>
      <c r="BF41" s="5" t="s">
        <v>164</v>
      </c>
      <c r="BG41" s="2" t="s">
        <v>231</v>
      </c>
      <c r="BH41" s="2" t="s">
        <v>229</v>
      </c>
      <c r="BI41" s="2" t="s">
        <v>230</v>
      </c>
      <c r="BJ41" s="2"/>
      <c r="BM41" s="87"/>
      <c r="BQ41" s="2"/>
      <c r="BR41" s="2"/>
      <c r="BS41" s="2"/>
      <c r="BT41" s="2"/>
      <c r="BU41" s="2" t="s">
        <v>148</v>
      </c>
      <c r="BV41" s="2" t="s">
        <v>150</v>
      </c>
      <c r="BW41" s="4" t="s">
        <v>146</v>
      </c>
      <c r="BX41" s="4" t="s">
        <v>155</v>
      </c>
      <c r="BY41" s="4" t="s">
        <v>38</v>
      </c>
      <c r="BZ41" s="4" t="s">
        <v>158</v>
      </c>
      <c r="CA41" s="4" t="s">
        <v>155</v>
      </c>
      <c r="CB41" s="4" t="s">
        <v>155</v>
      </c>
      <c r="CC41" s="6" t="s">
        <v>166</v>
      </c>
      <c r="CD41" s="6" t="s">
        <v>165</v>
      </c>
      <c r="CE41" s="6" t="s">
        <v>166</v>
      </c>
      <c r="CF41" s="6" t="s">
        <v>165</v>
      </c>
      <c r="CG41" s="6" t="s">
        <v>166</v>
      </c>
      <c r="CH41" s="2" t="s">
        <v>154</v>
      </c>
      <c r="CI41" s="2" t="s">
        <v>152</v>
      </c>
    </row>
    <row r="42" spans="3:87" ht="20" customHeight="1">
      <c r="C42" s="2"/>
      <c r="D42" s="2"/>
      <c r="E42" s="2"/>
      <c r="F42" s="2"/>
      <c r="G42" s="2"/>
      <c r="H42" s="2"/>
      <c r="I42" s="2"/>
      <c r="J42" s="2"/>
      <c r="K42" s="2"/>
      <c r="L42" s="78" t="s">
        <v>120</v>
      </c>
      <c r="M42" s="67" t="s">
        <v>16</v>
      </c>
      <c r="N42" s="76" t="s">
        <v>73</v>
      </c>
      <c r="O42" s="2"/>
      <c r="P42" s="2"/>
      <c r="Q42" s="2"/>
      <c r="R42" s="2"/>
      <c r="S42" s="35" t="s">
        <v>139</v>
      </c>
      <c r="T42" s="82" t="s">
        <v>140</v>
      </c>
      <c r="U42" s="2"/>
      <c r="V42" s="2"/>
      <c r="W42" s="10"/>
      <c r="X42" s="2" t="s">
        <v>148</v>
      </c>
      <c r="Y42" s="2" t="s">
        <v>150</v>
      </c>
      <c r="Z42" s="4" t="s">
        <v>146</v>
      </c>
      <c r="AA42" s="4" t="s">
        <v>155</v>
      </c>
      <c r="AB42" s="2" t="s">
        <v>158</v>
      </c>
      <c r="AC42" s="4" t="s">
        <v>38</v>
      </c>
      <c r="AD42" s="4" t="s">
        <v>155</v>
      </c>
      <c r="AE42" s="4" t="s">
        <v>155</v>
      </c>
      <c r="AF42" s="4" t="s">
        <v>154</v>
      </c>
      <c r="AG42" s="2" t="s">
        <v>152</v>
      </c>
      <c r="AH42" s="2"/>
      <c r="AI42" s="2"/>
      <c r="AJ42" s="130"/>
      <c r="AK42" s="130"/>
      <c r="AL42" s="130"/>
      <c r="AM42" s="130"/>
      <c r="AN42" s="130"/>
      <c r="AO42" s="130"/>
      <c r="AP42" s="2"/>
      <c r="AQ42" s="2"/>
      <c r="AR42" s="2"/>
      <c r="AS42" s="86"/>
      <c r="AT42" s="2"/>
      <c r="AU42" s="2" t="s">
        <v>148</v>
      </c>
      <c r="AV42" s="2" t="s">
        <v>150</v>
      </c>
      <c r="AW42" s="4" t="s">
        <v>146</v>
      </c>
      <c r="AX42" s="4" t="s">
        <v>155</v>
      </c>
      <c r="AY42" s="4" t="s">
        <v>38</v>
      </c>
      <c r="AZ42" s="4" t="s">
        <v>158</v>
      </c>
      <c r="BA42" s="4" t="s">
        <v>155</v>
      </c>
      <c r="BB42" s="4" t="s">
        <v>155</v>
      </c>
      <c r="BC42" s="6" t="s">
        <v>166</v>
      </c>
      <c r="BD42" s="6" t="s">
        <v>165</v>
      </c>
      <c r="BE42" s="6" t="s">
        <v>166</v>
      </c>
      <c r="BF42" s="6" t="s">
        <v>165</v>
      </c>
      <c r="BG42" s="6" t="s">
        <v>166</v>
      </c>
      <c r="BH42" s="2" t="s">
        <v>154</v>
      </c>
      <c r="BI42" s="2" t="s">
        <v>152</v>
      </c>
      <c r="BJ42" s="2"/>
      <c r="BM42" s="35" t="s">
        <v>139</v>
      </c>
      <c r="BN42" s="82" t="s">
        <v>167</v>
      </c>
      <c r="BQ42" s="2"/>
      <c r="BR42" s="2"/>
      <c r="BS42" s="2"/>
      <c r="BT42" s="39" t="s">
        <v>32</v>
      </c>
      <c r="BU42" s="11">
        <f>AU43</f>
        <v>2.7437655860349133</v>
      </c>
      <c r="BV42" s="40">
        <f>MW_CO2</f>
        <v>4.4010000000000001E-2</v>
      </c>
      <c r="BW42" s="40">
        <f>BU42/BV42</f>
        <v>62.344139650872833</v>
      </c>
      <c r="BX42" s="72">
        <f>b_ch_CO2</f>
        <v>19.900000000000034</v>
      </c>
      <c r="BY42" s="40">
        <f>BW42/$AW$46</f>
        <v>9.5057034220532341E-2</v>
      </c>
      <c r="BZ42" s="11">
        <f>LN(BY42)</f>
        <v>-2.3532782073095637</v>
      </c>
      <c r="CA42" s="11">
        <f>RT0*BZ42</f>
        <v>-5.3442220925034132</v>
      </c>
      <c r="CB42" s="11">
        <f>BX42+CA42</f>
        <v>14.555777907496621</v>
      </c>
      <c r="CC42" s="92">
        <f>h_0_CO2</f>
        <v>9.3640000000000008</v>
      </c>
      <c r="CD42" s="92">
        <f>s_0_CO2</f>
        <v>0.21368500000000001</v>
      </c>
      <c r="CE42" s="92">
        <f>h_0_CO2</f>
        <v>9.3640000000000008</v>
      </c>
      <c r="CF42" s="92">
        <f>s_0_CO2</f>
        <v>0.21368500000000001</v>
      </c>
      <c r="CG42" s="92">
        <f>(CC42-CE42)-$BA$38*(CD42-CF42)</f>
        <v>0</v>
      </c>
      <c r="CH42" s="92">
        <f>BY42*(CB42+CG42)</f>
        <v>1.383629078659375</v>
      </c>
      <c r="CI42" s="92">
        <f>CH42*$AW$46</f>
        <v>907.46745059205898</v>
      </c>
    </row>
    <row r="43" spans="3:87" ht="18" thickBot="1">
      <c r="C43" s="2"/>
      <c r="D43" s="2"/>
      <c r="E43" s="2"/>
      <c r="F43" s="2"/>
      <c r="G43" s="2"/>
      <c r="H43" s="2"/>
      <c r="I43" s="2"/>
      <c r="J43" s="2"/>
      <c r="K43" s="2"/>
      <c r="L43" s="79">
        <v>298.14999999999998</v>
      </c>
      <c r="M43" s="102">
        <f>E49</f>
        <v>17.123339650872822</v>
      </c>
      <c r="N43" s="77">
        <f>N49</f>
        <v>134.04254711570292</v>
      </c>
      <c r="O43" s="2"/>
      <c r="P43" s="2"/>
      <c r="Q43" s="2"/>
      <c r="R43" s="2"/>
      <c r="S43" s="15" t="s">
        <v>73</v>
      </c>
      <c r="T43" s="15" t="s">
        <v>141</v>
      </c>
      <c r="U43" s="2"/>
      <c r="V43" s="2"/>
      <c r="W43" s="21" t="s">
        <v>122</v>
      </c>
      <c r="X43" s="40">
        <f>E37</f>
        <v>1</v>
      </c>
      <c r="Y43" s="40">
        <f>MW_CH4</f>
        <v>1.6039999999999999E-2</v>
      </c>
      <c r="Z43" s="40">
        <f>X43/Y43</f>
        <v>62.344139650872826</v>
      </c>
      <c r="AA43" s="72">
        <f>b_ch_CH4</f>
        <v>831.8</v>
      </c>
      <c r="AB43" s="40">
        <f>Z43/Z46</f>
        <v>0.16666666666666666</v>
      </c>
      <c r="AC43" s="40">
        <f>LN(AB43)</f>
        <v>-1.791759469228055</v>
      </c>
      <c r="AD43" s="40">
        <f>RT0*AC43</f>
        <v>-4.0690303892493134</v>
      </c>
      <c r="AE43" s="11">
        <f>AA43+AD43</f>
        <v>827.73096961075066</v>
      </c>
      <c r="AF43" s="11">
        <f>AE43*AB43</f>
        <v>137.95516160179176</v>
      </c>
      <c r="AG43" s="85">
        <f>AF43*$Z$46</f>
        <v>51604.175162765008</v>
      </c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86"/>
      <c r="AT43" s="39" t="s">
        <v>32</v>
      </c>
      <c r="AU43" s="11">
        <f>M12</f>
        <v>2.7437655860349133</v>
      </c>
      <c r="AV43" s="40">
        <f>MW_CO2</f>
        <v>4.4010000000000001E-2</v>
      </c>
      <c r="AW43" s="40">
        <f>AU43/AV43</f>
        <v>62.344139650872833</v>
      </c>
      <c r="AX43" s="72">
        <f>b_ch_CO2</f>
        <v>19.900000000000034</v>
      </c>
      <c r="AY43" s="40">
        <f>AW43/$AW$46</f>
        <v>9.5057034220532341E-2</v>
      </c>
      <c r="AZ43" s="11">
        <f>LN(AY43)</f>
        <v>-2.3532782073095637</v>
      </c>
      <c r="BA43" s="11">
        <f>RT0*AZ43</f>
        <v>-5.3442220925034132</v>
      </c>
      <c r="BB43" s="11">
        <f>AX43+BA43</f>
        <v>14.555777907496621</v>
      </c>
      <c r="BC43" s="92">
        <f>h_CO2</f>
        <v>115.1314</v>
      </c>
      <c r="BD43" s="92">
        <f>s_CO2</f>
        <v>0.31597000000000003</v>
      </c>
      <c r="BE43" s="92">
        <f>h_0_CO2</f>
        <v>9.3640000000000008</v>
      </c>
      <c r="BF43" s="92">
        <f>s_0_CO2</f>
        <v>0.21368500000000001</v>
      </c>
      <c r="BG43" s="92">
        <f>(BC43-BE43)-$BF$38*(BD43-BF43)</f>
        <v>75.271127249999992</v>
      </c>
      <c r="BH43" s="92">
        <f>AY43*(BB43+BG43)</f>
        <v>8.5386791974806684</v>
      </c>
      <c r="BI43" s="92">
        <f>BH43*$AW$46</f>
        <v>5600.181119544678</v>
      </c>
      <c r="BJ43" s="2"/>
      <c r="BM43" s="15" t="s">
        <v>73</v>
      </c>
      <c r="BN43" s="15" t="s">
        <v>141</v>
      </c>
      <c r="BT43" s="37" t="s">
        <v>125</v>
      </c>
      <c r="BU43" s="2">
        <f>AU44</f>
        <v>2.2462942643391526</v>
      </c>
      <c r="BV43" s="8">
        <f>MW_H2O</f>
        <v>1.8015280000000002E-2</v>
      </c>
      <c r="BW43" s="8">
        <f>BU43/BV43</f>
        <v>124.68827930174565</v>
      </c>
      <c r="BX43" s="10">
        <f>b_ch_H2O</f>
        <v>9.5113440000000082</v>
      </c>
      <c r="BY43" s="8">
        <f>BW43/$AW$46</f>
        <v>0.19011406844106465</v>
      </c>
      <c r="BZ43" s="2">
        <f>LN(BY43)</f>
        <v>-1.6601310267496183</v>
      </c>
      <c r="CA43" s="2">
        <f>RT0*BZ43</f>
        <v>-3.7701062636996565</v>
      </c>
      <c r="CB43" s="2">
        <f>BX43+CA43</f>
        <v>5.7412377363003522</v>
      </c>
      <c r="CC43" s="2">
        <f>h_0_H2O</f>
        <v>9.9039999999999999</v>
      </c>
      <c r="CD43" s="2">
        <f>s_0_H2O</f>
        <v>0.18872</v>
      </c>
      <c r="CE43" s="2">
        <f>h_0_H2O</f>
        <v>9.9039999999999999</v>
      </c>
      <c r="CF43" s="2">
        <f>s_0_H2O</f>
        <v>0.18872</v>
      </c>
      <c r="CG43" s="6">
        <f>(CC43-CE43)-$BA$38*(CD43-CF43)</f>
        <v>0</v>
      </c>
      <c r="CH43" s="6">
        <f t="shared" ref="CH43:CH44" si="2">BY43*(CB43+CG43)</f>
        <v>1.0914900639354284</v>
      </c>
      <c r="CI43" s="6">
        <f>CH43*$AW$46</f>
        <v>715.86505440154031</v>
      </c>
    </row>
    <row r="44" spans="3:87" ht="19.25" customHeight="1" thickBot="1">
      <c r="C44" s="125" t="s">
        <v>142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16">
        <f>(N43+N33)-AG38</f>
        <v>363.54423019249225</v>
      </c>
      <c r="T44" s="16">
        <f>AG38/(N43+N33)</f>
        <v>0.99300767533374512</v>
      </c>
      <c r="U44" s="2"/>
      <c r="V44" s="2"/>
      <c r="W44" s="21" t="s">
        <v>41</v>
      </c>
      <c r="X44" s="8">
        <f>E47</f>
        <v>3.9898753117206991</v>
      </c>
      <c r="Y44" s="8">
        <f>MW_O2</f>
        <v>3.1998800000000001E-2</v>
      </c>
      <c r="Z44" s="8">
        <f>X44/Y44</f>
        <v>124.68827930174565</v>
      </c>
      <c r="AA44" s="10">
        <f>b_ch_O2</f>
        <v>4</v>
      </c>
      <c r="AB44" s="8">
        <f>Z44/Z46</f>
        <v>0.33333333333333331</v>
      </c>
      <c r="AC44" s="8">
        <f>LN(AB44)</f>
        <v>-1.0986122886681098</v>
      </c>
      <c r="AD44" s="8">
        <f>RT0*AC44</f>
        <v>-2.4949145604455572</v>
      </c>
      <c r="AE44" s="2">
        <f>AA44+AD44</f>
        <v>1.5050854395544428</v>
      </c>
      <c r="AF44" s="2">
        <f>AE44*AB44</f>
        <v>0.50169514651814762</v>
      </c>
      <c r="AG44" s="36">
        <f t="shared" ref="AG44:AG45" si="3">AF44*$Z$46</f>
        <v>187.666513660155</v>
      </c>
      <c r="AH44" s="2"/>
      <c r="AI44" s="2"/>
      <c r="AJ44" s="2"/>
      <c r="AK44" s="2"/>
      <c r="AL44" s="35" t="s">
        <v>139</v>
      </c>
      <c r="AM44" s="82" t="s">
        <v>143</v>
      </c>
      <c r="AN44" s="2"/>
      <c r="AO44" s="2"/>
      <c r="AP44" s="2"/>
      <c r="AQ44" s="2"/>
      <c r="AR44" s="2"/>
      <c r="AS44" s="74"/>
      <c r="AT44" s="37" t="s">
        <v>125</v>
      </c>
      <c r="AU44" s="2">
        <f>M13</f>
        <v>2.2462942643391526</v>
      </c>
      <c r="AV44" s="8">
        <f>MW_H2O</f>
        <v>1.8015280000000002E-2</v>
      </c>
      <c r="AW44" s="8">
        <f>AU44/AV44</f>
        <v>124.68827930174565</v>
      </c>
      <c r="AX44" s="10">
        <f>b_ch_H2O</f>
        <v>9.5113440000000082</v>
      </c>
      <c r="AY44" s="8">
        <f>AW44/$AW$46</f>
        <v>0.19011406844106465</v>
      </c>
      <c r="AZ44" s="2">
        <f>LN(AY44)</f>
        <v>-1.6601310267496183</v>
      </c>
      <c r="BA44" s="2">
        <f>RT0*AZ44</f>
        <v>-3.7701062636996565</v>
      </c>
      <c r="BB44" s="2">
        <f>AX44+BA44</f>
        <v>5.7412377363003522</v>
      </c>
      <c r="BC44" s="2">
        <f>h_H2O</f>
        <v>94.827839999999995</v>
      </c>
      <c r="BD44" s="2">
        <f>s_H2O</f>
        <v>0.27035000000000003</v>
      </c>
      <c r="BE44" s="2">
        <f>h_0_H2O</f>
        <v>9.9039999999999999</v>
      </c>
      <c r="BF44" s="2">
        <f>s_0_H2O</f>
        <v>0.18872</v>
      </c>
      <c r="BG44" s="6">
        <f t="shared" ref="BG44:BG45" si="4">(BC44-BE44)-$BF$38*(BD44-BF44)</f>
        <v>60.585855499999994</v>
      </c>
      <c r="BH44" s="6">
        <f t="shared" ref="BH44:BH45" si="5">AY44*(BB44+BG44)</f>
        <v>12.609713543022879</v>
      </c>
      <c r="BI44" s="6">
        <f>BH44*$AW$46</f>
        <v>8270.211126720742</v>
      </c>
      <c r="BJ44" s="2"/>
      <c r="BK44" s="6"/>
      <c r="BM44" s="16">
        <f>BI38-BR38</f>
        <v>35148.639922162285</v>
      </c>
      <c r="BN44" s="16">
        <f>CI38/BI38</f>
        <v>4.5352580358200251E-2</v>
      </c>
      <c r="BT44" s="89" t="s">
        <v>124</v>
      </c>
      <c r="BU44" s="41">
        <f>AU45</f>
        <v>13.133464339152122</v>
      </c>
      <c r="BV44" s="42">
        <f>MW_N2</f>
        <v>2.8013400000000001E-2</v>
      </c>
      <c r="BW44" s="42">
        <f>BU44/BV44</f>
        <v>468.82793017456362</v>
      </c>
      <c r="BX44" s="90">
        <f>b_ch_N2</f>
        <v>0.7</v>
      </c>
      <c r="BY44" s="42">
        <f>BW44/$AW$46</f>
        <v>0.71482889733840305</v>
      </c>
      <c r="BZ44" s="4">
        <f>LN(BY44)</f>
        <v>-0.33571206934781533</v>
      </c>
      <c r="CA44" s="4">
        <f>RT0*BZ44</f>
        <v>-0.76239173598594567</v>
      </c>
      <c r="CB44" s="4">
        <f>BX44+CA44</f>
        <v>-6.2391735985945718E-2</v>
      </c>
      <c r="CC44" s="2">
        <f>h_0_N2</f>
        <v>8.6690000000000005</v>
      </c>
      <c r="CD44" s="2">
        <f>s_0_N2</f>
        <v>0.19150200000000001</v>
      </c>
      <c r="CE44" s="2">
        <f>h_0_N2</f>
        <v>8.6690000000000005</v>
      </c>
      <c r="CF44" s="2">
        <f>s_0_N2</f>
        <v>0.19150200000000001</v>
      </c>
      <c r="CG44" s="6">
        <f>(CC44-CE44)-$BA$38*(CD44-CF44)</f>
        <v>0</v>
      </c>
      <c r="CH44" s="6">
        <f t="shared" si="2"/>
        <v>-4.4599415837862338E-2</v>
      </c>
      <c r="CI44" s="6">
        <f>CH44*$AW$46</f>
        <v>-29.250988442288769</v>
      </c>
    </row>
    <row r="45" spans="3:87" ht="18">
      <c r="C45" s="125"/>
      <c r="D45" s="2"/>
      <c r="E45" s="2" t="s">
        <v>209</v>
      </c>
      <c r="F45" s="2" t="s">
        <v>9</v>
      </c>
      <c r="G45" s="2" t="s">
        <v>145</v>
      </c>
      <c r="H45" s="2" t="s">
        <v>207</v>
      </c>
      <c r="I45" s="2" t="s">
        <v>206</v>
      </c>
      <c r="J45" s="2" t="s">
        <v>13</v>
      </c>
      <c r="K45" s="2" t="s">
        <v>211</v>
      </c>
      <c r="L45" s="2" t="s">
        <v>212</v>
      </c>
      <c r="M45" s="2" t="s">
        <v>213</v>
      </c>
      <c r="N45" s="2" t="s">
        <v>214</v>
      </c>
      <c r="O45" s="2"/>
      <c r="P45" s="2"/>
      <c r="Q45" s="2"/>
      <c r="R45" s="2"/>
      <c r="S45" s="2"/>
      <c r="T45" s="2"/>
      <c r="U45" s="2"/>
      <c r="V45" s="2"/>
      <c r="W45" s="68" t="s">
        <v>124</v>
      </c>
      <c r="X45" s="10">
        <f>E48</f>
        <v>13.133464339152122</v>
      </c>
      <c r="Y45" s="8">
        <f>MW_N2</f>
        <v>2.8013400000000001E-2</v>
      </c>
      <c r="Z45" s="10">
        <f>SUM(Z43:Z44)</f>
        <v>187.03241895261849</v>
      </c>
      <c r="AA45" s="10">
        <f>b_ch_N2</f>
        <v>0.7</v>
      </c>
      <c r="AB45" s="8">
        <f>Z45/Z46</f>
        <v>0.5</v>
      </c>
      <c r="AC45" s="8">
        <f>LN(AB45)</f>
        <v>-0.69314718055994529</v>
      </c>
      <c r="AD45" s="8">
        <f>RT0*AC45</f>
        <v>-1.5741158288037564</v>
      </c>
      <c r="AE45" s="2">
        <f>AA45+AD45</f>
        <v>-0.87411582880375649</v>
      </c>
      <c r="AF45" s="2">
        <f>AE45*AB45</f>
        <v>-0.43705791440187824</v>
      </c>
      <c r="AG45" s="26">
        <f t="shared" si="3"/>
        <v>-163.48799790593952</v>
      </c>
      <c r="AH45" s="10"/>
      <c r="AI45" s="2"/>
      <c r="AJ45" s="2"/>
      <c r="AK45" s="2"/>
      <c r="AL45" s="15" t="s">
        <v>73</v>
      </c>
      <c r="AM45" s="15" t="s">
        <v>141</v>
      </c>
      <c r="AN45" s="2"/>
      <c r="AO45" s="2"/>
      <c r="AP45" s="2"/>
      <c r="AQ45" s="2"/>
      <c r="AR45" s="2"/>
      <c r="AS45" s="74"/>
      <c r="AT45" s="89" t="s">
        <v>124</v>
      </c>
      <c r="AU45" s="41">
        <f>M14</f>
        <v>13.133464339152122</v>
      </c>
      <c r="AV45" s="42">
        <f>MW_N2</f>
        <v>2.8013400000000001E-2</v>
      </c>
      <c r="AW45" s="42">
        <f>AU45/AV45</f>
        <v>468.82793017456362</v>
      </c>
      <c r="AX45" s="90">
        <f>b_ch_N2</f>
        <v>0.7</v>
      </c>
      <c r="AY45" s="42">
        <f>AW45/$AW$46</f>
        <v>0.71482889733840305</v>
      </c>
      <c r="AZ45" s="4">
        <f>LN(AY45)</f>
        <v>-0.33571206934781533</v>
      </c>
      <c r="BA45" s="4">
        <f>RT0*AZ45</f>
        <v>-0.76239173598594567</v>
      </c>
      <c r="BB45" s="4">
        <f>AX45+BA45</f>
        <v>-6.2391735985945718E-2</v>
      </c>
      <c r="BC45" s="2">
        <f>h_N2</f>
        <v>73.347520000000003</v>
      </c>
      <c r="BD45" s="2">
        <f>s_N2</f>
        <v>0.25600000000000001</v>
      </c>
      <c r="BE45" s="2">
        <f>h_0_N2</f>
        <v>8.6690000000000005</v>
      </c>
      <c r="BF45" s="2">
        <f>s_0_N2</f>
        <v>0.19150200000000001</v>
      </c>
      <c r="BG45" s="6">
        <f t="shared" si="4"/>
        <v>45.448441300000006</v>
      </c>
      <c r="BH45" s="6">
        <f t="shared" si="5"/>
        <v>32.443259764390277</v>
      </c>
      <c r="BI45" s="6">
        <f>BH45*$AW$46</f>
        <v>21278.247675896866</v>
      </c>
      <c r="BJ45" s="2"/>
      <c r="BK45" s="6"/>
      <c r="BM45" s="87"/>
      <c r="BQ45" s="10"/>
      <c r="BR45" s="10"/>
      <c r="BS45" s="74"/>
      <c r="BT45" s="6" t="s">
        <v>25</v>
      </c>
      <c r="BU45" s="6">
        <f>SUM(BU42:BU44)</f>
        <v>18.123524189526186</v>
      </c>
      <c r="BV45" s="6">
        <f>BY42*BV42 + BY43*BV43 + BY44*BV44</f>
        <v>2.7633206083650191E-2</v>
      </c>
      <c r="BW45" s="6">
        <f>SUM(BW42:BW44)</f>
        <v>655.86034912718208</v>
      </c>
      <c r="BX45" s="6"/>
      <c r="BY45" s="6">
        <f>SUM(BY42:BY44)</f>
        <v>1</v>
      </c>
      <c r="CB45" s="25">
        <f>SUM(CB42:CB44)</f>
        <v>20.234623907811031</v>
      </c>
      <c r="CC45" s="25"/>
      <c r="CD45" s="25"/>
      <c r="CE45" s="25"/>
      <c r="CF45" s="25"/>
      <c r="CG45" s="25">
        <f>SUM(CG42:CG44)</f>
        <v>0</v>
      </c>
      <c r="CH45" s="25">
        <f>SUM(CH42:CH44)</f>
        <v>2.4305197267569412</v>
      </c>
      <c r="CI45" s="25">
        <f>SUM(CI42:CI44)</f>
        <v>1594.0815165513104</v>
      </c>
    </row>
    <row r="46" spans="3:87" ht="19" thickBot="1">
      <c r="C46" s="125"/>
      <c r="D46" s="10"/>
      <c r="E46" s="2" t="s">
        <v>148</v>
      </c>
      <c r="F46" s="2" t="s">
        <v>150</v>
      </c>
      <c r="G46" s="4" t="s">
        <v>146</v>
      </c>
      <c r="H46" s="2" t="s">
        <v>19</v>
      </c>
      <c r="I46" s="2" t="s">
        <v>158</v>
      </c>
      <c r="J46" s="2" t="s">
        <v>38</v>
      </c>
      <c r="K46" s="2" t="s">
        <v>19</v>
      </c>
      <c r="L46" s="2" t="s">
        <v>19</v>
      </c>
      <c r="M46" s="2" t="s">
        <v>39</v>
      </c>
      <c r="N46" s="2" t="s">
        <v>73</v>
      </c>
      <c r="O46" s="2"/>
      <c r="P46" s="2"/>
      <c r="Q46" s="2"/>
      <c r="R46" s="2"/>
      <c r="S46" s="2"/>
      <c r="T46" s="2"/>
      <c r="U46" s="2"/>
      <c r="V46" s="2"/>
      <c r="W46" s="11" t="s">
        <v>25</v>
      </c>
      <c r="X46" s="11">
        <f>SUM(X43:X45)</f>
        <v>18.123339650872822</v>
      </c>
      <c r="Y46" s="11">
        <f>AB43*Y43 + AB44*Y44 + AB45*Y45</f>
        <v>2.73463E-2</v>
      </c>
      <c r="Z46" s="11">
        <f>SUM(Z43:Z45)</f>
        <v>374.06483790523697</v>
      </c>
      <c r="AA46" s="11"/>
      <c r="AB46" s="11">
        <f>SUM(AB43:AB45)</f>
        <v>1</v>
      </c>
      <c r="AC46" s="11"/>
      <c r="AD46" s="11"/>
      <c r="AE46" s="11"/>
      <c r="AF46" s="11">
        <f>SUM(AF43:AF45)</f>
        <v>138.01979883390803</v>
      </c>
      <c r="AG46" s="11">
        <f>SUM(AG43:AG45)</f>
        <v>51628.353678519219</v>
      </c>
      <c r="AH46" s="2"/>
      <c r="AI46" s="2"/>
      <c r="AJ46" s="2"/>
      <c r="AK46" s="2"/>
      <c r="AL46" s="16">
        <f>AG38-BI38</f>
        <v>16479.713756356934</v>
      </c>
      <c r="AM46" s="16">
        <f>BI38/AG38</f>
        <v>0.68080109896640817</v>
      </c>
      <c r="AN46" s="2"/>
      <c r="AO46" s="2"/>
      <c r="AP46" s="2"/>
      <c r="AQ46" s="2"/>
      <c r="AR46" s="2"/>
      <c r="AS46" s="74"/>
      <c r="AT46" s="6" t="s">
        <v>25</v>
      </c>
      <c r="AU46" s="6">
        <f>SUM(AU43:AU45)</f>
        <v>18.123524189526186</v>
      </c>
      <c r="AV46" s="6">
        <f>AY43*AV43 + AY44*AV44 + AY45*AV45</f>
        <v>2.7633206083650191E-2</v>
      </c>
      <c r="AW46" s="6">
        <f>SUM(AW43:AW45)</f>
        <v>655.86034912718208</v>
      </c>
      <c r="AX46" s="6"/>
      <c r="AY46" s="6">
        <f>SUM(AY43:AY45)</f>
        <v>1</v>
      </c>
      <c r="BB46" s="25">
        <f>SUM(BB43:BB45)</f>
        <v>20.234623907811031</v>
      </c>
      <c r="BC46" s="25"/>
      <c r="BD46" s="25"/>
      <c r="BE46" s="25"/>
      <c r="BF46" s="25"/>
      <c r="BG46" s="25">
        <f>SUM(BG43:BG45)</f>
        <v>181.30542405</v>
      </c>
      <c r="BH46" s="25">
        <f>SUM(BH43:BH45)</f>
        <v>53.591652504893823</v>
      </c>
      <c r="BI46" s="25">
        <f>SUM(BI43:BI45)</f>
        <v>35148.639922162285</v>
      </c>
      <c r="BK46" s="6"/>
      <c r="BM46" s="87"/>
      <c r="BQ46" s="6"/>
      <c r="BR46" s="6"/>
      <c r="BS46" s="74"/>
      <c r="BT46" s="6"/>
      <c r="BU46" s="2" t="s">
        <v>149</v>
      </c>
      <c r="BV46" s="5" t="s">
        <v>151</v>
      </c>
      <c r="BW46" s="5" t="s">
        <v>147</v>
      </c>
      <c r="BX46" s="6"/>
      <c r="BY46" s="6"/>
      <c r="CD46" s="2"/>
      <c r="CE46" s="2"/>
      <c r="CF46" s="2"/>
      <c r="CG46" s="5" t="s">
        <v>156</v>
      </c>
      <c r="CH46" s="5" t="s">
        <v>156</v>
      </c>
      <c r="CI46" s="2" t="s">
        <v>153</v>
      </c>
    </row>
    <row r="47" spans="3:87" ht="18">
      <c r="C47" s="125"/>
      <c r="D47" s="25" t="s">
        <v>41</v>
      </c>
      <c r="E47" s="40">
        <f>D13</f>
        <v>3.9898753117206991</v>
      </c>
      <c r="F47" s="40">
        <f>MW_O2</f>
        <v>3.1998800000000001E-2</v>
      </c>
      <c r="G47" s="40">
        <f>E47/F47</f>
        <v>124.68827930174565</v>
      </c>
      <c r="H47" s="72">
        <f>b_ch_O2</f>
        <v>4</v>
      </c>
      <c r="I47" s="40">
        <f>G47/G49</f>
        <v>0.21008403361344538</v>
      </c>
      <c r="J47" s="40">
        <f>LN(I47)</f>
        <v>-1.5602476682433286</v>
      </c>
      <c r="K47" s="40">
        <f>RT0*J47</f>
        <v>-3.5432742429276503</v>
      </c>
      <c r="L47" s="11">
        <f>H47+K47</f>
        <v>0.45672575707234975</v>
      </c>
      <c r="M47" s="11">
        <f>L47*I47</f>
        <v>9.5950789300913816E-2</v>
      </c>
      <c r="N47" s="85">
        <f>M47*$G$49</f>
        <v>56.94834876213838</v>
      </c>
      <c r="O47" s="2"/>
      <c r="P47" s="2"/>
      <c r="Q47" s="2"/>
      <c r="R47" s="2"/>
      <c r="S47" s="2"/>
      <c r="T47" s="2"/>
      <c r="U47" s="2"/>
      <c r="V47" s="2"/>
      <c r="W47" s="2"/>
      <c r="X47" s="2" t="s">
        <v>149</v>
      </c>
      <c r="Y47" s="5" t="s">
        <v>151</v>
      </c>
      <c r="Z47" s="5" t="s">
        <v>147</v>
      </c>
      <c r="AA47" s="6"/>
      <c r="AB47" s="6"/>
      <c r="AF47" s="5" t="s">
        <v>156</v>
      </c>
      <c r="AG47" s="2" t="s">
        <v>153</v>
      </c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74"/>
      <c r="AT47" s="6"/>
      <c r="AU47" s="2" t="s">
        <v>149</v>
      </c>
      <c r="AV47" s="5" t="s">
        <v>151</v>
      </c>
      <c r="AW47" s="5" t="s">
        <v>147</v>
      </c>
      <c r="AX47" s="6"/>
      <c r="AY47" s="6"/>
      <c r="BD47" s="2"/>
      <c r="BE47" s="2"/>
      <c r="BF47" s="2"/>
      <c r="BG47" s="5" t="s">
        <v>156</v>
      </c>
      <c r="BH47" s="5" t="s">
        <v>156</v>
      </c>
      <c r="BI47" s="2" t="s">
        <v>153</v>
      </c>
      <c r="BJ47" s="2"/>
      <c r="BK47" s="6"/>
      <c r="BM47" s="87"/>
      <c r="BQ47" s="6"/>
      <c r="BR47" s="6"/>
      <c r="BS47" s="74"/>
      <c r="BT47" s="6"/>
      <c r="BU47" s="6"/>
      <c r="BV47" s="6"/>
      <c r="BW47" s="6"/>
      <c r="BX47" s="6"/>
      <c r="BY47" s="6"/>
    </row>
    <row r="48" spans="3:87" ht="18">
      <c r="C48" s="125"/>
      <c r="D48" s="10" t="s">
        <v>124</v>
      </c>
      <c r="E48" s="8">
        <f>D14</f>
        <v>13.133464339152122</v>
      </c>
      <c r="F48" s="8">
        <f>MW_N2</f>
        <v>2.8013400000000001E-2</v>
      </c>
      <c r="G48" s="8">
        <f>E48/F48</f>
        <v>468.82793017456362</v>
      </c>
      <c r="H48" s="10">
        <f>b_ch_N2</f>
        <v>0.7</v>
      </c>
      <c r="I48" s="8">
        <f>G48/G49</f>
        <v>0.78991596638655459</v>
      </c>
      <c r="J48" s="8">
        <f>LN(I48)</f>
        <v>-0.23582871084152554</v>
      </c>
      <c r="K48" s="8">
        <f>RT0*J48</f>
        <v>-0.53555971521393941</v>
      </c>
      <c r="L48" s="2">
        <f>H48+K48</f>
        <v>0.16444028478606054</v>
      </c>
      <c r="M48" s="2">
        <f>L48*I48</f>
        <v>0.12989400646966126</v>
      </c>
      <c r="N48" s="26">
        <f>M48*$G$49</f>
        <v>77.094198353564551</v>
      </c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74"/>
      <c r="AT48" s="6"/>
      <c r="AU48" s="6"/>
      <c r="AV48" s="6"/>
      <c r="AW48" s="6"/>
      <c r="AX48" s="6"/>
      <c r="AY48" s="6"/>
      <c r="BD48" s="2"/>
      <c r="BE48" s="2"/>
      <c r="BF48" s="2"/>
      <c r="BG48" s="2"/>
      <c r="BH48" s="2"/>
      <c r="BI48" s="2"/>
      <c r="BJ48" s="2"/>
      <c r="BL48" s="87"/>
      <c r="BS48" s="74"/>
    </row>
    <row r="49" spans="3:77" ht="15.5" customHeight="1">
      <c r="C49" s="8"/>
      <c r="D49" s="11" t="s">
        <v>25</v>
      </c>
      <c r="E49" s="72">
        <f>SUM(E47:E48)</f>
        <v>17.123339650872822</v>
      </c>
      <c r="F49" s="40">
        <f>I47*F47 + I48*F48</f>
        <v>2.8850668907563028E-2</v>
      </c>
      <c r="G49" s="72">
        <f>SUM(G47:G48)</f>
        <v>593.51620947630931</v>
      </c>
      <c r="H49" s="72"/>
      <c r="I49" s="72">
        <f>SUM(I47:I48)</f>
        <v>1</v>
      </c>
      <c r="J49" s="40"/>
      <c r="K49" s="40"/>
      <c r="L49" s="11"/>
      <c r="M49" s="11">
        <f>M47+M48</f>
        <v>0.22584479577057509</v>
      </c>
      <c r="N49" s="72">
        <f>SUM(N47:N48)</f>
        <v>134.04254711570292</v>
      </c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6"/>
      <c r="AT49" s="6"/>
      <c r="AY49" s="2"/>
      <c r="AZ49" s="2"/>
      <c r="BA49" s="2"/>
      <c r="BB49" s="2"/>
      <c r="BC49" s="2"/>
      <c r="BL49" s="87"/>
      <c r="BS49" s="74"/>
      <c r="BT49" s="6"/>
      <c r="BU49" s="6"/>
      <c r="BV49" s="6"/>
      <c r="BW49" s="6"/>
      <c r="BX49" s="6"/>
      <c r="BY49" s="6"/>
    </row>
    <row r="50" spans="3:77" ht="18">
      <c r="E50" s="2" t="s">
        <v>149</v>
      </c>
      <c r="F50" s="5" t="s">
        <v>151</v>
      </c>
      <c r="G50" s="5" t="s">
        <v>147</v>
      </c>
      <c r="H50" s="6"/>
      <c r="I50" s="6"/>
      <c r="M50" s="5" t="s">
        <v>156</v>
      </c>
      <c r="N50" s="2" t="s">
        <v>153</v>
      </c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6"/>
      <c r="AS50" s="86"/>
      <c r="AT50" s="6"/>
      <c r="AU50" s="6"/>
      <c r="AV50" s="6"/>
      <c r="AW50" s="6"/>
      <c r="AX50" s="6"/>
      <c r="AY50" s="6"/>
      <c r="AZ50" s="2"/>
      <c r="BA50" s="2"/>
      <c r="BB50" s="2"/>
      <c r="BC50" s="2"/>
      <c r="BD50" s="6"/>
      <c r="BE50" s="6"/>
      <c r="BF50" s="6"/>
      <c r="BG50" s="6"/>
      <c r="BH50" s="6"/>
      <c r="BI50" s="6"/>
      <c r="BJ50" s="6"/>
      <c r="BL50" s="87"/>
    </row>
    <row r="51" spans="3:77" ht="15.5" customHeight="1">
      <c r="N51" s="2">
        <f>M49*G49</f>
        <v>134.04254711570294</v>
      </c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6"/>
      <c r="AS51" s="8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L51" s="87"/>
    </row>
    <row r="52" spans="3:77" ht="16"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6"/>
      <c r="AS52" s="86"/>
      <c r="AU52" s="2"/>
      <c r="AV52" s="2"/>
      <c r="AW52" s="2"/>
      <c r="AX52" s="2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L52" s="87"/>
    </row>
    <row r="53" spans="3:77" ht="16"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M53" s="6"/>
      <c r="AN53" s="6"/>
      <c r="AO53" s="6"/>
      <c r="AP53" s="6"/>
      <c r="AQ53" s="6"/>
      <c r="AR53" s="6"/>
      <c r="AS53" s="86"/>
      <c r="AT53" s="10"/>
      <c r="AU53" s="2"/>
      <c r="AV53" s="2"/>
      <c r="AW53" s="2"/>
      <c r="AX53" s="2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M53" s="87"/>
    </row>
    <row r="54" spans="3:77" ht="16"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L54" s="6"/>
      <c r="AM54" s="6"/>
      <c r="AN54" s="6"/>
      <c r="AO54" s="6"/>
      <c r="AP54" s="6"/>
      <c r="AQ54" s="6"/>
      <c r="AR54" s="6"/>
      <c r="AS54" s="6"/>
      <c r="BA54" s="6"/>
      <c r="BB54" s="6"/>
      <c r="BC54" s="6"/>
    </row>
    <row r="55" spans="3:77" ht="16"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L55" s="6"/>
      <c r="AM55" s="6"/>
      <c r="AN55" s="6"/>
      <c r="AO55" s="6"/>
      <c r="AR55" s="6"/>
      <c r="AS55" s="6"/>
      <c r="AT55" s="6"/>
      <c r="AU55" s="6"/>
      <c r="AV55" s="6"/>
      <c r="AW55" s="6"/>
      <c r="BC55" s="2"/>
    </row>
    <row r="56" spans="3:77" ht="16"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L56" s="6"/>
      <c r="AM56" s="6"/>
      <c r="AN56" s="6"/>
      <c r="AO56" s="6"/>
      <c r="AR56" s="6"/>
      <c r="AS56" s="6"/>
      <c r="AT56" s="6"/>
      <c r="AU56" s="6"/>
      <c r="AV56" s="6"/>
    </row>
    <row r="57" spans="3:77" ht="16"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L57" s="6"/>
      <c r="AM57" s="6"/>
      <c r="AN57" s="6"/>
      <c r="AO57" s="6"/>
      <c r="AR57" s="6"/>
      <c r="AS57" s="6"/>
      <c r="AT57" s="6"/>
      <c r="AU57" s="6"/>
      <c r="AV57" s="6"/>
    </row>
    <row r="58" spans="3:77" ht="16"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S58" s="6"/>
      <c r="AT58" s="6"/>
      <c r="AU58" s="6"/>
      <c r="AV58" s="6"/>
    </row>
    <row r="59" spans="3:77" ht="16"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T59" s="6"/>
      <c r="AU59" s="6"/>
      <c r="AV59" s="6"/>
    </row>
    <row r="60" spans="3:77" ht="16"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</row>
    <row r="61" spans="3:77" ht="16"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</row>
    <row r="62" spans="3:77" ht="16">
      <c r="P62" s="2"/>
      <c r="Q62" s="2"/>
    </row>
    <row r="63" spans="3:77" ht="14.5" customHeight="1"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</row>
    <row r="64" spans="3:77" ht="14.5" customHeight="1"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</row>
    <row r="65" spans="14:34" ht="29">
      <c r="N65" s="7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</row>
    <row r="66" spans="14:34" ht="29">
      <c r="N66" s="7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</row>
    <row r="67" spans="14:34" ht="29">
      <c r="N67" s="7"/>
      <c r="O67" s="2"/>
      <c r="P67" s="2"/>
    </row>
    <row r="68" spans="14:34" ht="16">
      <c r="O68" s="2"/>
      <c r="P68" s="2"/>
    </row>
  </sheetData>
  <mergeCells count="15">
    <mergeCell ref="C28:O28"/>
    <mergeCell ref="W28:AG28"/>
    <mergeCell ref="AT28:BI28"/>
    <mergeCell ref="BT28:CI28"/>
    <mergeCell ref="BI17:BI22"/>
    <mergeCell ref="BL38:BO40"/>
    <mergeCell ref="C34:C37"/>
    <mergeCell ref="AJ37:AO42"/>
    <mergeCell ref="R38:U40"/>
    <mergeCell ref="C44:C48"/>
    <mergeCell ref="H2:M2"/>
    <mergeCell ref="H3:J3"/>
    <mergeCell ref="L3:M3"/>
    <mergeCell ref="H5:M5"/>
    <mergeCell ref="AN8:BK10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E1E3716C13334BBCA31FA58FBCC02A" ma:contentTypeVersion="4" ma:contentTypeDescription="Create a new document." ma:contentTypeScope="" ma:versionID="0545ef4b576db7fb58eb3df66d019f98">
  <xsd:schema xmlns:xsd="http://www.w3.org/2001/XMLSchema" xmlns:xs="http://www.w3.org/2001/XMLSchema" xmlns:p="http://schemas.microsoft.com/office/2006/metadata/properties" xmlns:ns2="933038b0-efc8-4863-81f2-0c2f5cc47dc6" targetNamespace="http://schemas.microsoft.com/office/2006/metadata/properties" ma:root="true" ma:fieldsID="33de43f85dda87e422d76007f28f4c43" ns2:_="">
    <xsd:import namespace="933038b0-efc8-4863-81f2-0c2f5cc47dc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3038b0-efc8-4863-81f2-0c2f5cc47d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2BD485D-B59C-4EFF-AD7C-09A45E9CEF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3038b0-efc8-4863-81f2-0c2f5cc47dc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A9B53E5-3A7A-4760-801A-EC2FA0ED7F9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B5F17C0-1AC3-4572-A624-B264B78037B2}">
  <ds:schemaRefs>
    <ds:schemaRef ds:uri="http://schemas.microsoft.com/office/2006/documentManagement/types"/>
    <ds:schemaRef ds:uri="http://schemas.openxmlformats.org/package/2006/metadata/core-properties"/>
    <ds:schemaRef ds:uri="933038b0-efc8-4863-81f2-0c2f5cc47dc6"/>
    <ds:schemaRef ds:uri="http://purl.org/dc/dcmitype/"/>
    <ds:schemaRef ds:uri="http://purl.org/dc/elements/1.1/"/>
    <ds:schemaRef ds:uri="http://schemas.microsoft.com/office/2006/metadata/properties"/>
    <ds:schemaRef ds:uri="http://purl.org/dc/terms/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47</vt:i4>
      </vt:variant>
    </vt:vector>
  </HeadingPairs>
  <TitlesOfParts>
    <vt:vector size="51" baseType="lpstr">
      <vt:lpstr>Draft 3 BF</vt:lpstr>
      <vt:lpstr>BF</vt:lpstr>
      <vt:lpstr>Constants</vt:lpstr>
      <vt:lpstr>Methane Combustion - EES</vt:lpstr>
      <vt:lpstr>b_ch_C</vt:lpstr>
      <vt:lpstr>b_ch_Ca</vt:lpstr>
      <vt:lpstr>b_ch_CaCO3</vt:lpstr>
      <vt:lpstr>b_ch_CaO</vt:lpstr>
      <vt:lpstr>b_ch_CaSiO3</vt:lpstr>
      <vt:lpstr>b_ch_CH4</vt:lpstr>
      <vt:lpstr>b_ch_CO</vt:lpstr>
      <vt:lpstr>b_ch_CO2</vt:lpstr>
      <vt:lpstr>b_ch_Fe</vt:lpstr>
      <vt:lpstr>b_ch_Fe2O3</vt:lpstr>
      <vt:lpstr>b_ch_FeC</vt:lpstr>
      <vt:lpstr>b_ch_H2</vt:lpstr>
      <vt:lpstr>b_ch_H2O</vt:lpstr>
      <vt:lpstr>b_ch_N2</vt:lpstr>
      <vt:lpstr>b_ch_O</vt:lpstr>
      <vt:lpstr>b_ch_O2</vt:lpstr>
      <vt:lpstr>b_ch_Si</vt:lpstr>
      <vt:lpstr>b_ch_SiO2</vt:lpstr>
      <vt:lpstr>h_0_CO2</vt:lpstr>
      <vt:lpstr>h_0_H2O</vt:lpstr>
      <vt:lpstr>h_0_N2</vt:lpstr>
      <vt:lpstr>h_CO2</vt:lpstr>
      <vt:lpstr>h_H2O</vt:lpstr>
      <vt:lpstr>h_N2</vt:lpstr>
      <vt:lpstr>MW_C</vt:lpstr>
      <vt:lpstr>MW_CaCO3</vt:lpstr>
      <vt:lpstr>MW_CaO</vt:lpstr>
      <vt:lpstr>MW_CaSiO3</vt:lpstr>
      <vt:lpstr>MW_CH4</vt:lpstr>
      <vt:lpstr>MW_CO</vt:lpstr>
      <vt:lpstr>MW_CO2</vt:lpstr>
      <vt:lpstr>MW_Fe</vt:lpstr>
      <vt:lpstr>MW_Fe2O3</vt:lpstr>
      <vt:lpstr>MW_FeC</vt:lpstr>
      <vt:lpstr>MW_H2O</vt:lpstr>
      <vt:lpstr>MW_N2</vt:lpstr>
      <vt:lpstr>MW_O</vt:lpstr>
      <vt:lpstr>MW_O2</vt:lpstr>
      <vt:lpstr>MW_Si</vt:lpstr>
      <vt:lpstr>MW_SIO2</vt:lpstr>
      <vt:lpstr>RT0</vt:lpstr>
      <vt:lpstr>s_0_CO2</vt:lpstr>
      <vt:lpstr>s_0_H2O</vt:lpstr>
      <vt:lpstr>s_0_N2</vt:lpstr>
      <vt:lpstr>s_CO2</vt:lpstr>
      <vt:lpstr>s_H2O</vt:lpstr>
      <vt:lpstr>s_N2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Erin Schuman</dc:creator>
  <cp:keywords/>
  <dc:description/>
  <cp:lastModifiedBy>Matthew Heun</cp:lastModifiedBy>
  <cp:revision/>
  <dcterms:created xsi:type="dcterms:W3CDTF">2025-05-19T15:01:37Z</dcterms:created>
  <dcterms:modified xsi:type="dcterms:W3CDTF">2025-06-07T16:03:16Z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0x01010013E1E3716C13334BBCA31FA58FBCC02A</vt:lpwstr>
  </property>
</Properties>
</file>