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https://calvincollege.sharepoint.com/sites/Exergy/Shared Documents/General/Paper Examples/"/>
    </mc:Choice>
  </mc:AlternateContent>
  <xr:revisionPtr revIDLastSave="11744" documentId="13_ncr:1_{39686040-57A4-234E-91F3-E634542D6EF7}" xr6:coauthVersionLast="47" xr6:coauthVersionMax="47" xr10:uidLastSave="{ABDF36C6-63CE-C444-9430-CC247539574C}"/>
  <bookViews>
    <workbookView xWindow="0" yWindow="0" windowWidth="51200" windowHeight="28800" activeTab="2" xr2:uid="{B56C0490-30AA-4047-9BD3-68F16EDF25FC}"/>
  </bookViews>
  <sheets>
    <sheet name="Constants" sheetId="3" r:id="rId1"/>
    <sheet name="BF Calculator" sheetId="11" r:id="rId2"/>
    <sheet name="Ore-&gt;PI" sheetId="9" r:id="rId3"/>
    <sheet name="B RUVY matrices (mat level)" sheetId="19" r:id="rId4"/>
    <sheet name="Mass RUVY matrices (mat level)" sheetId="15" r:id="rId5"/>
    <sheet name="Energy RUVY matrices" sheetId="18" r:id="rId6"/>
    <sheet name="Energy X" sheetId="17" r:id="rId7"/>
    <sheet name="Efficiencies" sheetId="12" r:id="rId8"/>
    <sheet name="Waste" sheetId="13" r:id="rId9"/>
    <sheet name="Methane Combustion - EES" sheetId="8" r:id="rId10"/>
    <sheet name="Tables for Paper" sheetId="14" r:id="rId11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'Ore-&gt;PI'!$EB$119</definedName>
    <definedName name="B_lost_coal_ext">'Ore-&gt;PI'!$P$180</definedName>
    <definedName name="B_lost_coal_haul">'Ore-&gt;PI'!$AH$180</definedName>
    <definedName name="B_lost_coke_oven">'Ore-&gt;PI'!$BR$180</definedName>
    <definedName name="B_lost_iron_benef">'Ore-&gt;PI'!$AY$46</definedName>
    <definedName name="B_lost_Iron_Ext">'Ore-&gt;PI'!$O$46</definedName>
    <definedName name="B_lost_Iron_haul">'Ore-&gt;PI'!$AG$46</definedName>
    <definedName name="B_lost_kiln">'Ore-&gt;PI'!$BR$118</definedName>
    <definedName name="B_lost_lime_benef">'Ore-&gt;PI'!$AZ$118</definedName>
    <definedName name="B_lost_lime_ext">'Ore-&gt;PI'!$O$118</definedName>
    <definedName name="B_lost_lime_haul">'Ore-&gt;PI'!$AH$118</definedName>
    <definedName name="B_lost_mixer">'Ore-&gt;PI'!$DH$119</definedName>
    <definedName name="Bejan_BF">'Ore-&gt;PI'!$EF$119</definedName>
    <definedName name="Bejan_CoalExtraction">'Ore-&gt;PI'!$T$180</definedName>
    <definedName name="Bejan_CoalHauling">'Ore-&gt;PI'!$AL$180</definedName>
    <definedName name="Bejan_CokeBeneficiation">'Ore-&gt;PI'!$BV$180</definedName>
    <definedName name="Bejan_IronBeneficiation">'Ore-&gt;PI'!$BC$46</definedName>
    <definedName name="Bejan_IronExtraction">'Ore-&gt;PI'!$S$46</definedName>
    <definedName name="Bejan_IronHauling">'Ore-&gt;PI'!$AK$46</definedName>
    <definedName name="Bejan_LimeBeneficiation">'Ore-&gt;PI'!$BD$118</definedName>
    <definedName name="Bejan_LimeExtraction">'Ore-&gt;PI'!$S$118</definedName>
    <definedName name="Bejan_LimeHauling">'Ore-&gt;PI'!$AL$118</definedName>
    <definedName name="Bejan_MEROI_Coal">'Ore-&gt;PI'!$I$163</definedName>
    <definedName name="Bejan_MEROI_Iron">'Ore-&gt;PI'!$I$27</definedName>
    <definedName name="Bejan_MEROI_Limestone">'Ore-&gt;PI'!$I$103</definedName>
    <definedName name="Beneficiation_CoalWaste">'Ore-&gt;PI'!$CH$187</definedName>
    <definedName name="Beneficiation_Iron_waste">'Ore-&gt;PI'!$BO$55</definedName>
    <definedName name="BF_CO2Waste">'Ore-&gt;PI'!$EN$133</definedName>
    <definedName name="BF_SolidWaste">'Ore-&gt;PI'!$EV$92</definedName>
    <definedName name="Btu_to_kJ">Constants!$U$4</definedName>
    <definedName name="C_for_BF">'BF Calculator'!$L$23</definedName>
    <definedName name="cal_to_kJ">Constants!$U$6</definedName>
    <definedName name="CH4_into_Kiln">'BF Calculator'!$C$51</definedName>
    <definedName name="CH4_Kiln_out">'BF Calculator'!$L$62</definedName>
    <definedName name="CH4_out_COtreatment">'BF Calculator'!$AB$88</definedName>
    <definedName name="CH4_to_BF">'BF Calculator'!$Z$99</definedName>
    <definedName name="CH4_to_coke_oven">'BF Calculator'!$AH$99</definedName>
    <definedName name="CO2_BF_Out">'BF Calculator'!$M$23</definedName>
    <definedName name="CO2_Kiln_Out">'BF Calculator'!$I$38</definedName>
    <definedName name="CO2_Kiln_Out_ADD">'BF Calculator'!$L$59</definedName>
    <definedName name="CO2_out_BF">'BF Calculator'!$M$137</definedName>
    <definedName name="CO2_out_coke_oven">'BF Calculator'!$M$171</definedName>
    <definedName name="COG_needed">'BF Calculator'!$G$74</definedName>
    <definedName name="Coking_BF_in">'BF Calculator'!$L$23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Constants!$T$13</definedName>
    <definedName name="h_H2O">Constants!$P$6</definedName>
    <definedName name="h_N2">Constants!$P$7</definedName>
    <definedName name="H2_out_COtreatment">'BF Calculator'!$AB$87</definedName>
    <definedName name="H2_to_BF">'BF Calculator'!$Z$98</definedName>
    <definedName name="H2_to_coke_oven">'BF Calculator'!$AH$98</definedName>
    <definedName name="H2O_Kiln_Out">'BF Calculator'!$L$60</definedName>
    <definedName name="H2O_out_BF">'BF Calculator'!$M$136</definedName>
    <definedName name="H2O_out_coke_oven">'BF Calculator'!$M$170</definedName>
    <definedName name="kg_to_ton">Constants!$W$4</definedName>
    <definedName name="Kiln_CO2Waste">'Ore-&gt;PI'!$CA$130</definedName>
    <definedName name="Kiln_SolidWaste">'Ore-&gt;PI'!$CJ$102</definedName>
    <definedName name="kWh_to_kJ">Constants!$V$4</definedName>
    <definedName name="LHV_CH4">Constants!$Z$4</definedName>
    <definedName name="Lime_to_Energy_Conversion">Constants!$AF$3</definedName>
    <definedName name="Limestone_for_BF">'BF Calculator'!$L$27</definedName>
    <definedName name="mass_bal_BF">'Ore-&gt;PI'!$ED$119</definedName>
    <definedName name="mass_bal_CoalExt">'Ore-&gt;PI'!$R$180</definedName>
    <definedName name="mass_bal_CoalHaul">'Ore-&gt;PI'!$AJ$180</definedName>
    <definedName name="mass_bal_CokeOven">'Ore-&gt;PI'!$BT$180</definedName>
    <definedName name="mass_bal_IronBenef">'Ore-&gt;PI'!$BA$46</definedName>
    <definedName name="mass_bal_IronExt">'Ore-&gt;PI'!$Q$46</definedName>
    <definedName name="mass_bal_IronHaul">'Ore-&gt;PI'!$AI$46</definedName>
    <definedName name="mass_bal_kiln">'Ore-&gt;PI'!$BT$118</definedName>
    <definedName name="mass_bal_LimeBenef">'Ore-&gt;PI'!$BB$118</definedName>
    <definedName name="mass_bal_LimeExt">'Ore-&gt;PI'!$Q$118</definedName>
    <definedName name="mass_bal_LimeHaul">'Ore-&gt;PI'!$AJ$118</definedName>
    <definedName name="mass_bal_Mixer">'Ore-&gt;PI'!$DJ$119</definedName>
    <definedName name="MgCO3_in">'Ore-&gt;PI'!$W$119</definedName>
    <definedName name="MgO_out">'BF Calculator'!$I$39</definedName>
    <definedName name="mol_C_Coal">'BF Calculator'!$I$80</definedName>
    <definedName name="mol_C_Coal_in">'BF Calculator'!$I$83</definedName>
    <definedName name="mol_C_to_BF">'Ore-&gt;PI'!$CB$180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Calculator'!$C$144</definedName>
    <definedName name="N2_BF_out">'BF Calculator'!$I$23</definedName>
    <definedName name="N2_in_coke_oven">'BF Calculator'!$C$177</definedName>
    <definedName name="N2_Kiln_in">'Ore-&gt;PI'!$BH$133</definedName>
    <definedName name="N2_out_coke_oven">'BF Calculator'!$M$172</definedName>
    <definedName name="N2_out_COtreatment">'BF Calculator'!$AB$90</definedName>
    <definedName name="N2_to_BF_from_coke">'BF Calculator'!$Z$101</definedName>
    <definedName name="N2_to_coke_oven">'BF Calculator'!$AH$101</definedName>
    <definedName name="NCV_dry_anthrocite">Constants!$P$13</definedName>
    <definedName name="O2_added_BF">'BF Calculator'!$C$143</definedName>
    <definedName name="O2_BF_in">'BF Calculator'!$I$21</definedName>
    <definedName name="O2_in_coke_oven">'BF Calculator'!$C$176</definedName>
    <definedName name="O2_Kiln_in">'Ore-&gt;PI'!$BH$132</definedName>
    <definedName name="O2_out_COtreatment">'BF Calculator'!$AB$89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Constants!$O$13</definedName>
    <definedName name="phi_dry_constant_a_">Constants!$Q$13</definedName>
    <definedName name="phi_dry_constant_b">Constants!$R$13</definedName>
    <definedName name="phi_dry_constant_c">Constants!$S$13</definedName>
    <definedName name="Product_BF">'Ore-&gt;PI'!$EF$121</definedName>
    <definedName name="Product_CoalExtraction">'Ore-&gt;PI'!$T$182</definedName>
    <definedName name="Product_CoalHauling">'Ore-&gt;PI'!$AL$182</definedName>
    <definedName name="Product_CokeBeneficiation">'Ore-&gt;PI'!$BV$182</definedName>
    <definedName name="Product_IronBeneficiation">'Ore-&gt;PI'!$BC$48</definedName>
    <definedName name="Product_IronExtraction">'Ore-&gt;PI'!$S$48</definedName>
    <definedName name="Product_IronHauling">'Ore-&gt;PI'!$AK$48</definedName>
    <definedName name="Product_Kiln">'Ore-&gt;PI'!$BV$120</definedName>
    <definedName name="Product_LimeBeneficiation">'Ore-&gt;PI'!$BD$120</definedName>
    <definedName name="Product_LimeExtraction">'Ore-&gt;PI'!$S$120</definedName>
    <definedName name="Product_LimeHauling">'Ore-&gt;PI'!$AL$120</definedName>
    <definedName name="Product_MEROI_Coal">'Ore-&gt;PI'!$I$165</definedName>
    <definedName name="Product_MEROI_Iron">'Ore-&gt;PI'!$I$29</definedName>
    <definedName name="Product_MEROI_Limestone">'Ore-&gt;PI'!$I$105</definedName>
    <definedName name="Product_Mixer">'Ore-&gt;PI'!$DL$121</definedName>
    <definedName name="Quicklime_for_BF">'BF Calculator'!$I$37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iO2_BF_in">'BF Calculator'!$I$42</definedName>
    <definedName name="Slag_BF_out">'BF Calculator'!$I$43</definedName>
    <definedName name="Student__LimeHauling">'Ore-&gt;PI'!$AL$119</definedName>
    <definedName name="Student_BF">'Ore-&gt;PI'!$EF$120</definedName>
    <definedName name="Student_CoalExtraction">'Ore-&gt;PI'!$T$181</definedName>
    <definedName name="Student_CoalHauling">'Ore-&gt;PI'!$AL$181</definedName>
    <definedName name="Student_CokeBeneficiation">'Ore-&gt;PI'!$BV$181</definedName>
    <definedName name="Student_IronBeneficiation">'Ore-&gt;PI'!$BC$47</definedName>
    <definedName name="Student_IronExtraction">'Ore-&gt;PI'!$S$47</definedName>
    <definedName name="Student_IronHauling">'Ore-&gt;PI'!$AK$47</definedName>
    <definedName name="Student_Kiln">'Ore-&gt;PI'!$BV$119</definedName>
    <definedName name="Student_LimeBeneficiation">'Ore-&gt;PI'!$BD$119</definedName>
    <definedName name="Student_LimeExtraction">'Ore-&gt;PI'!$S$119</definedName>
    <definedName name="Student_MEROI_Coal">'Ore-&gt;PI'!$I$164</definedName>
    <definedName name="Student_MEROI_Iron">'Ore-&gt;PI'!$I$28</definedName>
    <definedName name="Student_MEROI_Limestone">'Ore-&gt;PI'!$I$104</definedName>
    <definedName name="Student_mixer">'Ore-&gt;PI'!$DL$120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1" i="3" l="1"/>
  <c r="E40" i="3"/>
  <c r="D41" i="3"/>
  <c r="D40" i="3"/>
  <c r="BT165" i="9"/>
  <c r="BS165" i="9"/>
  <c r="G147" i="19"/>
  <c r="BD69" i="15"/>
  <c r="C129" i="15"/>
  <c r="C128" i="15"/>
  <c r="AW69" i="19"/>
  <c r="AE89" i="19"/>
  <c r="E170" i="19" s="1"/>
  <c r="AC111" i="15"/>
  <c r="C145" i="15" s="1"/>
  <c r="AC112" i="19"/>
  <c r="AB112" i="19"/>
  <c r="AA112" i="19"/>
  <c r="Z112" i="19"/>
  <c r="Y112" i="19"/>
  <c r="X112" i="19"/>
  <c r="W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93" i="19"/>
  <c r="F93" i="19"/>
  <c r="E93" i="19"/>
  <c r="D93" i="19"/>
  <c r="C93" i="19"/>
  <c r="AW68" i="19"/>
  <c r="G146" i="19" s="1"/>
  <c r="AW67" i="19"/>
  <c r="G145" i="19" s="1"/>
  <c r="AW66" i="19"/>
  <c r="G144" i="19" s="1"/>
  <c r="BD65" i="19"/>
  <c r="AW64" i="19"/>
  <c r="G142" i="19" s="1"/>
  <c r="AW63" i="19"/>
  <c r="G141" i="19" s="1"/>
  <c r="BD62" i="19"/>
  <c r="AW60" i="19"/>
  <c r="G138" i="19" s="1"/>
  <c r="AW59" i="19"/>
  <c r="G137" i="19" s="1"/>
  <c r="BD58" i="19"/>
  <c r="BD57" i="19"/>
  <c r="BD56" i="19"/>
  <c r="BD55" i="19"/>
  <c r="AW54" i="19"/>
  <c r="G132" i="19" s="1"/>
  <c r="BD53" i="19"/>
  <c r="BD52" i="19"/>
  <c r="BD51" i="19"/>
  <c r="BD50" i="19"/>
  <c r="BD49" i="19"/>
  <c r="BD48" i="19"/>
  <c r="BD47" i="19"/>
  <c r="BD46" i="19"/>
  <c r="BD45" i="19"/>
  <c r="BD44" i="19"/>
  <c r="BD43" i="19"/>
  <c r="BD42" i="19"/>
  <c r="G143" i="15"/>
  <c r="D103" i="11"/>
  <c r="D105" i="11"/>
  <c r="C104" i="11"/>
  <c r="E103" i="11"/>
  <c r="F100" i="11"/>
  <c r="AW64" i="15"/>
  <c r="G141" i="15" s="1"/>
  <c r="BD58" i="15"/>
  <c r="S111" i="15"/>
  <c r="C135" i="15" s="1"/>
  <c r="Y111" i="15"/>
  <c r="C141" i="15" s="1"/>
  <c r="BD57" i="15"/>
  <c r="BD62" i="15"/>
  <c r="BD65" i="15"/>
  <c r="AW63" i="15"/>
  <c r="G140" i="15" s="1"/>
  <c r="AW66" i="15"/>
  <c r="AW67" i="15"/>
  <c r="G144" i="15" s="1"/>
  <c r="AW68" i="15"/>
  <c r="G145" i="15" s="1"/>
  <c r="AW59" i="15"/>
  <c r="G136" i="15" s="1"/>
  <c r="BD42" i="15"/>
  <c r="Z111" i="15"/>
  <c r="C142" i="15" s="1"/>
  <c r="Q111" i="15"/>
  <c r="C133" i="15" s="1"/>
  <c r="P111" i="15"/>
  <c r="C132" i="15" s="1"/>
  <c r="N111" i="15"/>
  <c r="C130" i="15" s="1"/>
  <c r="M111" i="15"/>
  <c r="L111" i="15"/>
  <c r="K111" i="15"/>
  <c r="C127" i="15" s="1"/>
  <c r="G92" i="15"/>
  <c r="F92" i="15"/>
  <c r="BD45" i="15"/>
  <c r="BD46" i="15"/>
  <c r="BD47" i="15"/>
  <c r="BD48" i="15"/>
  <c r="BD49" i="15"/>
  <c r="H111" i="15"/>
  <c r="C124" i="15" s="1"/>
  <c r="I111" i="15"/>
  <c r="C125" i="15" s="1"/>
  <c r="J111" i="15"/>
  <c r="C126" i="15" s="1"/>
  <c r="O111" i="15"/>
  <c r="C131" i="15" s="1"/>
  <c r="R111" i="15"/>
  <c r="C134" i="15" s="1"/>
  <c r="T111" i="15"/>
  <c r="C136" i="15" s="1"/>
  <c r="U111" i="15"/>
  <c r="C137" i="15" s="1"/>
  <c r="W111" i="15"/>
  <c r="C139" i="15" s="1"/>
  <c r="X111" i="15"/>
  <c r="C140" i="15" s="1"/>
  <c r="AA111" i="15"/>
  <c r="C143" i="15" s="1"/>
  <c r="AB111" i="15"/>
  <c r="C144" i="15" s="1"/>
  <c r="C92" i="15"/>
  <c r="D92" i="15"/>
  <c r="E92" i="15"/>
  <c r="BD43" i="15"/>
  <c r="BD44" i="15"/>
  <c r="BD51" i="15"/>
  <c r="BD53" i="15"/>
  <c r="BD55" i="15"/>
  <c r="AW60" i="15"/>
  <c r="G137" i="15" s="1"/>
  <c r="E18" i="3"/>
  <c r="BK200" i="9" s="1"/>
  <c r="CA224" i="9"/>
  <c r="E177" i="11"/>
  <c r="EA208" i="9"/>
  <c r="EA207" i="9"/>
  <c r="AZ180" i="9"/>
  <c r="BK202" i="9"/>
  <c r="BK199" i="9"/>
  <c r="CL199" i="9"/>
  <c r="EO134" i="9"/>
  <c r="O138" i="11"/>
  <c r="O136" i="11"/>
  <c r="E139" i="11"/>
  <c r="E136" i="11"/>
  <c r="DS145" i="9"/>
  <c r="DS144" i="9"/>
  <c r="DQ144" i="9"/>
  <c r="CV207" i="9"/>
  <c r="CK207" i="9"/>
  <c r="AC81" i="11"/>
  <c r="DH119" i="9"/>
  <c r="L22" i="13" s="1"/>
  <c r="AH180" i="9"/>
  <c r="M17" i="13" s="1"/>
  <c r="P180" i="9"/>
  <c r="L17" i="13" s="1"/>
  <c r="O118" i="9"/>
  <c r="L12" i="13" s="1"/>
  <c r="AH118" i="9"/>
  <c r="M12" i="13" s="1"/>
  <c r="AZ118" i="9"/>
  <c r="N12" i="13" s="1"/>
  <c r="AG46" i="9"/>
  <c r="M6" i="13" s="1"/>
  <c r="O46" i="9"/>
  <c r="L6" i="13" s="1"/>
  <c r="Q59" i="11"/>
  <c r="Q60" i="11" s="1"/>
  <c r="E33" i="14"/>
  <c r="D13" i="11"/>
  <c r="E13" i="11" s="1"/>
  <c r="D12" i="11"/>
  <c r="E12" i="11" s="1"/>
  <c r="S188" i="9"/>
  <c r="S189" i="9"/>
  <c r="S190" i="9"/>
  <c r="S191" i="9"/>
  <c r="S187" i="9"/>
  <c r="Y184" i="9"/>
  <c r="Y181" i="9"/>
  <c r="H91" i="11"/>
  <c r="G91" i="11"/>
  <c r="D86" i="11"/>
  <c r="E84" i="11"/>
  <c r="CC207" i="9"/>
  <c r="BZ213" i="9"/>
  <c r="E35" i="3"/>
  <c r="E32" i="3"/>
  <c r="D35" i="3"/>
  <c r="D37" i="3"/>
  <c r="D38" i="3"/>
  <c r="D39" i="3"/>
  <c r="D34" i="3"/>
  <c r="D33" i="3"/>
  <c r="D32" i="3"/>
  <c r="D31" i="3"/>
  <c r="E120" i="9"/>
  <c r="D48" i="9"/>
  <c r="D49" i="9"/>
  <c r="D50" i="9"/>
  <c r="D51" i="9"/>
  <c r="E21" i="3"/>
  <c r="P33" i="8"/>
  <c r="D6" i="3"/>
  <c r="F118" i="9" s="1"/>
  <c r="D29" i="3"/>
  <c r="BI119" i="9" s="1"/>
  <c r="D28" i="3"/>
  <c r="BH61" i="9" s="1"/>
  <c r="D27" i="3"/>
  <c r="X48" i="9" s="1"/>
  <c r="Y48" i="9" s="1"/>
  <c r="D26" i="3"/>
  <c r="F184" i="9" s="1"/>
  <c r="D25" i="3"/>
  <c r="AQ183" i="9" s="1"/>
  <c r="D24" i="3"/>
  <c r="CA191" i="9" s="1"/>
  <c r="D23" i="3"/>
  <c r="D22" i="3"/>
  <c r="X51" i="9" s="1"/>
  <c r="Y51" i="9" s="1"/>
  <c r="D20" i="3"/>
  <c r="M60" i="11" s="1"/>
  <c r="D19" i="3"/>
  <c r="CA211" i="9" s="1"/>
  <c r="D14" i="3"/>
  <c r="F47" i="9" s="1"/>
  <c r="D13" i="3"/>
  <c r="D11" i="3"/>
  <c r="T88" i="11" s="1"/>
  <c r="D7" i="3"/>
  <c r="D5" i="3"/>
  <c r="Y54" i="8" s="1"/>
  <c r="D10" i="3"/>
  <c r="Y185" i="9" s="1"/>
  <c r="D17" i="3"/>
  <c r="BI182" i="9" s="1"/>
  <c r="D21" i="3"/>
  <c r="E92" i="11" s="1"/>
  <c r="H61" i="11"/>
  <c r="Q61" i="11" s="1"/>
  <c r="AN49" i="9"/>
  <c r="BF60" i="9" s="1"/>
  <c r="AN50" i="9"/>
  <c r="BF61" i="9" s="1"/>
  <c r="AN51" i="9"/>
  <c r="BF62" i="9" s="1"/>
  <c r="AN48" i="9"/>
  <c r="BF59" i="9" s="1"/>
  <c r="E7" i="13"/>
  <c r="F8" i="13"/>
  <c r="EC105" i="9"/>
  <c r="ED105" i="9" s="1"/>
  <c r="EC104" i="9"/>
  <c r="ED104" i="9" s="1"/>
  <c r="EC103" i="9"/>
  <c r="ED103" i="9" s="1"/>
  <c r="Z4" i="3"/>
  <c r="BH120" i="9"/>
  <c r="AP120" i="9"/>
  <c r="X120" i="9"/>
  <c r="E29" i="3"/>
  <c r="AS119" i="9" s="1"/>
  <c r="E27" i="3"/>
  <c r="Z48" i="9" s="1"/>
  <c r="C28" i="3"/>
  <c r="E28" i="3" s="1"/>
  <c r="H50" i="9" s="1"/>
  <c r="R192" i="9"/>
  <c r="E26" i="3"/>
  <c r="AA184" i="9" s="1"/>
  <c r="E25" i="3"/>
  <c r="H183" i="9" s="1"/>
  <c r="E24" i="3"/>
  <c r="CC191" i="9" s="1"/>
  <c r="E23" i="3"/>
  <c r="E22" i="3"/>
  <c r="E33" i="3" s="1"/>
  <c r="AZ164" i="9"/>
  <c r="AZ163" i="9"/>
  <c r="AZ162" i="9"/>
  <c r="AZ161" i="9"/>
  <c r="AZ160" i="9"/>
  <c r="AY165" i="9" s="1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Q168" i="9"/>
  <c r="R102" i="9"/>
  <c r="R105" i="9"/>
  <c r="R106" i="9"/>
  <c r="R107" i="9"/>
  <c r="R108" i="9"/>
  <c r="R109" i="9"/>
  <c r="R101" i="9"/>
  <c r="AZ102" i="9"/>
  <c r="AZ103" i="9"/>
  <c r="BA30" i="9"/>
  <c r="BA31" i="9"/>
  <c r="BA32" i="9"/>
  <c r="BA33" i="9"/>
  <c r="BA34" i="9"/>
  <c r="BA28" i="9"/>
  <c r="R29" i="9"/>
  <c r="R30" i="9"/>
  <c r="R31" i="9"/>
  <c r="R32" i="9"/>
  <c r="R33" i="9"/>
  <c r="R34" i="9"/>
  <c r="AZ29" i="9"/>
  <c r="Q28" i="9"/>
  <c r="R28" i="9" s="1"/>
  <c r="AY101" i="9"/>
  <c r="Q103" i="9"/>
  <c r="Q104" i="9"/>
  <c r="R104" i="9" s="1"/>
  <c r="E43" i="11"/>
  <c r="E41" i="11" s="1"/>
  <c r="E37" i="11" s="1"/>
  <c r="E36" i="11" s="1"/>
  <c r="E30" i="11"/>
  <c r="E27" i="11" s="1"/>
  <c r="H37" i="8"/>
  <c r="E16" i="3"/>
  <c r="CC20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T207" i="9" l="1"/>
  <c r="CV208" i="9"/>
  <c r="BK217" i="9"/>
  <c r="CA207" i="9"/>
  <c r="N91" i="11"/>
  <c r="Y182" i="9"/>
  <c r="AA183" i="9"/>
  <c r="AD75" i="11"/>
  <c r="AD87" i="11"/>
  <c r="BI184" i="9"/>
  <c r="F182" i="9"/>
  <c r="D18" i="3"/>
  <c r="CC131" i="9" s="1"/>
  <c r="AJ98" i="11"/>
  <c r="BK184" i="9"/>
  <c r="AB98" i="11"/>
  <c r="DY207" i="9"/>
  <c r="D16" i="3"/>
  <c r="AD77" i="11" s="1"/>
  <c r="DS147" i="9"/>
  <c r="BK183" i="9"/>
  <c r="O172" i="11"/>
  <c r="E102" i="11"/>
  <c r="AB101" i="11"/>
  <c r="BI185" i="9"/>
  <c r="AJ101" i="11"/>
  <c r="E144" i="11"/>
  <c r="BI186" i="9"/>
  <c r="CA226" i="9"/>
  <c r="CC226" i="9"/>
  <c r="CC224" i="9"/>
  <c r="AA181" i="9"/>
  <c r="EQ134" i="9"/>
  <c r="Y183" i="9"/>
  <c r="CT210" i="9"/>
  <c r="BI199" i="9"/>
  <c r="BI144" i="9" a="1"/>
  <c r="BI144" i="9" s="1"/>
  <c r="BI145" i="9" s="1"/>
  <c r="F181" i="9"/>
  <c r="DY210" i="9"/>
  <c r="AD79" i="11"/>
  <c r="CV210" i="9"/>
  <c r="BI202" i="9"/>
  <c r="EA210" i="9"/>
  <c r="AD90" i="11"/>
  <c r="BI217" i="9"/>
  <c r="BI181" i="9"/>
  <c r="D36" i="3"/>
  <c r="BK181" i="9"/>
  <c r="E170" i="11"/>
  <c r="E100" i="11"/>
  <c r="C100" i="11" s="1"/>
  <c r="D8" i="3"/>
  <c r="M59" i="11" s="1"/>
  <c r="E173" i="11"/>
  <c r="E80" i="11"/>
  <c r="D12" i="3"/>
  <c r="DQ147" i="9"/>
  <c r="BI183" i="9"/>
  <c r="BI187" i="9" s="1"/>
  <c r="O170" i="11"/>
  <c r="E101" i="11"/>
  <c r="BI200" i="9"/>
  <c r="AB99" i="11"/>
  <c r="DY208" i="9"/>
  <c r="E171" i="11"/>
  <c r="M62" i="11"/>
  <c r="H59" i="11"/>
  <c r="H184" i="9"/>
  <c r="F185" i="9"/>
  <c r="F186" i="9"/>
  <c r="E85" i="11"/>
  <c r="Q81" i="11" s="1"/>
  <c r="T81" i="11" s="1"/>
  <c r="Q76" i="11"/>
  <c r="Q80" i="11"/>
  <c r="Q84" i="11" s="1"/>
  <c r="T80" i="11"/>
  <c r="Q88" i="11"/>
  <c r="T76" i="11"/>
  <c r="H181" i="9"/>
  <c r="E94" i="11"/>
  <c r="E93" i="11"/>
  <c r="F183" i="9"/>
  <c r="CC211" i="9"/>
  <c r="E91" i="11"/>
  <c r="Y186" i="9"/>
  <c r="CC212" i="9"/>
  <c r="S192" i="9"/>
  <c r="F46" i="9"/>
  <c r="C74" i="11"/>
  <c r="M36" i="11"/>
  <c r="F51" i="9"/>
  <c r="G51" i="9" s="1"/>
  <c r="D30" i="3"/>
  <c r="E30" i="3"/>
  <c r="F119" i="9"/>
  <c r="F120" i="9" s="1"/>
  <c r="H119" i="9"/>
  <c r="H51" i="9"/>
  <c r="F50" i="9"/>
  <c r="G50" i="9" s="1"/>
  <c r="F49" i="9"/>
  <c r="G49" i="9" s="1"/>
  <c r="H49" i="9"/>
  <c r="H48" i="9"/>
  <c r="F48" i="9"/>
  <c r="M37" i="11"/>
  <c r="Y53" i="8"/>
  <c r="Y55" i="8" s="1"/>
  <c r="X54" i="8" s="1"/>
  <c r="N14" i="8"/>
  <c r="E12" i="8"/>
  <c r="Z51" i="9"/>
  <c r="N13" i="8"/>
  <c r="AP51" i="9"/>
  <c r="AQ51" i="9" s="1"/>
  <c r="BJ60" i="9"/>
  <c r="D61" i="11"/>
  <c r="D59" i="11"/>
  <c r="AS181" i="9"/>
  <c r="CC132" i="9"/>
  <c r="M61" i="11"/>
  <c r="Y50" i="8"/>
  <c r="BK144" i="9"/>
  <c r="CC133" i="9"/>
  <c r="CE132" i="9"/>
  <c r="Y52" i="8"/>
  <c r="X50" i="9"/>
  <c r="Y50" i="9" s="1"/>
  <c r="CE133" i="9"/>
  <c r="M35" i="11"/>
  <c r="M38" i="11"/>
  <c r="BF63" i="9"/>
  <c r="BG60" i="9" s="1"/>
  <c r="BI61" i="9"/>
  <c r="E15" i="13"/>
  <c r="ED106" i="9"/>
  <c r="EC106" i="9"/>
  <c r="AZ35" i="9"/>
  <c r="BH59" i="9"/>
  <c r="BI59" i="9" s="1"/>
  <c r="BH60" i="9"/>
  <c r="BI60" i="9" s="1"/>
  <c r="H35" i="11"/>
  <c r="Y119" i="9"/>
  <c r="H39" i="11"/>
  <c r="AP50" i="9"/>
  <c r="AQ50" i="9" s="1"/>
  <c r="BI133" i="9"/>
  <c r="AR48" i="9"/>
  <c r="AR51" i="9"/>
  <c r="Z49" i="9"/>
  <c r="BJ59" i="9"/>
  <c r="Z50" i="9"/>
  <c r="BJ61" i="9"/>
  <c r="AR50" i="9"/>
  <c r="BK119" i="9"/>
  <c r="BK133" i="9"/>
  <c r="CC106" i="9"/>
  <c r="CC107" i="9" s="1"/>
  <c r="AP48" i="9"/>
  <c r="AQ48" i="9" s="1"/>
  <c r="BH62" i="9"/>
  <c r="BI62" i="9" s="1"/>
  <c r="AQ119" i="9"/>
  <c r="CE106" i="9"/>
  <c r="AA119" i="9"/>
  <c r="BJ62" i="9"/>
  <c r="X49" i="9"/>
  <c r="Y49" i="9" s="1"/>
  <c r="CA194" i="9"/>
  <c r="AR49" i="9"/>
  <c r="CA193" i="9"/>
  <c r="AP49" i="9"/>
  <c r="AQ49" i="9" s="1"/>
  <c r="AQ181" i="9"/>
  <c r="CC193" i="9"/>
  <c r="AQ184" i="9"/>
  <c r="AS183" i="9"/>
  <c r="AS184" i="9"/>
  <c r="CC194" i="9"/>
  <c r="EO135" i="9"/>
  <c r="DS133" i="9"/>
  <c r="EQ135" i="9"/>
  <c r="H20" i="11"/>
  <c r="H23" i="11"/>
  <c r="DQ133" i="9"/>
  <c r="V15" i="11"/>
  <c r="R168" i="9"/>
  <c r="AZ165" i="9"/>
  <c r="Q35" i="9"/>
  <c r="Q110" i="9"/>
  <c r="R103" i="9"/>
  <c r="AZ101" i="9"/>
  <c r="AZ104" i="9" s="1"/>
  <c r="BA29" i="9"/>
  <c r="R35" i="9"/>
  <c r="E25" i="11"/>
  <c r="E32" i="11"/>
  <c r="V13" i="11" s="1"/>
  <c r="F37" i="8" a="1"/>
  <c r="F37" i="8" s="1"/>
  <c r="H51" i="8"/>
  <c r="F51" i="8"/>
  <c r="AV44" i="8"/>
  <c r="AV45" i="8"/>
  <c r="E14" i="8"/>
  <c r="CG43" i="8"/>
  <c r="CG42" i="8"/>
  <c r="AD88" i="11" l="1"/>
  <c r="CT208" i="9"/>
  <c r="AD80" i="11"/>
  <c r="CA209" i="9"/>
  <c r="CA212" i="9"/>
  <c r="AJ99" i="11"/>
  <c r="E137" i="11"/>
  <c r="DQ145" i="9"/>
  <c r="O137" i="11"/>
  <c r="E83" i="11"/>
  <c r="Q85" i="11" s="1"/>
  <c r="T85" i="11" s="1"/>
  <c r="E172" i="11"/>
  <c r="DQ146" i="9"/>
  <c r="DY209" i="9"/>
  <c r="CT209" i="9"/>
  <c r="E176" i="11"/>
  <c r="BI216" i="9"/>
  <c r="BI218" i="9" s="1"/>
  <c r="Y187" i="9"/>
  <c r="E138" i="11"/>
  <c r="O171" i="11"/>
  <c r="CA225" i="9"/>
  <c r="CA227" i="9" s="1"/>
  <c r="AJ100" i="11"/>
  <c r="AD76" i="11"/>
  <c r="CA208" i="9"/>
  <c r="E81" i="11"/>
  <c r="Q77" i="11" s="1"/>
  <c r="T77" i="11" s="1"/>
  <c r="AD78" i="11"/>
  <c r="Y51" i="8"/>
  <c r="BI201" i="9"/>
  <c r="AB100" i="11"/>
  <c r="E143" i="11"/>
  <c r="E145" i="11" s="1"/>
  <c r="T84" i="11"/>
  <c r="CA210" i="9"/>
  <c r="AD89" i="11"/>
  <c r="D60" i="11"/>
  <c r="E82" i="11"/>
  <c r="Q89" i="11"/>
  <c r="T89" i="11" s="1"/>
  <c r="F187" i="9"/>
  <c r="X53" i="8"/>
  <c r="F52" i="9"/>
  <c r="D62" i="11"/>
  <c r="G48" i="9"/>
  <c r="BO55" i="9"/>
  <c r="BG59" i="9"/>
  <c r="BG61" i="9"/>
  <c r="BG62" i="9"/>
  <c r="AY104" i="9"/>
  <c r="BH63" i="9"/>
  <c r="BI63" i="9"/>
  <c r="R110" i="9"/>
  <c r="BA35" i="9"/>
  <c r="E22" i="11"/>
  <c r="E26" i="11"/>
  <c r="V12" i="11" s="1"/>
  <c r="E17" i="3"/>
  <c r="BK18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83" i="15" l="1"/>
  <c r="BC54" i="15"/>
  <c r="E6" i="13"/>
  <c r="E8" i="13" s="1"/>
  <c r="O92" i="15"/>
  <c r="BD50" i="15"/>
  <c r="BG63" i="9"/>
  <c r="H182" i="9"/>
  <c r="AA182" i="9"/>
  <c r="DQ120" i="9"/>
  <c r="CC118" i="9"/>
  <c r="CC119" i="9" s="1"/>
  <c r="CE118" i="9"/>
  <c r="DS120" i="9"/>
  <c r="BK60" i="9"/>
  <c r="BL60" i="9" s="1"/>
  <c r="BK59" i="9"/>
  <c r="BL59" i="9" s="1"/>
  <c r="BK61" i="9"/>
  <c r="BL61" i="9" s="1"/>
  <c r="BK62" i="9"/>
  <c r="BL62" i="9" s="1"/>
  <c r="AQ182" i="9"/>
  <c r="CA192" i="9"/>
  <c r="CC192" i="9"/>
  <c r="AS182" i="9"/>
  <c r="H30" i="11"/>
  <c r="H27" i="11"/>
  <c r="H41" i="11"/>
  <c r="H37" i="11"/>
  <c r="E19" i="11"/>
  <c r="E21" i="11"/>
  <c r="M5" i="3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K186" i="9" s="1"/>
  <c r="E13" i="3"/>
  <c r="E12" i="3"/>
  <c r="E11" i="3"/>
  <c r="E10" i="3"/>
  <c r="BK185" i="9" s="1"/>
  <c r="E9" i="3"/>
  <c r="EQ118" i="9" s="1"/>
  <c r="E8" i="3"/>
  <c r="E7" i="3"/>
  <c r="E6" i="3"/>
  <c r="H118" i="9" s="1"/>
  <c r="E5" i="3"/>
  <c r="BX43" i="8"/>
  <c r="BX44" i="8"/>
  <c r="BV43" i="8"/>
  <c r="BV44" i="8"/>
  <c r="D9" i="3"/>
  <c r="X47" i="9"/>
  <c r="X46" i="9"/>
  <c r="E36" i="3" l="1"/>
  <c r="CC180" i="9"/>
  <c r="CC210" i="9"/>
  <c r="CC225" i="9"/>
  <c r="CC227" i="9" s="1"/>
  <c r="DS146" i="9"/>
  <c r="DS148" i="9" s="1"/>
  <c r="BK216" i="9"/>
  <c r="BK201" i="9"/>
  <c r="BK203" i="9" s="1"/>
  <c r="CV209" i="9"/>
  <c r="CV211" i="9" s="1"/>
  <c r="EA209" i="9"/>
  <c r="EA211" i="9" s="1"/>
  <c r="E31" i="3"/>
  <c r="E34" i="3"/>
  <c r="E37" i="3"/>
  <c r="E39" i="3"/>
  <c r="E38" i="3"/>
  <c r="CC208" i="9" a="1"/>
  <c r="CC208" i="9" s="1"/>
  <c r="AA185" i="9"/>
  <c r="H185" i="9"/>
  <c r="AA186" i="9"/>
  <c r="H186" i="9"/>
  <c r="H46" i="9"/>
  <c r="H47" i="9"/>
  <c r="BM60" i="9"/>
  <c r="BN60" i="9" s="1"/>
  <c r="BO60" i="9" s="1"/>
  <c r="BP60" i="9" s="1"/>
  <c r="BM59" i="9"/>
  <c r="BN59" i="9" s="1"/>
  <c r="BO59" i="9" s="1"/>
  <c r="BP59" i="9" s="1"/>
  <c r="BM61" i="9"/>
  <c r="BN61" i="9" s="1"/>
  <c r="BO61" i="9" s="1"/>
  <c r="BP61" i="9" s="1"/>
  <c r="BM62" i="9"/>
  <c r="BN62" i="9" s="1"/>
  <c r="BO62" i="9" s="1"/>
  <c r="BP62" i="9" s="1"/>
  <c r="H38" i="11"/>
  <c r="CC130" i="9"/>
  <c r="AR46" i="9"/>
  <c r="Z46" i="9"/>
  <c r="CE131" i="9"/>
  <c r="BK132" i="9"/>
  <c r="Y118" i="9"/>
  <c r="BI118" i="9"/>
  <c r="BI120" i="9" s="1"/>
  <c r="AQ118" i="9"/>
  <c r="AQ120" i="9" s="1"/>
  <c r="BK118" i="9"/>
  <c r="AA118" i="9"/>
  <c r="AS118" i="9"/>
  <c r="BI132" i="9"/>
  <c r="EQ133" i="9"/>
  <c r="CE130" i="9"/>
  <c r="AR47" i="9"/>
  <c r="Z47" i="9"/>
  <c r="X52" i="9"/>
  <c r="AQ186" i="9"/>
  <c r="AP47" i="9"/>
  <c r="CA196" i="9"/>
  <c r="CC196" i="9"/>
  <c r="AS186" i="9"/>
  <c r="AQ185" i="9"/>
  <c r="CA195" i="9"/>
  <c r="AP46" i="9"/>
  <c r="AS185" i="9"/>
  <c r="CC195" i="9"/>
  <c r="BH46" i="9"/>
  <c r="DQ118" i="9"/>
  <c r="F12" i="11"/>
  <c r="H29" i="11"/>
  <c r="BJ46" i="9"/>
  <c r="DS118" i="9"/>
  <c r="H50" i="8"/>
  <c r="DS132" i="9"/>
  <c r="DS119" i="9"/>
  <c r="BJ47" i="9"/>
  <c r="DQ119" i="9"/>
  <c r="H42" i="11"/>
  <c r="BH47" i="9"/>
  <c r="H36" i="11"/>
  <c r="DS121" i="9"/>
  <c r="DQ132" i="9"/>
  <c r="DQ134" i="9" s="1"/>
  <c r="H21" i="11"/>
  <c r="EQ96" i="9"/>
  <c r="EQ97" i="9" s="1"/>
  <c r="EO118" i="9"/>
  <c r="EO119" i="9" s="1"/>
  <c r="H31" i="11"/>
  <c r="H43" i="11"/>
  <c r="EO96" i="9"/>
  <c r="EO97" i="9" s="1"/>
  <c r="EO133" i="9"/>
  <c r="EO136" i="9" s="1"/>
  <c r="H25" i="11"/>
  <c r="H22" i="11"/>
  <c r="H32" i="11"/>
  <c r="DQ121" i="9"/>
  <c r="H26" i="11"/>
  <c r="H19" i="11"/>
  <c r="CA180" i="9"/>
  <c r="EQ119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C213" i="9" l="1"/>
  <c r="CA197" i="9"/>
  <c r="I13" i="8"/>
  <c r="I14" i="8" s="1"/>
  <c r="DQ122" i="9"/>
  <c r="Y120" i="9"/>
  <c r="BI134" i="9"/>
  <c r="BO63" i="9"/>
  <c r="AP52" i="9"/>
  <c r="AQ187" i="9"/>
  <c r="BH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P119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N118" i="9" l="1"/>
  <c r="J29" i="11"/>
  <c r="DP118" i="9"/>
  <c r="J43" i="11"/>
  <c r="EN96" i="9"/>
  <c r="BF47" i="9"/>
  <c r="AN47" i="9" s="1"/>
  <c r="DR119" i="9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N119" i="9"/>
  <c r="EV114" i="9" s="1"/>
  <c r="EP118" i="9"/>
  <c r="V47" i="9"/>
  <c r="AQ47" i="9"/>
  <c r="BI47" i="9"/>
  <c r="BF46" i="9"/>
  <c r="AN46" i="9" s="1"/>
  <c r="V46" i="9" s="1"/>
  <c r="DR118" i="9"/>
  <c r="EN97" i="9"/>
  <c r="EV92" i="9" s="1"/>
  <c r="AC90" i="15" s="1"/>
  <c r="AC92" i="15" s="1"/>
  <c r="EP96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BC68" i="15" l="1"/>
  <c r="BD68" i="15" s="1"/>
  <c r="BB66" i="15"/>
  <c r="BD66" i="15" s="1"/>
  <c r="AA90" i="15"/>
  <c r="G6" i="13"/>
  <c r="D46" i="9"/>
  <c r="G46" i="9" s="1"/>
  <c r="D47" i="9"/>
  <c r="G47" i="9" s="1"/>
  <c r="EP119" i="9"/>
  <c r="ER118" i="9" s="1"/>
  <c r="ER119" i="9" s="1"/>
  <c r="Z50" i="8"/>
  <c r="AA50" i="8" s="1"/>
  <c r="CA118" i="9"/>
  <c r="CD118" i="9" s="1"/>
  <c r="BM44" i="8"/>
  <c r="AL46" i="8"/>
  <c r="I36" i="11"/>
  <c r="L27" i="11" s="1"/>
  <c r="B51" i="11" s="1"/>
  <c r="C51" i="11" s="1"/>
  <c r="BH144" i="9" s="1"/>
  <c r="N37" i="11"/>
  <c r="AQ46" i="9"/>
  <c r="Y47" i="9"/>
  <c r="AN52" i="9"/>
  <c r="ER96" i="9"/>
  <c r="EP97" i="9"/>
  <c r="BF48" i="9"/>
  <c r="BI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AA92" i="15" l="1"/>
  <c r="D118" i="9"/>
  <c r="G118" i="9" s="1"/>
  <c r="D52" i="9"/>
  <c r="E46" i="9" s="1"/>
  <c r="CA119" i="9"/>
  <c r="CJ114" i="9" s="1"/>
  <c r="M42" i="9"/>
  <c r="E51" i="9"/>
  <c r="E48" i="9"/>
  <c r="E49" i="9"/>
  <c r="E50" i="9"/>
  <c r="G52" i="9"/>
  <c r="E47" i="9"/>
  <c r="U46" i="8"/>
  <c r="R45" i="8"/>
  <c r="DP120" i="9"/>
  <c r="ES118" i="9"/>
  <c r="ET118" i="9" s="1"/>
  <c r="CD119" i="9"/>
  <c r="CF118" i="9" s="1"/>
  <c r="CG118" i="9" s="1"/>
  <c r="CH118" i="9" s="1"/>
  <c r="CI118" i="9" s="1"/>
  <c r="CJ118" i="9" s="1"/>
  <c r="BB34" i="9"/>
  <c r="BD34" i="9" s="1"/>
  <c r="BB28" i="9"/>
  <c r="BD28" i="9" s="1"/>
  <c r="BB33" i="9"/>
  <c r="BD33" i="9" s="1"/>
  <c r="BB31" i="9"/>
  <c r="BD31" i="9" s="1"/>
  <c r="BB30" i="9"/>
  <c r="BD30" i="9" s="1"/>
  <c r="BB32" i="9"/>
  <c r="BD32" i="9" s="1"/>
  <c r="BB29" i="9"/>
  <c r="BD29" i="9" s="1"/>
  <c r="W50" i="9"/>
  <c r="W49" i="9"/>
  <c r="AW42" i="9"/>
  <c r="W48" i="9"/>
  <c r="W51" i="9"/>
  <c r="AO46" i="9"/>
  <c r="W47" i="9"/>
  <c r="AQ52" i="9"/>
  <c r="V52" i="9"/>
  <c r="W46" i="9"/>
  <c r="Y46" i="9"/>
  <c r="AO50" i="9"/>
  <c r="AO51" i="9"/>
  <c r="AO48" i="9"/>
  <c r="AO49" i="9"/>
  <c r="AO47" i="9"/>
  <c r="BI48" i="9"/>
  <c r="BK47" i="9" s="1"/>
  <c r="BL47" i="9" s="1"/>
  <c r="BM47" i="9" s="1"/>
  <c r="BN47" i="9" s="1"/>
  <c r="BO47" i="9" s="1"/>
  <c r="BP47" i="9" s="1"/>
  <c r="BO42" i="9"/>
  <c r="BG47" i="9"/>
  <c r="BG46" i="9"/>
  <c r="ES96" i="9"/>
  <c r="ET96" i="9" s="1"/>
  <c r="EU96" i="9" s="1"/>
  <c r="ER97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D119" i="9" l="1"/>
  <c r="G119" i="9" s="1"/>
  <c r="AU62" i="15"/>
  <c r="AW62" i="15" s="1"/>
  <c r="G139" i="15" s="1"/>
  <c r="W88" i="15"/>
  <c r="K80" i="15"/>
  <c r="AN50" i="15"/>
  <c r="N83" i="15"/>
  <c r="AU53" i="15"/>
  <c r="M19" i="11"/>
  <c r="BD35" i="9"/>
  <c r="C105" i="15"/>
  <c r="C111" i="15" s="1"/>
  <c r="C119" i="15" s="1"/>
  <c r="H77" i="15"/>
  <c r="BP23" i="8"/>
  <c r="BQ22" i="8"/>
  <c r="BQ23" i="8" s="1"/>
  <c r="BQ16" i="8" s="1"/>
  <c r="E52" i="9"/>
  <c r="D120" i="9"/>
  <c r="M114" i="9" s="1"/>
  <c r="G120" i="9"/>
  <c r="I119" i="9" s="1"/>
  <c r="J119" i="9" s="1"/>
  <c r="I51" i="9"/>
  <c r="I50" i="9"/>
  <c r="J50" i="9" s="1"/>
  <c r="K50" i="9" s="1"/>
  <c r="L50" i="9" s="1"/>
  <c r="M50" i="9" s="1"/>
  <c r="N50" i="9" s="1"/>
  <c r="I48" i="9"/>
  <c r="I49" i="9"/>
  <c r="I46" i="9"/>
  <c r="J46" i="9" s="1"/>
  <c r="K46" i="9" s="1"/>
  <c r="L46" i="9" s="1"/>
  <c r="M46" i="9" s="1"/>
  <c r="I47" i="9"/>
  <c r="J47" i="9" s="1"/>
  <c r="K47" i="9" s="1"/>
  <c r="L47" i="9" s="1"/>
  <c r="M47" i="9" s="1"/>
  <c r="N47" i="9" s="1"/>
  <c r="BA46" i="9"/>
  <c r="AJ28" i="9"/>
  <c r="ES119" i="9"/>
  <c r="CK118" i="9"/>
  <c r="CJ119" i="9"/>
  <c r="BK46" i="9"/>
  <c r="BL46" i="9" s="1"/>
  <c r="BM46" i="9" s="1"/>
  <c r="BN46" i="9" s="1"/>
  <c r="W52" i="9"/>
  <c r="S28" i="9"/>
  <c r="U28" i="9" s="1"/>
  <c r="AE42" i="9"/>
  <c r="S31" i="9"/>
  <c r="U31" i="9" s="1"/>
  <c r="S29" i="9"/>
  <c r="U29" i="9" s="1"/>
  <c r="S34" i="9"/>
  <c r="U34" i="9" s="1"/>
  <c r="S33" i="9"/>
  <c r="U33" i="9" s="1"/>
  <c r="S32" i="9"/>
  <c r="U32" i="9" s="1"/>
  <c r="S30" i="9"/>
  <c r="U30" i="9" s="1"/>
  <c r="AA49" i="9"/>
  <c r="AS50" i="9"/>
  <c r="AS51" i="9"/>
  <c r="AS48" i="9"/>
  <c r="AA50" i="9"/>
  <c r="AA51" i="9"/>
  <c r="AB51" i="9" s="1"/>
  <c r="AC51" i="9" s="1"/>
  <c r="AD51" i="9" s="1"/>
  <c r="AE51" i="9" s="1"/>
  <c r="AF51" i="9" s="1"/>
  <c r="AA48" i="9"/>
  <c r="AB48" i="9" s="1"/>
  <c r="AC48" i="9" s="1"/>
  <c r="AD48" i="9" s="1"/>
  <c r="AE48" i="9" s="1"/>
  <c r="AF48" i="9" s="1"/>
  <c r="AS49" i="9"/>
  <c r="AS47" i="9"/>
  <c r="AS46" i="9"/>
  <c r="AA47" i="9"/>
  <c r="AO52" i="9"/>
  <c r="AA46" i="9"/>
  <c r="Y52" i="9"/>
  <c r="EU118" i="9"/>
  <c r="ET119" i="9"/>
  <c r="EU97" i="9"/>
  <c r="EV96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47" i="15" l="1"/>
  <c r="AH42" i="15"/>
  <c r="N92" i="15"/>
  <c r="AD83" i="15"/>
  <c r="E162" i="15" s="1"/>
  <c r="K92" i="15"/>
  <c r="AD80" i="15"/>
  <c r="E159" i="15" s="1"/>
  <c r="AW50" i="15"/>
  <c r="G127" i="15" s="1"/>
  <c r="AN71" i="15"/>
  <c r="C162" i="15" s="1"/>
  <c r="AD77" i="15"/>
  <c r="E156" i="15" s="1"/>
  <c r="H92" i="15"/>
  <c r="AL28" i="9"/>
  <c r="D106" i="15"/>
  <c r="D111" i="15" s="1"/>
  <c r="C120" i="15" s="1"/>
  <c r="I78" i="15"/>
  <c r="AD78" i="15" s="1"/>
  <c r="E157" i="15" s="1"/>
  <c r="AI43" i="15"/>
  <c r="AI71" i="15" s="1"/>
  <c r="C157" i="15" s="1"/>
  <c r="K119" i="9"/>
  <c r="L119" i="9" s="1"/>
  <c r="M119" i="9" s="1"/>
  <c r="N119" i="9" s="1"/>
  <c r="J51" i="9"/>
  <c r="K51" i="9" s="1"/>
  <c r="L51" i="9" s="1"/>
  <c r="M51" i="9" s="1"/>
  <c r="N51" i="9" s="1"/>
  <c r="G8" i="12"/>
  <c r="AI46" i="9"/>
  <c r="Q46" i="9"/>
  <c r="I118" i="9"/>
  <c r="J49" i="9"/>
  <c r="K49" i="9" s="1"/>
  <c r="L49" i="9" s="1"/>
  <c r="M49" i="9" s="1"/>
  <c r="N49" i="9" s="1"/>
  <c r="J48" i="9"/>
  <c r="K48" i="9" s="1"/>
  <c r="L48" i="9" s="1"/>
  <c r="M48" i="9" s="1"/>
  <c r="N46" i="9"/>
  <c r="U45" i="8"/>
  <c r="R44" i="8"/>
  <c r="CK119" i="9"/>
  <c r="CK114" i="9" s="1"/>
  <c r="L19" i="11"/>
  <c r="BO46" i="9"/>
  <c r="BP63" i="9"/>
  <c r="BP55" i="9" s="1"/>
  <c r="U35" i="9"/>
  <c r="AB46" i="9"/>
  <c r="AC46" i="9" s="1"/>
  <c r="AD46" i="9" s="1"/>
  <c r="AE46" i="9" s="1"/>
  <c r="AT48" i="9"/>
  <c r="AU48" i="9" s="1"/>
  <c r="AV48" i="9" s="1"/>
  <c r="AW48" i="9" s="1"/>
  <c r="AX48" i="9" s="1"/>
  <c r="AT51" i="9"/>
  <c r="AU51" i="9" s="1"/>
  <c r="AV51" i="9" s="1"/>
  <c r="AW51" i="9" s="1"/>
  <c r="AX51" i="9" s="1"/>
  <c r="AT50" i="9"/>
  <c r="AU50" i="9" s="1"/>
  <c r="AV50" i="9" s="1"/>
  <c r="AW50" i="9" s="1"/>
  <c r="AX50" i="9" s="1"/>
  <c r="AB47" i="9"/>
  <c r="AC47" i="9" s="1"/>
  <c r="AD47" i="9" s="1"/>
  <c r="AE47" i="9" s="1"/>
  <c r="AF47" i="9" s="1"/>
  <c r="AT46" i="9"/>
  <c r="AU46" i="9" s="1"/>
  <c r="AV46" i="9" s="1"/>
  <c r="AW46" i="9" s="1"/>
  <c r="AT49" i="9"/>
  <c r="AU49" i="9" s="1"/>
  <c r="AV49" i="9" s="1"/>
  <c r="AW49" i="9" s="1"/>
  <c r="AX49" i="9" s="1"/>
  <c r="AB49" i="9"/>
  <c r="AC49" i="9" s="1"/>
  <c r="AD49" i="9" s="1"/>
  <c r="AE49" i="9" s="1"/>
  <c r="AF49" i="9" s="1"/>
  <c r="AT47" i="9"/>
  <c r="AU47" i="9" s="1"/>
  <c r="AV47" i="9" s="1"/>
  <c r="AW47" i="9" s="1"/>
  <c r="AX47" i="9" s="1"/>
  <c r="AB50" i="9"/>
  <c r="AC50" i="9" s="1"/>
  <c r="AD50" i="9" s="1"/>
  <c r="AE50" i="9" s="1"/>
  <c r="AF50" i="9" s="1"/>
  <c r="S35" i="9"/>
  <c r="F7" i="17" s="1"/>
  <c r="J21" i="11"/>
  <c r="EV97" i="9"/>
  <c r="EW96" i="9"/>
  <c r="EW97" i="9" s="1"/>
  <c r="EW92" i="9" s="1"/>
  <c r="EV118" i="9"/>
  <c r="EU119" i="9"/>
  <c r="J19" i="11"/>
  <c r="CH42" i="8"/>
  <c r="BB46" i="8"/>
  <c r="BI43" i="8"/>
  <c r="BH46" i="8"/>
  <c r="BC68" i="19" l="1"/>
  <c r="BD68" i="19" s="1"/>
  <c r="AC91" i="19"/>
  <c r="AC93" i="19" s="1"/>
  <c r="AU62" i="19"/>
  <c r="AW62" i="19" s="1"/>
  <c r="G140" i="19" s="1"/>
  <c r="W88" i="19"/>
  <c r="W93" i="19" s="1"/>
  <c r="AY46" i="9"/>
  <c r="N6" i="13" s="1"/>
  <c r="O83" i="19"/>
  <c r="O93" i="19" s="1"/>
  <c r="BC54" i="19"/>
  <c r="BD54" i="19" s="1"/>
  <c r="AW42" i="15"/>
  <c r="G119" i="15" s="1"/>
  <c r="AH71" i="15"/>
  <c r="C156" i="15" s="1"/>
  <c r="AK71" i="15"/>
  <c r="C159" i="15" s="1"/>
  <c r="AW47" i="15"/>
  <c r="G124" i="15" s="1"/>
  <c r="G7" i="17"/>
  <c r="I7" i="17" s="1"/>
  <c r="H7" i="17"/>
  <c r="I27" i="9"/>
  <c r="D7" i="14" s="1"/>
  <c r="BO48" i="9"/>
  <c r="BC46" i="9"/>
  <c r="G7" i="14" s="1"/>
  <c r="AK46" i="9"/>
  <c r="F7" i="14" s="1"/>
  <c r="E8" i="12"/>
  <c r="F8" i="12"/>
  <c r="G73" i="11"/>
  <c r="G74" i="11" s="1"/>
  <c r="BG180" i="9" s="1"/>
  <c r="BY180" i="9"/>
  <c r="B74" i="11"/>
  <c r="J118" i="9"/>
  <c r="K118" i="9" s="1"/>
  <c r="L118" i="9" s="1"/>
  <c r="M118" i="9" s="1"/>
  <c r="I120" i="9"/>
  <c r="N48" i="9"/>
  <c r="N52" i="9" s="1"/>
  <c r="N42" i="9" s="1"/>
  <c r="M52" i="9"/>
  <c r="S46" i="9"/>
  <c r="E7" i="14" s="1"/>
  <c r="BI46" i="8"/>
  <c r="BI38" i="8" s="1"/>
  <c r="AN48" i="8"/>
  <c r="DP121" i="9"/>
  <c r="BP46" i="9"/>
  <c r="AX46" i="9"/>
  <c r="AW52" i="9"/>
  <c r="AE52" i="9"/>
  <c r="AF46" i="9"/>
  <c r="I29" i="9" s="1"/>
  <c r="D9" i="14" s="1"/>
  <c r="EV119" i="9"/>
  <c r="EW118" i="9"/>
  <c r="CH45" i="8"/>
  <c r="CI42" i="8"/>
  <c r="AH42" i="19" l="1"/>
  <c r="C106" i="19"/>
  <c r="C112" i="19" s="1"/>
  <c r="G75" i="11"/>
  <c r="C95" i="11" s="1"/>
  <c r="AO180" i="9"/>
  <c r="D180" i="9"/>
  <c r="W180" i="9"/>
  <c r="G5" i="12"/>
  <c r="D5" i="12"/>
  <c r="F5" i="12"/>
  <c r="E5" i="12"/>
  <c r="F74" i="11"/>
  <c r="BY213" i="9"/>
  <c r="C86" i="11"/>
  <c r="AB81" i="11" s="1"/>
  <c r="D74" i="11"/>
  <c r="M120" i="9"/>
  <c r="N118" i="9"/>
  <c r="N120" i="9" s="1"/>
  <c r="N114" i="9" s="1"/>
  <c r="S48" i="9"/>
  <c r="E9" i="14" s="1"/>
  <c r="DR121" i="9"/>
  <c r="CB180" i="9"/>
  <c r="AN47" i="8"/>
  <c r="AK46" i="8"/>
  <c r="CI45" i="8"/>
  <c r="CI38" i="8" s="1"/>
  <c r="BO45" i="8" s="1"/>
  <c r="BO46" i="8"/>
  <c r="EW119" i="9"/>
  <c r="EW114" i="9" s="1"/>
  <c r="AF52" i="9"/>
  <c r="AF42" i="9" s="1"/>
  <c r="AX52" i="9"/>
  <c r="AX42" i="9" s="1"/>
  <c r="BP48" i="9"/>
  <c r="BP42" i="9" s="1"/>
  <c r="BY181" i="9"/>
  <c r="CH176" i="9" s="1"/>
  <c r="BC48" i="9" l="1"/>
  <c r="G9" i="14" s="1"/>
  <c r="K80" i="19"/>
  <c r="AN50" i="19"/>
  <c r="AU53" i="19"/>
  <c r="AW53" i="19" s="1"/>
  <c r="G131" i="19" s="1"/>
  <c r="N83" i="19"/>
  <c r="AI43" i="19"/>
  <c r="D107" i="19"/>
  <c r="D112" i="19" s="1"/>
  <c r="BB66" i="19"/>
  <c r="BD66" i="19" s="1"/>
  <c r="AA91" i="19"/>
  <c r="AA93" i="19" s="1"/>
  <c r="AK47" i="19"/>
  <c r="H77" i="19"/>
  <c r="AW42" i="19"/>
  <c r="G120" i="19" s="1"/>
  <c r="AH71" i="19"/>
  <c r="C158" i="19" s="1"/>
  <c r="AU57" i="15"/>
  <c r="R86" i="15"/>
  <c r="R92" i="15" s="1"/>
  <c r="AW53" i="15"/>
  <c r="G130" i="15" s="1"/>
  <c r="AB78" i="11"/>
  <c r="AE78" i="11" s="1"/>
  <c r="AJ84" i="11" s="1"/>
  <c r="AJ83" i="11" s="1"/>
  <c r="AB79" i="11"/>
  <c r="AE79" i="11" s="1"/>
  <c r="AE90" i="11" s="1"/>
  <c r="AB90" i="11" s="1"/>
  <c r="AB76" i="11"/>
  <c r="AE76" i="11" s="1"/>
  <c r="AB75" i="11"/>
  <c r="AE75" i="11" s="1"/>
  <c r="AB77" i="11"/>
  <c r="AE77" i="11" s="1"/>
  <c r="AJ88" i="11" s="1"/>
  <c r="AJ87" i="11" s="1"/>
  <c r="AB80" i="11"/>
  <c r="AE80" i="11" s="1"/>
  <c r="BY197" i="9"/>
  <c r="BY194" i="9" s="1"/>
  <c r="AO184" i="9" s="1"/>
  <c r="CH203" i="9"/>
  <c r="AK48" i="9"/>
  <c r="F9" i="14" s="1"/>
  <c r="I28" i="9"/>
  <c r="D8" i="14" s="1"/>
  <c r="I81" i="11"/>
  <c r="C82" i="11"/>
  <c r="F82" i="11" s="1"/>
  <c r="R89" i="11" s="1"/>
  <c r="C83" i="11"/>
  <c r="F83" i="11" s="1"/>
  <c r="R85" i="11" s="1"/>
  <c r="C80" i="11"/>
  <c r="F80" i="11" s="1"/>
  <c r="C81" i="11"/>
  <c r="F81" i="11" s="1"/>
  <c r="R77" i="11" s="1"/>
  <c r="C85" i="11"/>
  <c r="F85" i="11" s="1"/>
  <c r="R81" i="11" s="1"/>
  <c r="C84" i="11"/>
  <c r="F84" i="11" s="1"/>
  <c r="G7" i="12"/>
  <c r="BY209" i="9"/>
  <c r="CB209" i="9" s="1"/>
  <c r="BY210" i="9"/>
  <c r="BY207" i="9"/>
  <c r="CB207" i="9" s="1"/>
  <c r="BY212" i="9"/>
  <c r="BY208" i="9"/>
  <c r="CB208" i="9" s="1"/>
  <c r="BY211" i="9"/>
  <c r="CB211" i="9" s="1"/>
  <c r="E7" i="12"/>
  <c r="D7" i="12"/>
  <c r="BC47" i="9"/>
  <c r="G8" i="14" s="1"/>
  <c r="AK47" i="9"/>
  <c r="F8" i="14" s="1"/>
  <c r="S47" i="9"/>
  <c r="E8" i="14" s="1"/>
  <c r="G27" i="9"/>
  <c r="BL44" i="8"/>
  <c r="AZ46" i="9"/>
  <c r="AH46" i="9"/>
  <c r="BZ180" i="9"/>
  <c r="CB181" i="9"/>
  <c r="AE77" i="19" l="1"/>
  <c r="E158" i="19" s="1"/>
  <c r="G158" i="19" s="1"/>
  <c r="H93" i="19"/>
  <c r="AW47" i="19"/>
  <c r="G125" i="19" s="1"/>
  <c r="AK71" i="19"/>
  <c r="C161" i="19" s="1"/>
  <c r="AI71" i="19"/>
  <c r="C159" i="19" s="1"/>
  <c r="AW43" i="19"/>
  <c r="G121" i="19" s="1"/>
  <c r="AE83" i="19"/>
  <c r="E164" i="19" s="1"/>
  <c r="N93" i="19"/>
  <c r="AW50" i="19"/>
  <c r="G128" i="19" s="1"/>
  <c r="AN71" i="19"/>
  <c r="C164" i="19" s="1"/>
  <c r="AE80" i="19"/>
  <c r="E161" i="19" s="1"/>
  <c r="K93" i="19"/>
  <c r="AR58" i="15"/>
  <c r="S86" i="15"/>
  <c r="S92" i="15" s="1"/>
  <c r="AW57" i="15"/>
  <c r="G134" i="15" s="1"/>
  <c r="AU71" i="15"/>
  <c r="C168" i="15" s="1"/>
  <c r="W184" i="9"/>
  <c r="D184" i="9" s="1"/>
  <c r="G184" i="9" s="1"/>
  <c r="BG184" i="9"/>
  <c r="CB210" i="9"/>
  <c r="CM199" i="9"/>
  <c r="CN199" i="9" s="1"/>
  <c r="CB212" i="9"/>
  <c r="AE81" i="11"/>
  <c r="AF76" i="11" s="1"/>
  <c r="AL80" i="11"/>
  <c r="AL79" i="11" s="1"/>
  <c r="CR210" i="9"/>
  <c r="CU210" i="9" s="1"/>
  <c r="AL75" i="11"/>
  <c r="AJ75" i="11"/>
  <c r="AO79" i="11" s="1"/>
  <c r="AO80" i="11" s="1"/>
  <c r="AE88" i="11" s="1"/>
  <c r="AJ76" i="11"/>
  <c r="AL76" i="11" s="1"/>
  <c r="AL88" i="11"/>
  <c r="AL87" i="11" s="1"/>
  <c r="AL84" i="11"/>
  <c r="AL83" i="11" s="1"/>
  <c r="BY192" i="9"/>
  <c r="AO182" i="9" s="1"/>
  <c r="BY193" i="9"/>
  <c r="AO183" i="9" s="1"/>
  <c r="BY196" i="9"/>
  <c r="AO186" i="9" s="1"/>
  <c r="BY195" i="9"/>
  <c r="AO185" i="9" s="1"/>
  <c r="BY191" i="9"/>
  <c r="AO181" i="9" s="1"/>
  <c r="F7" i="12"/>
  <c r="K80" i="11"/>
  <c r="U85" i="11"/>
  <c r="U84" i="11" s="1"/>
  <c r="R84" i="11"/>
  <c r="U81" i="11"/>
  <c r="U80" i="11" s="1"/>
  <c r="R80" i="11"/>
  <c r="U77" i="11"/>
  <c r="U76" i="11" s="1"/>
  <c r="R76" i="11"/>
  <c r="U89" i="11"/>
  <c r="U88" i="11" s="1"/>
  <c r="R88" i="11"/>
  <c r="F6" i="12"/>
  <c r="G6" i="12"/>
  <c r="F86" i="11"/>
  <c r="D6" i="12"/>
  <c r="E6" i="12"/>
  <c r="CD180" i="9"/>
  <c r="CE180" i="9" s="1"/>
  <c r="CF180" i="9" s="1"/>
  <c r="CG180" i="9" s="1"/>
  <c r="CB213" i="9" l="1"/>
  <c r="CD208" i="9" s="1"/>
  <c r="CE208" i="9" s="1"/>
  <c r="CF208" i="9" s="1"/>
  <c r="CG208" i="9" s="1"/>
  <c r="CH208" i="9" s="1"/>
  <c r="CI208" i="9" s="1"/>
  <c r="G164" i="19"/>
  <c r="G161" i="19"/>
  <c r="AW58" i="15"/>
  <c r="G135" i="15" s="1"/>
  <c r="AR71" i="15"/>
  <c r="C166" i="15" s="1"/>
  <c r="AW54" i="15"/>
  <c r="G131" i="15" s="1"/>
  <c r="W186" i="9"/>
  <c r="D186" i="9" s="1"/>
  <c r="G186" i="9" s="1"/>
  <c r="BG186" i="9"/>
  <c r="W183" i="9"/>
  <c r="D183" i="9" s="1"/>
  <c r="G183" i="9" s="1"/>
  <c r="BG183" i="9"/>
  <c r="W181" i="9"/>
  <c r="D181" i="9" s="1"/>
  <c r="G181" i="9" s="1"/>
  <c r="BG181" i="9"/>
  <c r="W182" i="9"/>
  <c r="D182" i="9" s="1"/>
  <c r="G182" i="9" s="1"/>
  <c r="BG182" i="9"/>
  <c r="BJ184" i="9"/>
  <c r="W185" i="9"/>
  <c r="D185" i="9" s="1"/>
  <c r="G185" i="9" s="1"/>
  <c r="BG185" i="9"/>
  <c r="AO83" i="11"/>
  <c r="AO84" i="11" s="1"/>
  <c r="AE89" i="11" s="1"/>
  <c r="AB89" i="11" s="1"/>
  <c r="BZ191" i="9"/>
  <c r="AF79" i="11"/>
  <c r="AF80" i="11"/>
  <c r="AF75" i="11"/>
  <c r="AF77" i="11"/>
  <c r="AF78" i="11"/>
  <c r="AB88" i="11"/>
  <c r="H80" i="11"/>
  <c r="I80" i="11"/>
  <c r="I82" i="11" s="1"/>
  <c r="J80" i="11"/>
  <c r="CD207" i="9"/>
  <c r="CE207" i="9" s="1"/>
  <c r="CF207" i="9" s="1"/>
  <c r="CG207" i="9" s="1"/>
  <c r="CH207" i="9" s="1"/>
  <c r="CI207" i="9" s="1"/>
  <c r="CD212" i="9"/>
  <c r="CE212" i="9" s="1"/>
  <c r="CF212" i="9" s="1"/>
  <c r="CG212" i="9" s="1"/>
  <c r="CH212" i="9" s="1"/>
  <c r="CI212" i="9" s="1"/>
  <c r="CD211" i="9"/>
  <c r="CE211" i="9" s="1"/>
  <c r="CF211" i="9" s="1"/>
  <c r="CG211" i="9" s="1"/>
  <c r="CH211" i="9" s="1"/>
  <c r="CI211" i="9" s="1"/>
  <c r="CD210" i="9"/>
  <c r="CE210" i="9" s="1"/>
  <c r="CF210" i="9" s="1"/>
  <c r="CG210" i="9" s="1"/>
  <c r="CH210" i="9" s="1"/>
  <c r="CI210" i="9" s="1"/>
  <c r="CD209" i="9"/>
  <c r="CH180" i="9"/>
  <c r="CI180" i="9" s="1"/>
  <c r="BJ185" i="9" l="1"/>
  <c r="D187" i="9"/>
  <c r="M176" i="9" s="1"/>
  <c r="BJ181" i="9"/>
  <c r="BG187" i="9"/>
  <c r="BH185" i="9" s="1"/>
  <c r="BJ186" i="9"/>
  <c r="BJ182" i="9"/>
  <c r="BJ183" i="9"/>
  <c r="CR209" i="9"/>
  <c r="CU209" i="9" s="1"/>
  <c r="CR208" i="9"/>
  <c r="AF81" i="11"/>
  <c r="AQ80" i="11"/>
  <c r="AQ79" i="11" s="1"/>
  <c r="AQ75" i="11" s="1"/>
  <c r="CE209" i="9"/>
  <c r="CF209" i="9" s="1"/>
  <c r="CG209" i="9" s="1"/>
  <c r="CH209" i="9" s="1"/>
  <c r="CH213" i="9" s="1"/>
  <c r="J83" i="11"/>
  <c r="F102" i="11" s="1"/>
  <c r="C102" i="11" s="1"/>
  <c r="H83" i="11"/>
  <c r="F101" i="11" s="1"/>
  <c r="C101" i="11" s="1"/>
  <c r="K83" i="11"/>
  <c r="F103" i="11" s="1"/>
  <c r="C103" i="11" s="1"/>
  <c r="S166" i="9"/>
  <c r="F91" i="11"/>
  <c r="C91" i="11" s="1"/>
  <c r="L80" i="11"/>
  <c r="L83" i="11" s="1"/>
  <c r="BJ180" i="9" s="1"/>
  <c r="CD213" i="9"/>
  <c r="CI181" i="9"/>
  <c r="CI176" i="9" s="1"/>
  <c r="C105" i="11" l="1"/>
  <c r="BH186" i="9"/>
  <c r="BH183" i="9"/>
  <c r="BH182" i="9"/>
  <c r="R86" i="19"/>
  <c r="R93" i="19" s="1"/>
  <c r="AU57" i="19"/>
  <c r="S155" i="9"/>
  <c r="S162" i="9"/>
  <c r="S163" i="9"/>
  <c r="S160" i="9"/>
  <c r="S161" i="9"/>
  <c r="S159" i="9"/>
  <c r="S158" i="9"/>
  <c r="S164" i="9"/>
  <c r="S157" i="9"/>
  <c r="S167" i="9"/>
  <c r="S165" i="9"/>
  <c r="S156" i="9"/>
  <c r="BF180" i="9"/>
  <c r="BP176" i="9"/>
  <c r="BU165" i="9" s="1"/>
  <c r="BW165" i="9" s="1"/>
  <c r="BH180" i="9"/>
  <c r="BH184" i="9"/>
  <c r="BH181" i="9"/>
  <c r="BJ187" i="9"/>
  <c r="BL184" i="9" s="1"/>
  <c r="BM184" i="9" s="1"/>
  <c r="BN184" i="9" s="1"/>
  <c r="BO184" i="9" s="1"/>
  <c r="BP184" i="9" s="1"/>
  <c r="BQ184" i="9" s="1"/>
  <c r="CU208" i="9"/>
  <c r="AQ76" i="11"/>
  <c r="AE87" i="11" s="1"/>
  <c r="AB87" i="11" s="1"/>
  <c r="CI209" i="9"/>
  <c r="CI213" i="9" s="1"/>
  <c r="CI203" i="9" s="1"/>
  <c r="V180" i="9"/>
  <c r="E107" i="15"/>
  <c r="E111" i="15" s="1"/>
  <c r="C121" i="15" s="1"/>
  <c r="AJ44" i="15"/>
  <c r="AJ71" i="15" s="1"/>
  <c r="C158" i="15" s="1"/>
  <c r="J79" i="15"/>
  <c r="AD79" i="15" s="1"/>
  <c r="E158" i="15" s="1"/>
  <c r="CB193" i="9"/>
  <c r="AR183" i="9"/>
  <c r="F13" i="17" l="1"/>
  <c r="G13" i="17" s="1"/>
  <c r="BL180" i="9"/>
  <c r="BM180" i="9" s="1"/>
  <c r="BN180" i="9" s="1"/>
  <c r="S86" i="19"/>
  <c r="S93" i="19" s="1"/>
  <c r="AR58" i="19"/>
  <c r="AU71" i="19"/>
  <c r="C171" i="19" s="1"/>
  <c r="AW57" i="19"/>
  <c r="G135" i="19" s="1"/>
  <c r="F12" i="17"/>
  <c r="H12" i="17" s="1"/>
  <c r="AQ56" i="15"/>
  <c r="AW56" i="15" s="1"/>
  <c r="G133" i="15" s="1"/>
  <c r="Q85" i="15"/>
  <c r="BL181" i="9"/>
  <c r="BM181" i="9" s="1"/>
  <c r="BN181" i="9" s="1"/>
  <c r="BO181" i="9" s="1"/>
  <c r="BP181" i="9" s="1"/>
  <c r="BQ181" i="9" s="1"/>
  <c r="BH187" i="9"/>
  <c r="BL183" i="9"/>
  <c r="BM183" i="9" s="1"/>
  <c r="BN183" i="9" s="1"/>
  <c r="BO183" i="9" s="1"/>
  <c r="BP183" i="9" s="1"/>
  <c r="BQ183" i="9" s="1"/>
  <c r="BL182" i="9"/>
  <c r="BM182" i="9" s="1"/>
  <c r="BN182" i="9" s="1"/>
  <c r="BO182" i="9" s="1"/>
  <c r="BP182" i="9" s="1"/>
  <c r="BQ182" i="9" s="1"/>
  <c r="BL185" i="9"/>
  <c r="BM185" i="9" s="1"/>
  <c r="BN185" i="9" s="1"/>
  <c r="BO185" i="9" s="1"/>
  <c r="BP185" i="9" s="1"/>
  <c r="BQ185" i="9" s="1"/>
  <c r="BL186" i="9"/>
  <c r="BM186" i="9" s="1"/>
  <c r="BN186" i="9" s="1"/>
  <c r="BO186" i="9" s="1"/>
  <c r="BP186" i="9" s="1"/>
  <c r="BQ186" i="9" s="1"/>
  <c r="G12" i="17"/>
  <c r="I12" i="17" s="1"/>
  <c r="CR207" i="9"/>
  <c r="H13" i="17"/>
  <c r="I13" i="17"/>
  <c r="BB35" i="9"/>
  <c r="F8" i="17" s="1"/>
  <c r="J36" i="11"/>
  <c r="AO118" i="9"/>
  <c r="W118" i="9"/>
  <c r="Z118" i="9" s="1"/>
  <c r="AR71" i="19" l="1"/>
  <c r="C168" i="19" s="1"/>
  <c r="AW58" i="19"/>
  <c r="G136" i="19" s="1"/>
  <c r="Q92" i="15"/>
  <c r="AD85" i="15"/>
  <c r="E164" i="15" s="1"/>
  <c r="BL187" i="9"/>
  <c r="CU207" i="9"/>
  <c r="CR211" i="9"/>
  <c r="G8" i="17"/>
  <c r="I8" i="17" s="1"/>
  <c r="H8" i="17"/>
  <c r="W119" i="9"/>
  <c r="I35" i="11" s="1"/>
  <c r="DP122" i="9"/>
  <c r="DX114" i="9" s="1"/>
  <c r="DR120" i="9"/>
  <c r="AO119" i="9"/>
  <c r="AR118" i="9"/>
  <c r="BG118" i="9"/>
  <c r="AV65" i="15" l="1"/>
  <c r="AW65" i="15" s="1"/>
  <c r="G142" i="15" s="1"/>
  <c r="Z89" i="15"/>
  <c r="CS207" i="9"/>
  <c r="DP148" i="9"/>
  <c r="DA203" i="9"/>
  <c r="CS208" i="9"/>
  <c r="CS210" i="9"/>
  <c r="CS209" i="9"/>
  <c r="CU211" i="9"/>
  <c r="G35" i="11"/>
  <c r="N35" i="11" s="1"/>
  <c r="EE103" i="9"/>
  <c r="EE105" i="9"/>
  <c r="EE104" i="9"/>
  <c r="DJ119" i="9"/>
  <c r="AJ101" i="9"/>
  <c r="AL101" i="9" s="1"/>
  <c r="S103" i="9"/>
  <c r="U103" i="9" s="1"/>
  <c r="S108" i="9"/>
  <c r="S106" i="9"/>
  <c r="U106" i="9" s="1"/>
  <c r="S104" i="9"/>
  <c r="U104" i="9" s="1"/>
  <c r="S102" i="9"/>
  <c r="U102" i="9" s="1"/>
  <c r="S109" i="9"/>
  <c r="U109" i="9" s="1"/>
  <c r="W120" i="9"/>
  <c r="AF114" i="9" s="1"/>
  <c r="S107" i="9"/>
  <c r="U107" i="9" s="1"/>
  <c r="S105" i="9"/>
  <c r="U105" i="9" s="1"/>
  <c r="J35" i="11"/>
  <c r="S101" i="9"/>
  <c r="Z119" i="9"/>
  <c r="Z120" i="9" s="1"/>
  <c r="AB118" i="9" s="1"/>
  <c r="AC118" i="9" s="1"/>
  <c r="AD118" i="9" s="1"/>
  <c r="AE118" i="9" s="1"/>
  <c r="BG119" i="9"/>
  <c r="BJ118" i="9"/>
  <c r="BA103" i="9"/>
  <c r="BC103" i="9" s="1"/>
  <c r="BA102" i="9"/>
  <c r="BC102" i="9" s="1"/>
  <c r="AR119" i="9"/>
  <c r="AR120" i="9" s="1"/>
  <c r="AT118" i="9" s="1"/>
  <c r="BA101" i="9"/>
  <c r="AO120" i="9"/>
  <c r="AX114" i="9" s="1"/>
  <c r="DR122" i="9"/>
  <c r="DT120" i="9" s="1"/>
  <c r="DU120" i="9" s="1"/>
  <c r="DV120" i="9" s="1"/>
  <c r="DW120" i="9" s="1"/>
  <c r="DX120" i="9" s="1"/>
  <c r="AO51" i="15" l="1"/>
  <c r="L81" i="15"/>
  <c r="V87" i="15"/>
  <c r="AD87" i="15" s="1"/>
  <c r="E166" i="15" s="1"/>
  <c r="Q118" i="9"/>
  <c r="E17" i="12" s="1"/>
  <c r="AL48" i="15"/>
  <c r="Z92" i="15"/>
  <c r="AD89" i="15"/>
  <c r="E168" i="15" s="1"/>
  <c r="U108" i="9"/>
  <c r="CM207" i="9"/>
  <c r="DX140" i="9"/>
  <c r="CW207" i="9"/>
  <c r="CX207" i="9" s="1"/>
  <c r="CY207" i="9" s="1"/>
  <c r="CZ207" i="9" s="1"/>
  <c r="DA207" i="9" s="1"/>
  <c r="CS211" i="9"/>
  <c r="CW210" i="9"/>
  <c r="CX210" i="9" s="1"/>
  <c r="CY210" i="9" s="1"/>
  <c r="CZ210" i="9" s="1"/>
  <c r="DA210" i="9" s="1"/>
  <c r="DB210" i="9" s="1"/>
  <c r="CW209" i="9"/>
  <c r="CX209" i="9" s="1"/>
  <c r="CY209" i="9" s="1"/>
  <c r="CZ209" i="9" s="1"/>
  <c r="DA209" i="9" s="1"/>
  <c r="DB209" i="9" s="1"/>
  <c r="CW208" i="9"/>
  <c r="CX208" i="9" s="1"/>
  <c r="CY208" i="9" s="1"/>
  <c r="CZ208" i="9" s="1"/>
  <c r="DA208" i="9" s="1"/>
  <c r="F9" i="17"/>
  <c r="G9" i="17" s="1"/>
  <c r="I9" i="17" s="1"/>
  <c r="EG105" i="9"/>
  <c r="F15" i="17"/>
  <c r="F25" i="17" s="1"/>
  <c r="EG104" i="9"/>
  <c r="F14" i="17"/>
  <c r="EG103" i="9"/>
  <c r="F16" i="17"/>
  <c r="D34" i="12"/>
  <c r="N38" i="11"/>
  <c r="N36" i="11"/>
  <c r="F35" i="11"/>
  <c r="F38" i="11" s="1"/>
  <c r="G38" i="11" s="1"/>
  <c r="EE106" i="9"/>
  <c r="S110" i="9"/>
  <c r="U101" i="9"/>
  <c r="AJ118" i="9"/>
  <c r="AB119" i="9"/>
  <c r="AC119" i="9" s="1"/>
  <c r="AD119" i="9" s="1"/>
  <c r="AE119" i="9" s="1"/>
  <c r="AF119" i="9" s="1"/>
  <c r="AG119" i="9" s="1"/>
  <c r="BG120" i="9"/>
  <c r="BH134" i="9" s="1"/>
  <c r="AF118" i="9"/>
  <c r="AU118" i="9"/>
  <c r="AV118" i="9" s="1"/>
  <c r="AW118" i="9" s="1"/>
  <c r="AX118" i="9" s="1"/>
  <c r="BC101" i="9"/>
  <c r="BC104" i="9" s="1"/>
  <c r="BA104" i="9"/>
  <c r="BJ119" i="9"/>
  <c r="DT118" i="9"/>
  <c r="DT121" i="9"/>
  <c r="DU121" i="9" s="1"/>
  <c r="DV121" i="9" s="1"/>
  <c r="DW121" i="9" s="1"/>
  <c r="DX121" i="9" s="1"/>
  <c r="DY121" i="9" s="1"/>
  <c r="DT119" i="9"/>
  <c r="DU119" i="9" s="1"/>
  <c r="DV119" i="9" s="1"/>
  <c r="DW119" i="9" s="1"/>
  <c r="DX119" i="9" s="1"/>
  <c r="DY120" i="9"/>
  <c r="AT119" i="9"/>
  <c r="AU119" i="9" s="1"/>
  <c r="AV119" i="9" s="1"/>
  <c r="AW119" i="9" s="1"/>
  <c r="AX119" i="9" s="1"/>
  <c r="AY119" i="9" s="1"/>
  <c r="AV61" i="15" l="1"/>
  <c r="AL71" i="15"/>
  <c r="C160" i="15" s="1"/>
  <c r="AW48" i="15"/>
  <c r="G125" i="15" s="1"/>
  <c r="L92" i="15"/>
  <c r="AD81" i="15"/>
  <c r="E160" i="15" s="1"/>
  <c r="U110" i="9"/>
  <c r="S118" i="9" s="1"/>
  <c r="E16" i="14" s="1"/>
  <c r="AO71" i="15"/>
  <c r="C163" i="15" s="1"/>
  <c r="AW51" i="15"/>
  <c r="G128" i="15" s="1"/>
  <c r="W92" i="15"/>
  <c r="H9" i="17"/>
  <c r="DB208" i="9"/>
  <c r="DB207" i="9"/>
  <c r="DA211" i="9"/>
  <c r="CW211" i="9"/>
  <c r="F10" i="17"/>
  <c r="G16" i="17"/>
  <c r="I16" i="17" s="1"/>
  <c r="H16" i="17"/>
  <c r="G14" i="17"/>
  <c r="H14" i="17"/>
  <c r="F24" i="17"/>
  <c r="G15" i="17"/>
  <c r="H15" i="17"/>
  <c r="H25" i="17" s="1"/>
  <c r="BP114" i="9"/>
  <c r="F17" i="12"/>
  <c r="AL118" i="9"/>
  <c r="F16" i="14" s="1"/>
  <c r="F39" i="11"/>
  <c r="G39" i="11" s="1"/>
  <c r="O38" i="11" s="1"/>
  <c r="E35" i="11"/>
  <c r="E39" i="11" s="1"/>
  <c r="V14" i="11" s="1"/>
  <c r="I38" i="11"/>
  <c r="O36" i="11"/>
  <c r="EG106" i="9"/>
  <c r="AF120" i="9"/>
  <c r="AG118" i="9"/>
  <c r="AB120" i="9"/>
  <c r="DY119" i="9"/>
  <c r="DT122" i="9"/>
  <c r="DU118" i="9"/>
  <c r="DV118" i="9" s="1"/>
  <c r="DW118" i="9" s="1"/>
  <c r="DX118" i="9" s="1"/>
  <c r="BJ120" i="9"/>
  <c r="BL118" i="9" s="1"/>
  <c r="AT120" i="9"/>
  <c r="AY118" i="9"/>
  <c r="AX120" i="9"/>
  <c r="H24" i="17" l="1"/>
  <c r="AS55" i="15"/>
  <c r="P84" i="15"/>
  <c r="I103" i="9"/>
  <c r="D16" i="14" s="1"/>
  <c r="I105" i="9"/>
  <c r="D18" i="14" s="1"/>
  <c r="DB211" i="9"/>
  <c r="DB203" i="9" s="1"/>
  <c r="V87" i="19" s="1"/>
  <c r="G10" i="17"/>
  <c r="I10" i="17" s="1"/>
  <c r="H10" i="17"/>
  <c r="I15" i="17"/>
  <c r="I25" i="17" s="1"/>
  <c r="G25" i="17"/>
  <c r="I14" i="17"/>
  <c r="I24" i="17" s="1"/>
  <c r="G24" i="17"/>
  <c r="BB118" i="9"/>
  <c r="G17" i="12" s="1"/>
  <c r="E14" i="12"/>
  <c r="BH132" i="9"/>
  <c r="BH133" i="9" s="1"/>
  <c r="BP128" i="9"/>
  <c r="F14" i="12"/>
  <c r="S120" i="9"/>
  <c r="E18" i="14" s="1"/>
  <c r="E38" i="11"/>
  <c r="V18" i="11" s="1"/>
  <c r="G44" i="11"/>
  <c r="I39" i="11"/>
  <c r="CA106" i="9" s="1"/>
  <c r="CD106" i="9" s="1"/>
  <c r="O35" i="11"/>
  <c r="J38" i="11"/>
  <c r="AY120" i="9"/>
  <c r="AY114" i="9" s="1"/>
  <c r="AG120" i="9"/>
  <c r="AG114" i="9" s="1"/>
  <c r="E31" i="12"/>
  <c r="DY118" i="9"/>
  <c r="DL121" i="9" s="1"/>
  <c r="D35" i="14" s="1"/>
  <c r="BM118" i="9"/>
  <c r="BN118" i="9" s="1"/>
  <c r="BO118" i="9" s="1"/>
  <c r="BP118" i="9" s="1"/>
  <c r="BL119" i="9"/>
  <c r="BM119" i="9" s="1"/>
  <c r="BN119" i="9" s="1"/>
  <c r="BO119" i="9" s="1"/>
  <c r="BP119" i="9" s="1"/>
  <c r="BQ119" i="9" s="1"/>
  <c r="I78" i="19" l="1"/>
  <c r="AL48" i="19"/>
  <c r="AE87" i="19"/>
  <c r="E168" i="19" s="1"/>
  <c r="G168" i="19" s="1"/>
  <c r="V93" i="19"/>
  <c r="L81" i="19"/>
  <c r="AO51" i="19"/>
  <c r="P92" i="15"/>
  <c r="AD84" i="15"/>
  <c r="E163" i="15" s="1"/>
  <c r="AS45" i="15"/>
  <c r="D14" i="12"/>
  <c r="I92" i="15"/>
  <c r="AW43" i="15"/>
  <c r="G120" i="15" s="1"/>
  <c r="P118" i="9"/>
  <c r="I104" i="9"/>
  <c r="D17" i="14" s="1"/>
  <c r="G103" i="9"/>
  <c r="C61" i="11"/>
  <c r="CA133" i="9"/>
  <c r="CD133" i="9" s="1"/>
  <c r="BJ133" i="9"/>
  <c r="C60" i="11"/>
  <c r="BJ132" i="9"/>
  <c r="BQ118" i="9"/>
  <c r="D16" i="12"/>
  <c r="E16" i="12"/>
  <c r="S119" i="9"/>
  <c r="E17" i="14" s="1"/>
  <c r="I44" i="11"/>
  <c r="J39" i="11"/>
  <c r="J44" i="11" s="1"/>
  <c r="CA107" i="9"/>
  <c r="CJ102" i="9" s="1"/>
  <c r="AI118" i="9"/>
  <c r="D33" i="12"/>
  <c r="DY122" i="9"/>
  <c r="DY114" i="9" s="1"/>
  <c r="AL120" i="9"/>
  <c r="F18" i="14" s="1"/>
  <c r="AL119" i="9"/>
  <c r="F17" i="14" s="1"/>
  <c r="CD107" i="9"/>
  <c r="CF106" i="9" s="1"/>
  <c r="CG106" i="9" s="1"/>
  <c r="BL120" i="9"/>
  <c r="BP120" i="9"/>
  <c r="AE81" i="19" l="1"/>
  <c r="E162" i="19" s="1"/>
  <c r="L93" i="19"/>
  <c r="AO71" i="19"/>
  <c r="C165" i="19" s="1"/>
  <c r="AW51" i="19"/>
  <c r="G129" i="19" s="1"/>
  <c r="AV65" i="19"/>
  <c r="AW65" i="19" s="1"/>
  <c r="G143" i="19" s="1"/>
  <c r="Z90" i="19"/>
  <c r="AW48" i="19"/>
  <c r="G126" i="19" s="1"/>
  <c r="AL71" i="19"/>
  <c r="C162" i="19" s="1"/>
  <c r="G162" i="19" s="1"/>
  <c r="AE78" i="19"/>
  <c r="E159" i="19" s="1"/>
  <c r="G159" i="19" s="1"/>
  <c r="I93" i="19"/>
  <c r="X88" i="15"/>
  <c r="BC63" i="15"/>
  <c r="BD63" i="15" s="1"/>
  <c r="F13" i="13"/>
  <c r="BD52" i="15"/>
  <c r="C54" i="11"/>
  <c r="D54" i="11" s="1"/>
  <c r="E60" i="11"/>
  <c r="BJ134" i="9"/>
  <c r="BL132" i="9" s="1"/>
  <c r="BM132" i="9" s="1"/>
  <c r="BN132" i="9" s="1"/>
  <c r="BO132" i="9" s="1"/>
  <c r="BP132" i="9" s="1"/>
  <c r="E61" i="11"/>
  <c r="N61" i="11" s="1"/>
  <c r="L61" i="11"/>
  <c r="BD118" i="9"/>
  <c r="G16" i="14" s="1"/>
  <c r="D15" i="12"/>
  <c r="E15" i="12"/>
  <c r="F15" i="12"/>
  <c r="F16" i="12"/>
  <c r="DL120" i="9"/>
  <c r="D34" i="14" s="1"/>
  <c r="DI119" i="9"/>
  <c r="BQ120" i="9"/>
  <c r="BQ114" i="9" s="1"/>
  <c r="BD120" i="9"/>
  <c r="G18" i="14" s="1"/>
  <c r="CH106" i="9"/>
  <c r="CI106" i="9" s="1"/>
  <c r="CJ106" i="9" s="1"/>
  <c r="P84" i="19" l="1"/>
  <c r="AS55" i="19"/>
  <c r="AW55" i="19" s="1"/>
  <c r="G133" i="19" s="1"/>
  <c r="AE90" i="19"/>
  <c r="E171" i="19" s="1"/>
  <c r="G171" i="19" s="1"/>
  <c r="Z93" i="19"/>
  <c r="BL133" i="9"/>
  <c r="BM133" i="9" s="1"/>
  <c r="BN133" i="9" s="1"/>
  <c r="BO133" i="9" s="1"/>
  <c r="BP133" i="9" s="1"/>
  <c r="BQ133" i="9" s="1"/>
  <c r="BQ132" i="9"/>
  <c r="BD119" i="9"/>
  <c r="G17" i="14" s="1"/>
  <c r="G14" i="12"/>
  <c r="G16" i="12"/>
  <c r="D32" i="12"/>
  <c r="BA118" i="9"/>
  <c r="CK106" i="9"/>
  <c r="CK107" i="9" s="1"/>
  <c r="CK102" i="9" s="1"/>
  <c r="CJ107" i="9"/>
  <c r="X88" i="19" l="1"/>
  <c r="X93" i="19" s="1"/>
  <c r="BC63" i="19"/>
  <c r="BD63" i="19" s="1"/>
  <c r="BP134" i="9"/>
  <c r="BQ134" i="9"/>
  <c r="BQ128" i="9" s="1"/>
  <c r="P93" i="19"/>
  <c r="AE84" i="19"/>
  <c r="E165" i="19" s="1"/>
  <c r="G165" i="19" s="1"/>
  <c r="G15" i="12"/>
  <c r="AS45" i="19" l="1"/>
  <c r="Z182" i="9"/>
  <c r="Z183" i="9"/>
  <c r="AR184" i="9"/>
  <c r="U165" i="9"/>
  <c r="U167" i="9"/>
  <c r="U166" i="9"/>
  <c r="U160" i="9"/>
  <c r="U157" i="9"/>
  <c r="U161" i="9"/>
  <c r="U162" i="9"/>
  <c r="U163" i="9"/>
  <c r="U156" i="9"/>
  <c r="U159" i="9"/>
  <c r="U155" i="9"/>
  <c r="AR186" i="9"/>
  <c r="CB196" i="9"/>
  <c r="U158" i="9"/>
  <c r="U164" i="9"/>
  <c r="Z186" i="9"/>
  <c r="U168" i="9" l="1"/>
  <c r="Z185" i="9"/>
  <c r="Z184" i="9"/>
  <c r="CB194" i="9"/>
  <c r="AR185" i="9"/>
  <c r="S168" i="9"/>
  <c r="AR181" i="9" l="1"/>
  <c r="CB195" i="9"/>
  <c r="CB191" i="9" l="1"/>
  <c r="CH187" i="9"/>
  <c r="E21" i="13"/>
  <c r="E23" i="13" s="1"/>
  <c r="BZ193" i="9"/>
  <c r="BZ196" i="9"/>
  <c r="BZ194" i="9"/>
  <c r="BZ195" i="9"/>
  <c r="BZ192" i="9"/>
  <c r="CB192" i="9"/>
  <c r="CB197" i="9" s="1"/>
  <c r="CD191" i="9" s="1"/>
  <c r="U86" i="15" l="1"/>
  <c r="BC60" i="15"/>
  <c r="BD60" i="15" s="1"/>
  <c r="BD56" i="15"/>
  <c r="CD196" i="9"/>
  <c r="CE196" i="9" s="1"/>
  <c r="CF196" i="9" s="1"/>
  <c r="CG196" i="9" s="1"/>
  <c r="CH196" i="9" s="1"/>
  <c r="CI196" i="9" s="1"/>
  <c r="CD192" i="9"/>
  <c r="CE192" i="9" s="1"/>
  <c r="CF192" i="9" s="1"/>
  <c r="CG192" i="9" s="1"/>
  <c r="CH192" i="9" s="1"/>
  <c r="CI192" i="9" s="1"/>
  <c r="CD194" i="9"/>
  <c r="CE194" i="9" s="1"/>
  <c r="CF194" i="9" s="1"/>
  <c r="CG194" i="9" s="1"/>
  <c r="CH194" i="9" s="1"/>
  <c r="CI194" i="9" s="1"/>
  <c r="CE191" i="9"/>
  <c r="CF191" i="9" s="1"/>
  <c r="CG191" i="9" s="1"/>
  <c r="CH191" i="9" s="1"/>
  <c r="CI191" i="9" s="1"/>
  <c r="CD193" i="9"/>
  <c r="CE193" i="9" s="1"/>
  <c r="CF193" i="9" s="1"/>
  <c r="CG193" i="9" s="1"/>
  <c r="CH193" i="9" s="1"/>
  <c r="CI193" i="9" s="1"/>
  <c r="CD195" i="9"/>
  <c r="CE195" i="9" s="1"/>
  <c r="CF195" i="9" s="1"/>
  <c r="CG195" i="9" s="1"/>
  <c r="CH195" i="9" s="1"/>
  <c r="CI195" i="9" s="1"/>
  <c r="U92" i="15" l="1"/>
  <c r="X92" i="15"/>
  <c r="CD197" i="9"/>
  <c r="CH197" i="9"/>
  <c r="CI197" i="9"/>
  <c r="CI187" i="9" s="1"/>
  <c r="AO187" i="9"/>
  <c r="AR182" i="9"/>
  <c r="U86" i="19" l="1"/>
  <c r="U93" i="19" s="1"/>
  <c r="BC60" i="19"/>
  <c r="BD60" i="19" s="1"/>
  <c r="BA164" i="9"/>
  <c r="BC164" i="9" s="1"/>
  <c r="CP199" i="9"/>
  <c r="E186" i="9"/>
  <c r="Z181" i="9" s="1"/>
  <c r="E180" i="9"/>
  <c r="AP185" i="9"/>
  <c r="AP183" i="9"/>
  <c r="AP182" i="9"/>
  <c r="AX176" i="9"/>
  <c r="E185" i="9"/>
  <c r="W187" i="9"/>
  <c r="E181" i="9"/>
  <c r="E184" i="9"/>
  <c r="X182" i="9"/>
  <c r="AP181" i="9"/>
  <c r="BA163" i="9"/>
  <c r="BC163" i="9" s="1"/>
  <c r="AP180" i="9"/>
  <c r="X180" i="9"/>
  <c r="Q192" i="9" s="1"/>
  <c r="Q191" i="9" s="1"/>
  <c r="X184" i="9"/>
  <c r="E182" i="9"/>
  <c r="X185" i="9"/>
  <c r="AP184" i="9"/>
  <c r="AP186" i="9"/>
  <c r="X183" i="9"/>
  <c r="BA160" i="9"/>
  <c r="BA162" i="9"/>
  <c r="BC162" i="9" s="1"/>
  <c r="X181" i="9"/>
  <c r="BA161" i="9"/>
  <c r="BC161" i="9" s="1"/>
  <c r="E183" i="9"/>
  <c r="X186" i="9"/>
  <c r="M82" i="15" l="1"/>
  <c r="AP52" i="15"/>
  <c r="BB180" i="9"/>
  <c r="CO207" i="9"/>
  <c r="CO208" i="9"/>
  <c r="CL207" i="9"/>
  <c r="CO209" i="9"/>
  <c r="AF176" i="9"/>
  <c r="AJ160" i="9"/>
  <c r="AL160" i="9" s="1"/>
  <c r="Q186" i="9"/>
  <c r="Q189" i="9"/>
  <c r="Q187" i="9"/>
  <c r="Q188" i="9"/>
  <c r="Q190" i="9"/>
  <c r="BA165" i="9"/>
  <c r="BC160" i="9"/>
  <c r="BC165" i="9" s="1"/>
  <c r="AM49" i="15" l="1"/>
  <c r="AW52" i="15"/>
  <c r="G129" i="15" s="1"/>
  <c r="AP71" i="15"/>
  <c r="C164" i="15" s="1"/>
  <c r="AW49" i="15"/>
  <c r="G126" i="15" s="1"/>
  <c r="AM71" i="15"/>
  <c r="C161" i="15" s="1"/>
  <c r="M92" i="15"/>
  <c r="AD82" i="15"/>
  <c r="E161" i="15" s="1"/>
  <c r="J92" i="15"/>
  <c r="AW44" i="15"/>
  <c r="G121" i="15" s="1"/>
  <c r="G24" i="14"/>
  <c r="AJ180" i="9"/>
  <c r="R180" i="9"/>
  <c r="G22" i="12"/>
  <c r="E25" i="12" l="1"/>
  <c r="F25" i="12"/>
  <c r="BZ197" i="9" l="1"/>
  <c r="C59" i="11"/>
  <c r="BJ144" i="9"/>
  <c r="BH145" i="9"/>
  <c r="BP140" i="9"/>
  <c r="F11" i="17" l="1"/>
  <c r="G109" i="15"/>
  <c r="G111" i="15" s="1"/>
  <c r="C123" i="15" s="1"/>
  <c r="AS46" i="15"/>
  <c r="G11" i="17"/>
  <c r="E59" i="11"/>
  <c r="C62" i="11"/>
  <c r="BL144" i="9"/>
  <c r="BM144" i="9" s="1"/>
  <c r="BN144" i="9" s="1"/>
  <c r="BO144" i="9" s="1"/>
  <c r="BP144" i="9" s="1"/>
  <c r="BP145" i="9" s="1"/>
  <c r="BJ145" i="9"/>
  <c r="AW46" i="15" l="1"/>
  <c r="G123" i="15" s="1"/>
  <c r="AS71" i="15"/>
  <c r="C167" i="15" s="1"/>
  <c r="F26" i="17"/>
  <c r="H11" i="17"/>
  <c r="H26" i="17" s="1"/>
  <c r="G26" i="17"/>
  <c r="I11" i="17"/>
  <c r="I26" i="17" s="1"/>
  <c r="BQ145" i="9"/>
  <c r="E62" i="11"/>
  <c r="D51" i="11"/>
  <c r="BQ144" i="9"/>
  <c r="BQ140" i="9" s="1"/>
  <c r="BV120" i="9" l="1"/>
  <c r="G110" i="19"/>
  <c r="G112" i="19" s="1"/>
  <c r="AS46" i="19"/>
  <c r="F61" i="11"/>
  <c r="F60" i="11"/>
  <c r="O59" i="11" s="1"/>
  <c r="F59" i="11"/>
  <c r="H18" i="14"/>
  <c r="N63" i="11"/>
  <c r="AW46" i="19" l="1"/>
  <c r="G124" i="19" s="1"/>
  <c r="AS71" i="19"/>
  <c r="C169" i="19" s="1"/>
  <c r="N59" i="11"/>
  <c r="L59" i="11" s="1"/>
  <c r="O60" i="11"/>
  <c r="N60" i="11" s="1"/>
  <c r="F62" i="11"/>
  <c r="O63" i="11" s="1"/>
  <c r="O61" i="11"/>
  <c r="CA130" i="9"/>
  <c r="L60" i="11"/>
  <c r="CA132" i="9" s="1"/>
  <c r="H16" i="12"/>
  <c r="L62" i="11" l="1"/>
  <c r="N62" i="11" s="1"/>
  <c r="O62" i="11" s="1"/>
  <c r="F14" i="13"/>
  <c r="F15" i="13" s="1"/>
  <c r="CD130" i="9"/>
  <c r="CD132" i="9"/>
  <c r="CA131" i="9"/>
  <c r="H51" i="11"/>
  <c r="CD131" i="9" l="1"/>
  <c r="CA134" i="9"/>
  <c r="CB131" i="9" s="1"/>
  <c r="L63" i="11"/>
  <c r="CD134" i="9"/>
  <c r="CF133" i="9" l="1"/>
  <c r="CG133" i="9" s="1"/>
  <c r="CH133" i="9" s="1"/>
  <c r="CI133" i="9" s="1"/>
  <c r="CJ133" i="9" s="1"/>
  <c r="CK133" i="9" s="1"/>
  <c r="CF130" i="9"/>
  <c r="CB133" i="9"/>
  <c r="CJ126" i="9"/>
  <c r="CB130" i="9"/>
  <c r="CB132" i="9"/>
  <c r="CF132" i="9"/>
  <c r="CG132" i="9" s="1"/>
  <c r="CH132" i="9" s="1"/>
  <c r="CI132" i="9" s="1"/>
  <c r="CJ132" i="9" s="1"/>
  <c r="CK132" i="9" s="1"/>
  <c r="CF131" i="9"/>
  <c r="CG131" i="9" s="1"/>
  <c r="CH131" i="9" s="1"/>
  <c r="CI131" i="9" s="1"/>
  <c r="CJ131" i="9" s="1"/>
  <c r="CK131" i="9" s="1"/>
  <c r="BT118" i="9" l="1"/>
  <c r="H17" i="12" s="1"/>
  <c r="BC64" i="15"/>
  <c r="BD64" i="15" s="1"/>
  <c r="Y88" i="15"/>
  <c r="CF134" i="9"/>
  <c r="CG130" i="9"/>
  <c r="CH130" i="9" s="1"/>
  <c r="CI130" i="9" s="1"/>
  <c r="CJ130" i="9" s="1"/>
  <c r="CB134" i="9"/>
  <c r="Y92" i="15" l="1"/>
  <c r="AD88" i="15"/>
  <c r="E167" i="15" s="1"/>
  <c r="CJ134" i="9"/>
  <c r="CK130" i="9"/>
  <c r="CK134" i="9" s="1"/>
  <c r="CK126" i="9" s="1"/>
  <c r="BV119" i="9" l="1"/>
  <c r="BC64" i="19"/>
  <c r="BD64" i="19" s="1"/>
  <c r="Y88" i="19"/>
  <c r="BR118" i="9"/>
  <c r="O12" i="13" s="1"/>
  <c r="H17" i="14"/>
  <c r="BS118" i="9"/>
  <c r="Y93" i="19" l="1"/>
  <c r="AE88" i="19"/>
  <c r="E169" i="19" s="1"/>
  <c r="G169" i="19" s="1"/>
  <c r="H15" i="12"/>
  <c r="F92" i="11"/>
  <c r="C92" i="11" s="1"/>
  <c r="I91" i="11" l="1"/>
  <c r="F93" i="11"/>
  <c r="C93" i="11" s="1"/>
  <c r="J91" i="11" l="1"/>
  <c r="F94" i="11"/>
  <c r="C94" i="11"/>
  <c r="K91" i="11" s="1"/>
  <c r="L91" i="11" s="1"/>
  <c r="M91" i="11" s="1"/>
  <c r="BK180" i="9" s="1"/>
  <c r="BO180" i="9" s="1"/>
  <c r="BP180" i="9" s="1"/>
  <c r="BQ180" i="9" s="1"/>
  <c r="C180" i="9"/>
  <c r="AN180" i="9"/>
  <c r="AS180" i="9" l="1"/>
  <c r="AA180" i="9" s="1"/>
  <c r="H180" i="9" s="1"/>
  <c r="C96" i="11"/>
  <c r="D93" i="11" l="1"/>
  <c r="D92" i="11"/>
  <c r="D95" i="11"/>
  <c r="D91" i="11"/>
  <c r="D94" i="11"/>
  <c r="G180" i="9"/>
  <c r="G187" i="9" s="1"/>
  <c r="Z180" i="9"/>
  <c r="Z187" i="9" s="1"/>
  <c r="AR180" i="9"/>
  <c r="AR187" i="9" s="1"/>
  <c r="I180" i="9" s="1"/>
  <c r="BQ187" i="9" l="1"/>
  <c r="BQ176" i="9" s="1"/>
  <c r="BP187" i="9"/>
  <c r="AT180" i="9"/>
  <c r="AU180" i="9" s="1"/>
  <c r="AV180" i="9" s="1"/>
  <c r="AW180" i="9" s="1"/>
  <c r="AX180" i="9" s="1"/>
  <c r="BD180" i="9" s="1"/>
  <c r="J180" i="9"/>
  <c r="K180" i="9" s="1"/>
  <c r="L180" i="9" s="1"/>
  <c r="M180" i="9" s="1"/>
  <c r="AT185" i="9"/>
  <c r="AU185" i="9" s="1"/>
  <c r="AV185" i="9" s="1"/>
  <c r="AW185" i="9" s="1"/>
  <c r="AX185" i="9" s="1"/>
  <c r="AY185" i="9" s="1"/>
  <c r="I184" i="9"/>
  <c r="J184" i="9" s="1"/>
  <c r="K184" i="9" s="1"/>
  <c r="L184" i="9" s="1"/>
  <c r="M184" i="9" s="1"/>
  <c r="N184" i="9" s="1"/>
  <c r="I185" i="9"/>
  <c r="J185" i="9" s="1"/>
  <c r="K185" i="9" s="1"/>
  <c r="L185" i="9" s="1"/>
  <c r="M185" i="9" s="1"/>
  <c r="N185" i="9" s="1"/>
  <c r="AB180" i="9"/>
  <c r="AT186" i="9"/>
  <c r="AU186" i="9" s="1"/>
  <c r="AV186" i="9" s="1"/>
  <c r="AW186" i="9" s="1"/>
  <c r="AX186" i="9" s="1"/>
  <c r="AY186" i="9" s="1"/>
  <c r="AT184" i="9"/>
  <c r="AU184" i="9" s="1"/>
  <c r="AV184" i="9" s="1"/>
  <c r="AW184" i="9" s="1"/>
  <c r="AX184" i="9" s="1"/>
  <c r="AY184" i="9" s="1"/>
  <c r="AT181" i="9"/>
  <c r="AU181" i="9" s="1"/>
  <c r="AV181" i="9" s="1"/>
  <c r="AW181" i="9" s="1"/>
  <c r="AX181" i="9" s="1"/>
  <c r="AY181" i="9" s="1"/>
  <c r="AB184" i="9"/>
  <c r="AC184" i="9" s="1"/>
  <c r="AD184" i="9" s="1"/>
  <c r="AE184" i="9" s="1"/>
  <c r="AF184" i="9" s="1"/>
  <c r="AG184" i="9" s="1"/>
  <c r="AT183" i="9"/>
  <c r="AU183" i="9" s="1"/>
  <c r="AV183" i="9" s="1"/>
  <c r="AW183" i="9" s="1"/>
  <c r="AX183" i="9" s="1"/>
  <c r="AY183" i="9" s="1"/>
  <c r="I181" i="9"/>
  <c r="J181" i="9" s="1"/>
  <c r="K181" i="9" s="1"/>
  <c r="L181" i="9" s="1"/>
  <c r="M181" i="9" s="1"/>
  <c r="N181" i="9" s="1"/>
  <c r="AB183" i="9"/>
  <c r="AC183" i="9" s="1"/>
  <c r="AD183" i="9" s="1"/>
  <c r="AE183" i="9" s="1"/>
  <c r="AF183" i="9" s="1"/>
  <c r="AG183" i="9" s="1"/>
  <c r="AB185" i="9"/>
  <c r="AC185" i="9" s="1"/>
  <c r="AD185" i="9" s="1"/>
  <c r="AE185" i="9" s="1"/>
  <c r="AF185" i="9" s="1"/>
  <c r="AG185" i="9" s="1"/>
  <c r="AB181" i="9"/>
  <c r="AC181" i="9" s="1"/>
  <c r="AD181" i="9" s="1"/>
  <c r="AE181" i="9" s="1"/>
  <c r="AF181" i="9" s="1"/>
  <c r="AG181" i="9" s="1"/>
  <c r="I183" i="9"/>
  <c r="J183" i="9" s="1"/>
  <c r="K183" i="9" s="1"/>
  <c r="L183" i="9" s="1"/>
  <c r="M183" i="9" s="1"/>
  <c r="N183" i="9" s="1"/>
  <c r="AB182" i="9"/>
  <c r="AC182" i="9" s="1"/>
  <c r="AD182" i="9" s="1"/>
  <c r="AE182" i="9" s="1"/>
  <c r="AF182" i="9" s="1"/>
  <c r="AG182" i="9" s="1"/>
  <c r="I182" i="9"/>
  <c r="J182" i="9" s="1"/>
  <c r="K182" i="9" s="1"/>
  <c r="L182" i="9" s="1"/>
  <c r="M182" i="9" s="1"/>
  <c r="N182" i="9" s="1"/>
  <c r="AT182" i="9"/>
  <c r="AU182" i="9" s="1"/>
  <c r="AV182" i="9" s="1"/>
  <c r="AW182" i="9" s="1"/>
  <c r="AX182" i="9" s="1"/>
  <c r="AY182" i="9" s="1"/>
  <c r="AB186" i="9"/>
  <c r="AC186" i="9" s="1"/>
  <c r="AD186" i="9" s="1"/>
  <c r="AE186" i="9" s="1"/>
  <c r="AF186" i="9" s="1"/>
  <c r="AG186" i="9" s="1"/>
  <c r="I186" i="9"/>
  <c r="J186" i="9" s="1"/>
  <c r="K186" i="9" s="1"/>
  <c r="L186" i="9" s="1"/>
  <c r="M186" i="9" s="1"/>
  <c r="N186" i="9" s="1"/>
  <c r="Q85" i="19" l="1"/>
  <c r="AQ56" i="19"/>
  <c r="AW56" i="19" s="1"/>
  <c r="G134" i="19" s="1"/>
  <c r="I187" i="9"/>
  <c r="AB187" i="9"/>
  <c r="AC180" i="9"/>
  <c r="AD180" i="9" s="1"/>
  <c r="AE180" i="9" s="1"/>
  <c r="AF180" i="9" s="1"/>
  <c r="M187" i="9"/>
  <c r="N180" i="9"/>
  <c r="N187" i="9" s="1"/>
  <c r="N176" i="9" s="1"/>
  <c r="AT187" i="9"/>
  <c r="AY180" i="9"/>
  <c r="AL180" i="9"/>
  <c r="AX187" i="9"/>
  <c r="E108" i="19" l="1"/>
  <c r="E112" i="19" s="1"/>
  <c r="AJ44" i="19"/>
  <c r="Q93" i="19"/>
  <c r="AE85" i="19"/>
  <c r="E166" i="19" s="1"/>
  <c r="F22" i="12"/>
  <c r="F24" i="14"/>
  <c r="AY187" i="9"/>
  <c r="AY176" i="9" s="1"/>
  <c r="AG180" i="9"/>
  <c r="AF187" i="9"/>
  <c r="I163" i="9"/>
  <c r="T180" i="9"/>
  <c r="M82" i="19" l="1"/>
  <c r="AP52" i="19"/>
  <c r="AJ71" i="19"/>
  <c r="C160" i="19" s="1"/>
  <c r="AW44" i="19"/>
  <c r="G122" i="19" s="1"/>
  <c r="BA180" i="9"/>
  <c r="BD182" i="9"/>
  <c r="BD181" i="9"/>
  <c r="E24" i="14"/>
  <c r="E22" i="12"/>
  <c r="D24" i="14"/>
  <c r="D22" i="12"/>
  <c r="I165" i="9"/>
  <c r="AG187" i="9"/>
  <c r="AG176" i="9" s="1"/>
  <c r="T182" i="9"/>
  <c r="AL181" i="9" l="1"/>
  <c r="J79" i="19"/>
  <c r="AM49" i="19"/>
  <c r="AP71" i="19"/>
  <c r="C166" i="19" s="1"/>
  <c r="G166" i="19" s="1"/>
  <c r="AW52" i="19"/>
  <c r="G130" i="19" s="1"/>
  <c r="AE82" i="19"/>
  <c r="E163" i="19" s="1"/>
  <c r="M93" i="19"/>
  <c r="E24" i="12"/>
  <c r="E26" i="14"/>
  <c r="G163" i="9"/>
  <c r="I164" i="9"/>
  <c r="AI180" i="9"/>
  <c r="T181" i="9"/>
  <c r="Q180" i="9"/>
  <c r="AL182" i="9"/>
  <c r="D24" i="12"/>
  <c r="D26" i="14"/>
  <c r="F23" i="12"/>
  <c r="F25" i="14"/>
  <c r="AE79" i="19" l="1"/>
  <c r="E160" i="19" s="1"/>
  <c r="G160" i="19" s="1"/>
  <c r="J93" i="19"/>
  <c r="AM71" i="19"/>
  <c r="C163" i="19" s="1"/>
  <c r="G163" i="19" s="1"/>
  <c r="AW49" i="19"/>
  <c r="G127" i="19" s="1"/>
  <c r="F24" i="12"/>
  <c r="F26" i="14"/>
  <c r="E25" i="14"/>
  <c r="E23" i="12"/>
  <c r="D23" i="12"/>
  <c r="D25" i="14"/>
  <c r="AE91" i="11" l="1"/>
  <c r="AB91" i="11" l="1"/>
  <c r="Z102" i="11" s="1"/>
  <c r="AF88" i="11"/>
  <c r="AF90" i="11"/>
  <c r="AF89" i="11"/>
  <c r="AF87" i="11"/>
  <c r="AH102" i="11" l="1"/>
  <c r="AE104" i="11" s="1"/>
  <c r="AF91" i="11"/>
  <c r="AC88" i="11"/>
  <c r="AC89" i="11"/>
  <c r="AC90" i="11"/>
  <c r="AC87" i="11"/>
  <c r="AA98" i="11" l="1"/>
  <c r="AI98" i="11"/>
  <c r="AA101" i="11"/>
  <c r="Z101" i="11" s="1"/>
  <c r="DP147" i="9" s="1"/>
  <c r="DR147" i="9" s="1"/>
  <c r="AI101" i="11"/>
  <c r="AH101" i="11" s="1"/>
  <c r="C173" i="11" s="1"/>
  <c r="AA100" i="11"/>
  <c r="Z100" i="11" s="1"/>
  <c r="DP146" i="9" s="1"/>
  <c r="DR146" i="9" s="1"/>
  <c r="AI100" i="11"/>
  <c r="AH100" i="11" s="1"/>
  <c r="C172" i="11" s="1"/>
  <c r="AA99" i="11"/>
  <c r="Z99" i="11" s="1"/>
  <c r="DP145" i="9" s="1"/>
  <c r="DR145" i="9" s="1"/>
  <c r="AI99" i="11"/>
  <c r="AH99" i="11" s="1"/>
  <c r="C171" i="11" s="1"/>
  <c r="AC91" i="11"/>
  <c r="AK99" i="11" l="1"/>
  <c r="BG200" i="9"/>
  <c r="DW208" i="9"/>
  <c r="AK100" i="11"/>
  <c r="DW209" i="9"/>
  <c r="BG201" i="9"/>
  <c r="AK101" i="11"/>
  <c r="DW210" i="9"/>
  <c r="BG202" i="9"/>
  <c r="AC99" i="11"/>
  <c r="C137" i="11"/>
  <c r="AC100" i="11"/>
  <c r="C138" i="11"/>
  <c r="AC101" i="11"/>
  <c r="C139" i="11"/>
  <c r="AH98" i="11"/>
  <c r="C170" i="11" s="1"/>
  <c r="AI102" i="11"/>
  <c r="Z98" i="11"/>
  <c r="DP144" i="9" s="1"/>
  <c r="DR144" i="9" s="1"/>
  <c r="AA102" i="11"/>
  <c r="DR148" i="9" l="1"/>
  <c r="DT144" i="9"/>
  <c r="F173" i="11"/>
  <c r="DZ209" i="9"/>
  <c r="F171" i="11"/>
  <c r="BJ200" i="9"/>
  <c r="AK98" i="11"/>
  <c r="AK102" i="11" s="1"/>
  <c r="BG199" i="9"/>
  <c r="DW207" i="9"/>
  <c r="BJ202" i="9"/>
  <c r="DZ210" i="9"/>
  <c r="BJ201" i="9"/>
  <c r="F172" i="11"/>
  <c r="DZ208" i="9"/>
  <c r="AC98" i="11"/>
  <c r="C136" i="11"/>
  <c r="F139" i="11"/>
  <c r="F137" i="11"/>
  <c r="F138" i="11"/>
  <c r="AC102" i="11"/>
  <c r="DU144" i="9" l="1"/>
  <c r="DV144" i="9" s="1"/>
  <c r="DW144" i="9" s="1"/>
  <c r="DX144" i="9" s="1"/>
  <c r="DT145" i="9"/>
  <c r="DU145" i="9" s="1"/>
  <c r="DV145" i="9" s="1"/>
  <c r="DW145" i="9" s="1"/>
  <c r="DX145" i="9" s="1"/>
  <c r="DY145" i="9" s="1"/>
  <c r="DT146" i="9"/>
  <c r="DU146" i="9" s="1"/>
  <c r="DV146" i="9" s="1"/>
  <c r="DW146" i="9" s="1"/>
  <c r="DX146" i="9" s="1"/>
  <c r="DY146" i="9" s="1"/>
  <c r="DT147" i="9"/>
  <c r="DU147" i="9" s="1"/>
  <c r="DV147" i="9" s="1"/>
  <c r="DW147" i="9" s="1"/>
  <c r="DX147" i="9" s="1"/>
  <c r="DY147" i="9" s="1"/>
  <c r="BJ199" i="9"/>
  <c r="BG203" i="9"/>
  <c r="BH199" i="9" s="1"/>
  <c r="F170" i="11"/>
  <c r="C174" i="11"/>
  <c r="D170" i="11" s="1"/>
  <c r="C187" i="11"/>
  <c r="C186" i="11" s="1"/>
  <c r="DZ207" i="9"/>
  <c r="DW211" i="9"/>
  <c r="EF203" i="9" s="1"/>
  <c r="C184" i="11"/>
  <c r="C183" i="11" s="1"/>
  <c r="H183" i="11" s="1"/>
  <c r="H184" i="11" s="1"/>
  <c r="E187" i="11"/>
  <c r="P137" i="11"/>
  <c r="Q137" i="11" s="1"/>
  <c r="C153" i="11"/>
  <c r="C152" i="11"/>
  <c r="G137" i="11"/>
  <c r="G138" i="11"/>
  <c r="G139" i="11"/>
  <c r="F136" i="11"/>
  <c r="P136" i="11" s="1"/>
  <c r="C140" i="11"/>
  <c r="AL101" i="11"/>
  <c r="AL99" i="11"/>
  <c r="AL100" i="11"/>
  <c r="AL98" i="11"/>
  <c r="AD99" i="11"/>
  <c r="AD100" i="11"/>
  <c r="AD101" i="11"/>
  <c r="AD98" i="11"/>
  <c r="DX207" i="9" l="1"/>
  <c r="BD54" i="15"/>
  <c r="BB61" i="15"/>
  <c r="BD61" i="15" s="1"/>
  <c r="AT71" i="15"/>
  <c r="DT148" i="9"/>
  <c r="DY144" i="9"/>
  <c r="DY148" i="9" s="1"/>
  <c r="DY140" i="9" s="1"/>
  <c r="AV61" i="19" s="1"/>
  <c r="DX148" i="9"/>
  <c r="P171" i="11"/>
  <c r="H187" i="11"/>
  <c r="H186" i="11" s="1"/>
  <c r="J156" i="11"/>
  <c r="J155" i="11" s="1"/>
  <c r="J153" i="11"/>
  <c r="J152" i="11" s="1"/>
  <c r="E184" i="11"/>
  <c r="E183" i="11" s="1"/>
  <c r="J183" i="11" s="1"/>
  <c r="J184" i="11" s="1"/>
  <c r="F174" i="11"/>
  <c r="BJ203" i="9"/>
  <c r="BL199" i="9" s="1"/>
  <c r="EB207" i="9"/>
  <c r="DZ211" i="9"/>
  <c r="E153" i="11"/>
  <c r="E152" i="11" s="1"/>
  <c r="D171" i="11"/>
  <c r="D173" i="11"/>
  <c r="D172" i="11"/>
  <c r="BP195" i="9"/>
  <c r="DX208" i="9"/>
  <c r="DX209" i="9"/>
  <c r="BH200" i="9"/>
  <c r="DX210" i="9"/>
  <c r="BH202" i="9"/>
  <c r="BH201" i="9"/>
  <c r="M137" i="11"/>
  <c r="EN133" i="9" s="1"/>
  <c r="H153" i="11"/>
  <c r="H152" i="11" s="1"/>
  <c r="H156" i="11"/>
  <c r="H155" i="11" s="1"/>
  <c r="C155" i="11" s="1"/>
  <c r="C156" i="11" s="1"/>
  <c r="F143" i="11" s="1"/>
  <c r="M136" i="11"/>
  <c r="EN134" i="9" s="1"/>
  <c r="Q136" i="11"/>
  <c r="D137" i="11"/>
  <c r="D138" i="11"/>
  <c r="D139" i="11"/>
  <c r="D136" i="11"/>
  <c r="F140" i="11"/>
  <c r="G136" i="11"/>
  <c r="G140" i="11" s="1"/>
  <c r="AL102" i="11"/>
  <c r="AD102" i="11"/>
  <c r="D140" i="11" l="1"/>
  <c r="BH203" i="9"/>
  <c r="AW55" i="15"/>
  <c r="G132" i="15" s="1"/>
  <c r="V111" i="15"/>
  <c r="C138" i="15" s="1"/>
  <c r="AQ61" i="15"/>
  <c r="AW61" i="15" s="1"/>
  <c r="G138" i="15" s="1"/>
  <c r="D174" i="11"/>
  <c r="DX211" i="9"/>
  <c r="EC207" i="9"/>
  <c r="ED207" i="9" s="1"/>
  <c r="EE207" i="9" s="1"/>
  <c r="EF207" i="9" s="1"/>
  <c r="EP134" i="9"/>
  <c r="BM199" i="9"/>
  <c r="BN199" i="9" s="1"/>
  <c r="BO199" i="9" s="1"/>
  <c r="BP199" i="9" s="1"/>
  <c r="BQ199" i="9" s="1"/>
  <c r="F144" i="11"/>
  <c r="C144" i="11" s="1"/>
  <c r="C143" i="11"/>
  <c r="DP132" i="9" s="1"/>
  <c r="J187" i="11"/>
  <c r="J186" i="11" s="1"/>
  <c r="C190" i="11" s="1"/>
  <c r="C191" i="11" s="1"/>
  <c r="P170" i="11"/>
  <c r="Q171" i="11"/>
  <c r="M171" i="11"/>
  <c r="EB210" i="9"/>
  <c r="EC210" i="9" s="1"/>
  <c r="ED210" i="9" s="1"/>
  <c r="EE210" i="9" s="1"/>
  <c r="EF210" i="9" s="1"/>
  <c r="EG210" i="9" s="1"/>
  <c r="BL200" i="9"/>
  <c r="BM200" i="9" s="1"/>
  <c r="BN200" i="9" s="1"/>
  <c r="BO200" i="9" s="1"/>
  <c r="BP200" i="9" s="1"/>
  <c r="BQ200" i="9" s="1"/>
  <c r="BL201" i="9"/>
  <c r="BM201" i="9" s="1"/>
  <c r="BN201" i="9" s="1"/>
  <c r="BO201" i="9" s="1"/>
  <c r="BP201" i="9" s="1"/>
  <c r="BQ201" i="9" s="1"/>
  <c r="BL202" i="9"/>
  <c r="BM202" i="9" s="1"/>
  <c r="BN202" i="9" s="1"/>
  <c r="BO202" i="9" s="1"/>
  <c r="BP202" i="9" s="1"/>
  <c r="BQ202" i="9" s="1"/>
  <c r="EB209" i="9"/>
  <c r="EC209" i="9" s="1"/>
  <c r="ED209" i="9" s="1"/>
  <c r="EE209" i="9" s="1"/>
  <c r="EF209" i="9" s="1"/>
  <c r="EG209" i="9" s="1"/>
  <c r="EB208" i="9"/>
  <c r="EC208" i="9" s="1"/>
  <c r="ED208" i="9" s="1"/>
  <c r="EE208" i="9" s="1"/>
  <c r="EF208" i="9" s="1"/>
  <c r="EG208" i="9" s="1"/>
  <c r="G173" i="11"/>
  <c r="G172" i="11"/>
  <c r="G171" i="11"/>
  <c r="G170" i="11"/>
  <c r="G174" i="11" l="1"/>
  <c r="F176" i="11"/>
  <c r="C176" i="11" s="1"/>
  <c r="BG216" i="9" s="1"/>
  <c r="E191" i="11"/>
  <c r="BL203" i="9"/>
  <c r="G7" i="13"/>
  <c r="G8" i="13" s="1"/>
  <c r="EP133" i="9"/>
  <c r="BY225" i="9"/>
  <c r="M170" i="11"/>
  <c r="Q170" i="11"/>
  <c r="C145" i="11"/>
  <c r="D144" i="11"/>
  <c r="DP133" i="9"/>
  <c r="EN135" i="9" s="1"/>
  <c r="F145" i="11"/>
  <c r="G144" i="11" s="1"/>
  <c r="P138" i="11"/>
  <c r="Q138" i="11" s="1"/>
  <c r="Q139" i="11" s="1"/>
  <c r="EB211" i="9"/>
  <c r="BQ203" i="9"/>
  <c r="BQ195" i="9" s="1"/>
  <c r="BP203" i="9"/>
  <c r="E156" i="11"/>
  <c r="EF211" i="9"/>
  <c r="EG207" i="9"/>
  <c r="EG211" i="9" s="1"/>
  <c r="EG203" i="9" s="1"/>
  <c r="BB69" i="19" l="1"/>
  <c r="BD69" i="19" s="1"/>
  <c r="BB61" i="19"/>
  <c r="BD61" i="19" s="1"/>
  <c r="AT61" i="19"/>
  <c r="AT71" i="19" s="1"/>
  <c r="C170" i="19" s="1"/>
  <c r="G170" i="19" s="1"/>
  <c r="AD89" i="19"/>
  <c r="AD93" i="19" s="1"/>
  <c r="E147" i="19" s="1"/>
  <c r="AQ61" i="19"/>
  <c r="AW61" i="19" s="1"/>
  <c r="G139" i="19" s="1"/>
  <c r="V110" i="19"/>
  <c r="V112" i="19" s="1"/>
  <c r="D143" i="11"/>
  <c r="D145" i="11" s="1"/>
  <c r="C147" i="11"/>
  <c r="P139" i="11"/>
  <c r="BY224" i="9"/>
  <c r="G143" i="11"/>
  <c r="G145" i="11" s="1"/>
  <c r="DR133" i="9"/>
  <c r="M138" i="11"/>
  <c r="H191" i="11"/>
  <c r="P172" i="11" s="1"/>
  <c r="F177" i="11"/>
  <c r="C177" i="11" s="1"/>
  <c r="DR132" i="9"/>
  <c r="DP134" i="9"/>
  <c r="DX128" i="9" s="1"/>
  <c r="CB225" i="9"/>
  <c r="C178" i="11" l="1"/>
  <c r="C179" i="11" s="1"/>
  <c r="BG217" i="9"/>
  <c r="AV45" i="15"/>
  <c r="AV71" i="15" s="1"/>
  <c r="C169" i="15" s="1"/>
  <c r="P173" i="11"/>
  <c r="Q172" i="11"/>
  <c r="Q173" i="11" s="1"/>
  <c r="M172" i="11"/>
  <c r="DR134" i="9"/>
  <c r="DT132" i="9" s="1"/>
  <c r="DU132" i="9" s="1"/>
  <c r="DV132" i="9" s="1"/>
  <c r="DW132" i="9" s="1"/>
  <c r="DX132" i="9" s="1"/>
  <c r="DY132" i="9" s="1"/>
  <c r="CB224" i="9"/>
  <c r="EN136" i="9"/>
  <c r="EP135" i="9"/>
  <c r="M139" i="11"/>
  <c r="DT133" i="9" l="1"/>
  <c r="DU133" i="9" s="1"/>
  <c r="DV133" i="9" s="1"/>
  <c r="DW133" i="9" s="1"/>
  <c r="DX133" i="9" s="1"/>
  <c r="DY133" i="9" s="1"/>
  <c r="D177" i="11"/>
  <c r="D176" i="11"/>
  <c r="BG218" i="9"/>
  <c r="BH217" i="9" s="1"/>
  <c r="BJ217" i="9" s="1"/>
  <c r="EV129" i="9"/>
  <c r="DY134" i="9"/>
  <c r="DY128" i="9" s="1"/>
  <c r="AB90" i="15"/>
  <c r="AD90" i="15" s="1"/>
  <c r="E169" i="15" s="1"/>
  <c r="G169" i="15" s="1"/>
  <c r="BY226" i="9"/>
  <c r="M173" i="11"/>
  <c r="N172" i="11" s="1"/>
  <c r="I135" i="11"/>
  <c r="N137" i="11"/>
  <c r="N136" i="11"/>
  <c r="EP136" i="9"/>
  <c r="ER135" i="9" s="1"/>
  <c r="ES135" i="9" s="1"/>
  <c r="ET135" i="9" s="1"/>
  <c r="EU135" i="9" s="1"/>
  <c r="EV135" i="9" s="1"/>
  <c r="EW135" i="9" s="1"/>
  <c r="N138" i="11"/>
  <c r="D178" i="11" l="1"/>
  <c r="EF121" i="9"/>
  <c r="AV45" i="19"/>
  <c r="AV71" i="19" s="1"/>
  <c r="C172" i="19" s="1"/>
  <c r="N139" i="11"/>
  <c r="ED119" i="9"/>
  <c r="E34" i="12" s="1"/>
  <c r="BC67" i="15"/>
  <c r="BD67" i="15" s="1"/>
  <c r="BP212" i="9"/>
  <c r="F108" i="15" s="1"/>
  <c r="F111" i="15" s="1"/>
  <c r="C122" i="15" s="1"/>
  <c r="BH216" i="9"/>
  <c r="AB92" i="15"/>
  <c r="ER134" i="9"/>
  <c r="ES134" i="9" s="1"/>
  <c r="ET134" i="9" s="1"/>
  <c r="EU134" i="9" s="1"/>
  <c r="EV134" i="9" s="1"/>
  <c r="EW134" i="9" s="1"/>
  <c r="ER133" i="9"/>
  <c r="CB226" i="9"/>
  <c r="BY227" i="9"/>
  <c r="N171" i="11"/>
  <c r="N170" i="11"/>
  <c r="E35" i="14"/>
  <c r="E33" i="12"/>
  <c r="N173" i="11" l="1"/>
  <c r="BJ216" i="9"/>
  <c r="BJ218" i="9" s="1"/>
  <c r="BH218" i="9"/>
  <c r="AQ45" i="15"/>
  <c r="AQ71" i="15" s="1"/>
  <c r="C165" i="15" s="1"/>
  <c r="AW45" i="15"/>
  <c r="G122" i="15" s="1"/>
  <c r="CH220" i="9"/>
  <c r="BZ225" i="9"/>
  <c r="BZ224" i="9"/>
  <c r="ER136" i="9"/>
  <c r="ES133" i="9"/>
  <c r="ET133" i="9" s="1"/>
  <c r="EU133" i="9" s="1"/>
  <c r="EV133" i="9" s="1"/>
  <c r="BZ226" i="9"/>
  <c r="CB227" i="9"/>
  <c r="BC59" i="15" l="1"/>
  <c r="BD59" i="15" s="1"/>
  <c r="I119" i="15" s="1" a="1"/>
  <c r="I119" i="15" s="1"/>
  <c r="T86" i="15"/>
  <c r="BL216" i="9"/>
  <c r="BM216" i="9" s="1"/>
  <c r="BN216" i="9" s="1"/>
  <c r="BO216" i="9" s="1"/>
  <c r="BP216" i="9" s="1"/>
  <c r="BL217" i="9"/>
  <c r="BM217" i="9" s="1"/>
  <c r="BN217" i="9" s="1"/>
  <c r="BO217" i="9" s="1"/>
  <c r="BP217" i="9" s="1"/>
  <c r="BQ217" i="9" s="1"/>
  <c r="BT180" i="9"/>
  <c r="G25" i="12" s="1"/>
  <c r="EV136" i="9"/>
  <c r="EW133" i="9"/>
  <c r="EW136" i="9" s="1"/>
  <c r="EW129" i="9" s="1"/>
  <c r="CD225" i="9"/>
  <c r="CE225" i="9" s="1"/>
  <c r="CF225" i="9" s="1"/>
  <c r="CG225" i="9" s="1"/>
  <c r="CH225" i="9" s="1"/>
  <c r="CI225" i="9" s="1"/>
  <c r="CD224" i="9"/>
  <c r="CD226" i="9"/>
  <c r="CE226" i="9" s="1"/>
  <c r="CF226" i="9" s="1"/>
  <c r="CG226" i="9" s="1"/>
  <c r="CH226" i="9" s="1"/>
  <c r="CI226" i="9" s="1"/>
  <c r="BZ227" i="9"/>
  <c r="BC67" i="19" l="1"/>
  <c r="BD67" i="19" s="1"/>
  <c r="AB91" i="19"/>
  <c r="BP218" i="9"/>
  <c r="BQ216" i="9"/>
  <c r="BQ218" i="9" s="1"/>
  <c r="BQ212" i="9" s="1"/>
  <c r="T92" i="15"/>
  <c r="AD86" i="15"/>
  <c r="E165" i="15" s="1"/>
  <c r="V92" i="15"/>
  <c r="E119" i="15" s="1" a="1"/>
  <c r="CE224" i="9"/>
  <c r="CF224" i="9" s="1"/>
  <c r="CG224" i="9" s="1"/>
  <c r="CH224" i="9" s="1"/>
  <c r="CI224" i="9" s="1"/>
  <c r="EB119" i="9"/>
  <c r="M22" i="13" s="1"/>
  <c r="EF120" i="9"/>
  <c r="EC119" i="9"/>
  <c r="AE91" i="19" l="1"/>
  <c r="E172" i="19" s="1"/>
  <c r="G172" i="19" s="1"/>
  <c r="AB93" i="19"/>
  <c r="AQ45" i="19"/>
  <c r="BV182" i="9"/>
  <c r="F109" i="19"/>
  <c r="F112" i="19" s="1"/>
  <c r="C120" i="19" s="1" a="1"/>
  <c r="C120" i="19" s="1"/>
  <c r="BS180" i="9"/>
  <c r="T5" i="13" s="1"/>
  <c r="E119" i="15"/>
  <c r="K119" i="15" s="1"/>
  <c r="K136" i="15"/>
  <c r="K140" i="15"/>
  <c r="K125" i="15"/>
  <c r="K127" i="15"/>
  <c r="K131" i="15"/>
  <c r="K133" i="15"/>
  <c r="K137" i="15"/>
  <c r="K128" i="15"/>
  <c r="K122" i="15"/>
  <c r="K130" i="15"/>
  <c r="K135" i="15"/>
  <c r="K123" i="15"/>
  <c r="K126" i="15"/>
  <c r="K143" i="15"/>
  <c r="K142" i="15"/>
  <c r="K129" i="15"/>
  <c r="K138" i="15"/>
  <c r="K121" i="15"/>
  <c r="K144" i="15"/>
  <c r="K124" i="15"/>
  <c r="K132" i="15"/>
  <c r="K141" i="15"/>
  <c r="K139" i="15"/>
  <c r="K134" i="15"/>
  <c r="K145" i="15"/>
  <c r="G163" i="15"/>
  <c r="G164" i="15"/>
  <c r="G167" i="15"/>
  <c r="K120" i="15"/>
  <c r="G158" i="15"/>
  <c r="G157" i="15"/>
  <c r="G159" i="15"/>
  <c r="G165" i="15"/>
  <c r="G160" i="15"/>
  <c r="G168" i="15"/>
  <c r="G162" i="15"/>
  <c r="G161" i="15"/>
  <c r="G166" i="15"/>
  <c r="CH227" i="9"/>
  <c r="CI227" i="9"/>
  <c r="CI220" i="9" s="1"/>
  <c r="E34" i="14"/>
  <c r="E32" i="12"/>
  <c r="T86" i="19" l="1"/>
  <c r="BC59" i="19"/>
  <c r="BD59" i="19" s="1"/>
  <c r="I120" i="19" s="1" a="1"/>
  <c r="BV181" i="9"/>
  <c r="BR180" i="9"/>
  <c r="N17" i="13" s="1"/>
  <c r="AQ71" i="19"/>
  <c r="C167" i="19" s="1"/>
  <c r="AW45" i="19"/>
  <c r="G123" i="19" s="1"/>
  <c r="K146" i="15"/>
  <c r="G26" i="14"/>
  <c r="G24" i="12"/>
  <c r="G156" i="15"/>
  <c r="G25" i="14"/>
  <c r="G23" i="12"/>
  <c r="I120" i="19" l="1"/>
  <c r="K147" i="19"/>
  <c r="T93" i="19"/>
  <c r="E120" i="19" s="1" a="1"/>
  <c r="AE86" i="19"/>
  <c r="E167" i="19" s="1"/>
  <c r="G167" i="19" s="1"/>
  <c r="K121" i="19" l="1"/>
  <c r="K143" i="19"/>
  <c r="E120" i="19"/>
  <c r="K120" i="19" s="1"/>
  <c r="K129" i="19"/>
  <c r="K125" i="19"/>
  <c r="K130" i="19"/>
  <c r="K134" i="19"/>
  <c r="K128" i="19"/>
  <c r="K136" i="19"/>
  <c r="K126" i="19"/>
  <c r="K137" i="19"/>
  <c r="K141" i="19"/>
  <c r="K138" i="19"/>
  <c r="K142" i="19"/>
  <c r="K144" i="19"/>
  <c r="K145" i="19"/>
  <c r="K131" i="19"/>
  <c r="K122" i="19"/>
  <c r="K139" i="19"/>
  <c r="K146" i="19"/>
  <c r="K123" i="19"/>
  <c r="K140" i="19"/>
  <c r="K132" i="19"/>
  <c r="K124" i="19"/>
  <c r="K133" i="19"/>
  <c r="K127" i="19"/>
  <c r="K135" i="19"/>
  <c r="K148" i="19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<sst xmlns="http://schemas.openxmlformats.org/spreadsheetml/2006/main" count="3403" uniqueCount="550">
  <si>
    <t>B</t>
  </si>
  <si>
    <t>m</t>
  </si>
  <si>
    <t>Inputs</t>
  </si>
  <si>
    <t>Outputs</t>
  </si>
  <si>
    <t>Iron Ore</t>
  </si>
  <si>
    <t>MW</t>
  </si>
  <si>
    <t>moles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</si>
  <si>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</si>
  <si>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</si>
  <si>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</si>
  <si>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</si>
  <si>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</si>
  <si>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</si>
  <si>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</si>
  <si>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</si>
  <si>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</si>
  <si>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</si>
  <si>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</si>
  <si>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</si>
  <si>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</si>
  <si>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</si>
  <si>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</si>
  <si>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t>Slag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</si>
  <si>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</si>
  <si>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</si>
  <si>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</si>
  <si>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</si>
  <si>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</si>
  <si>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</si>
  <si>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</si>
  <si>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</si>
  <si>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</si>
  <si>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</si>
  <si>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</si>
  <si>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</si>
  <si>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</si>
  <si>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</si>
  <si>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</si>
  <si>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</si>
  <si>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</si>
  <si>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</si>
  <si>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</si>
  <si>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</si>
  <si>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</si>
  <si>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</si>
  <si>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</si>
  <si>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</si>
  <si>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</si>
  <si>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</si>
  <si>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</si>
  <si>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</si>
  <si>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</si>
  <si>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tot,i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</si>
  <si>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</si>
  <si>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</si>
  <si>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</si>
  <si>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</si>
  <si>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</si>
  <si>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</si>
  <si>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</si>
  <si>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</si>
  <si>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</si>
  <si>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</si>
  <si>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</si>
  <si>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</si>
  <si>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</si>
  <si>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</si>
  <si>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</si>
  <si>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</si>
  <si>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</si>
  <si>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</si>
  <si>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</si>
  <si>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</si>
  <si>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</si>
  <si>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</si>
  <si>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</si>
  <si>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</si>
  <si>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</si>
  <si>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</si>
  <si>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</si>
  <si>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</si>
  <si>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</si>
  <si>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</si>
  <si>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</si>
  <si>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</si>
  <si>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</si>
  <si>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</si>
  <si>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</si>
  <si>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</si>
  <si>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</si>
  <si>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</si>
  <si>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</si>
  <si>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</si>
  <si>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</si>
  <si>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</si>
  <si>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</si>
  <si>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</si>
  <si>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</si>
  <si>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</si>
  <si>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</si>
  <si>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</si>
  <si>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</si>
  <si>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</si>
  <si>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</si>
  <si>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</si>
  <si>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</si>
  <si>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</si>
  <si>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</si>
  <si>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</si>
  <si>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</si>
  <si>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</si>
  <si>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</si>
  <si>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</si>
  <si>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</si>
  <si>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</si>
  <si>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</si>
  <si>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</si>
  <si>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</si>
  <si>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</si>
  <si>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</si>
  <si>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</si>
  <si>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</si>
  <si>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</si>
  <si>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</si>
  <si>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</si>
  <si>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</si>
  <si>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</si>
  <si>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</si>
  <si>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</si>
  <si>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</si>
  <si>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</si>
  <si>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</si>
  <si>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</si>
  <si>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</si>
  <si>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</si>
  <si>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</si>
  <si>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</si>
  <si>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</si>
  <si>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</si>
  <si>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</si>
  <si>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</si>
  <si>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</si>
  <si>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</si>
  <si>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</si>
  <si>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</si>
  <si>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</si>
  <si>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</si>
  <si>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</si>
  <si>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</si>
  <si>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</si>
  <si>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</si>
  <si>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</si>
  <si>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</si>
  <si>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</si>
  <si>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</si>
  <si>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</si>
  <si>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</si>
  <si>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</si>
  <si>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</si>
  <si>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</si>
  <si>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</si>
  <si>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</si>
  <si>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</si>
  <si>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</si>
  <si>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</si>
  <si>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</si>
  <si>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</si>
  <si>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</si>
  <si>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</si>
  <si>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</si>
  <si>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</si>
  <si>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</si>
  <si>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</si>
  <si>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</si>
  <si>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</si>
  <si>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</si>
  <si>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</si>
  <si>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</si>
  <si>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</si>
  <si>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</si>
  <si>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</si>
  <si>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</si>
  <si>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</si>
  <si>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</si>
  <si>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</si>
  <si>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</si>
  <si>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</si>
  <si>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</si>
  <si>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</si>
  <si>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</si>
  <si>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</si>
  <si>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</si>
  <si>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</si>
  <si>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</si>
  <si>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</si>
  <si>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</si>
  <si>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</si>
  <si>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</si>
  <si>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</si>
  <si>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</si>
  <si>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</si>
  <si>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</si>
  <si>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</si>
  <si>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</si>
  <si>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</si>
  <si>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</si>
  <si>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</si>
  <si>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</si>
  <si>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</si>
  <si>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</si>
  <si>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</si>
  <si>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</si>
  <si>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</si>
  <si>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</si>
  <si>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</si>
  <si>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</si>
  <si>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</si>
  <si>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</si>
  <si>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</si>
  <si>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</si>
  <si>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</si>
  <si>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</si>
  <si>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</si>
  <si>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</si>
  <si>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</si>
  <si>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</si>
  <si>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</si>
  <si>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</si>
  <si>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</si>
  <si>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</si>
  <si>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</si>
  <si>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</si>
  <si>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</si>
  <si>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</si>
  <si>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</si>
  <si>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</si>
  <si>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</si>
  <si>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</si>
  <si>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</si>
  <si>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</si>
  <si>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</si>
  <si>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</si>
  <si>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</si>
  <si>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</si>
  <si>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</si>
  <si>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</si>
  <si>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</si>
  <si>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</si>
  <si>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</si>
  <si>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</si>
  <si>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</si>
  <si>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</si>
  <si>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</si>
  <si>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</si>
  <si>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</si>
  <si>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</si>
  <si>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</si>
  <si>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</si>
  <si>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</si>
  <si>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</si>
  <si>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</si>
  <si>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</si>
  <si>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</si>
  <si>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</si>
  <si>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</si>
  <si>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</si>
  <si>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</si>
  <si>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</si>
  <si>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</si>
  <si>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</si>
  <si>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</si>
  <si>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</si>
  <si>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</si>
  <si>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</si>
  <si>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</si>
  <si>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</si>
  <si>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</si>
  <si>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</si>
  <si>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</si>
  <si>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</si>
  <si>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</si>
  <si>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</si>
  <si>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</si>
  <si>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</si>
  <si>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</si>
  <si>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</si>
  <si>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</si>
  <si>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</si>
  <si>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</si>
  <si>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</si>
  <si>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</si>
  <si>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</si>
  <si>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</si>
  <si>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</si>
  <si>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</si>
  <si>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</si>
  <si>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</si>
  <si>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</si>
  <si>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</si>
  <si>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</si>
  <si>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</si>
  <si>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</si>
  <si>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</si>
  <si>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</si>
  <si>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</si>
  <si>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</si>
  <si>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</si>
  <si>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</si>
  <si>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</si>
  <si>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</si>
  <si>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</si>
  <si>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</si>
  <si>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</si>
  <si>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</si>
  <si>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</si>
  <si>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</si>
  <si>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</si>
  <si>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</si>
  <si>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</si>
  <si>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</si>
  <si>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</si>
  <si>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</si>
  <si>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</si>
  <si>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</si>
  <si>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</si>
  <si>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</si>
  <si>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</si>
  <si>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</si>
  <si>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</si>
  <si>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</si>
  <si>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</si>
  <si>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[kg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]</t>
    </r>
  </si>
  <si>
    <r>
      <t>[kg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/mol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]</t>
    </r>
  </si>
  <si>
    <r>
      <t>[mol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</si>
  <si>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/mol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]</t>
    </r>
  </si>
  <si>
    <r>
      <t>[mol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/mol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</si>
  <si>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/mol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</si>
  <si>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</si>
  <si>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</si>
  <si>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</si>
  <si>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</si>
  <si>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 xml:space="preserve"> [kg</t>
    </r>
    <r>
      <rPr>
        <vertAlign val="subscript"/>
        <sz val="12"/>
        <color rgb="FF000000"/>
        <rFont val="Calibri"/>
        <family val="2"/>
      </rPr>
      <t>i</t>
    </r>
    <r>
      <rPr>
        <sz val="12"/>
        <color rgb="FF000000"/>
        <rFont val="Calibri"/>
        <family val="2"/>
      </rPr>
      <t>/kg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</si>
  <si>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</si>
  <si>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</si>
  <si>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</si>
  <si>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</si>
  <si>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</si>
  <si>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</si>
  <si>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</si>
  <si>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</si>
  <si>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</si>
  <si>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</si>
  <si>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</si>
  <si>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</si>
  <si>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</si>
  <si>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</si>
  <si>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</si>
  <si>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</si>
  <si>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</si>
  <si>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</si>
  <si>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</si>
  <si>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>Oil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</si>
  <si>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</si>
  <si>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</si>
  <si>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</si>
  <si>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</si>
  <si>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</si>
  <si>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</si>
  <si>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</si>
  <si>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</si>
  <si>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</si>
  <si>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</si>
  <si>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</si>
  <si>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</si>
  <si>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</si>
  <si>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</si>
  <si>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</si>
  <si>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</si>
  <si>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</si>
  <si>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</si>
  <si>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</si>
  <si>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</si>
  <si>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</si>
  <si>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</si>
  <si>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</si>
  <si>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</si>
  <si>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</si>
  <si>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</si>
  <si>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</si>
  <si>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</si>
  <si>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</si>
  <si>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</si>
  <si>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</si>
  <si>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</si>
  <si>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</si>
  <si>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</si>
  <si>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</si>
  <si>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</si>
  <si>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</si>
  <si>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</si>
  <si>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</si>
  <si>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</si>
  <si>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</si>
  <si>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</si>
  <si>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</si>
  <si>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</si>
  <si>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</si>
  <si>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</si>
  <si>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</si>
  <si>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</si>
  <si>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</si>
  <si>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</si>
  <si>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</si>
  <si>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</si>
  <si>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</si>
  <si>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</si>
  <si>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</si>
  <si>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</si>
  <si>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</si>
  <si>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</si>
  <si>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</si>
  <si>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</si>
  <si>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</si>
  <si>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</si>
  <si>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</si>
  <si>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</si>
  <si>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</si>
  <si>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</si>
  <si>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</si>
  <si>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</si>
  <si>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Quicklime</t>
  </si>
  <si>
    <t>Iron ore extraction</t>
  </si>
  <si>
    <t>Limestone extraction</t>
  </si>
  <si>
    <t>Coal extraction</t>
  </si>
  <si>
    <t>U</t>
  </si>
  <si>
    <t>V</t>
  </si>
  <si>
    <t>Impurities</t>
  </si>
  <si>
    <t>Y</t>
  </si>
  <si>
    <t>Iron and steel</t>
  </si>
  <si>
    <t>Pig iron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</si>
  <si>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</si>
  <si>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</si>
  <si>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</si>
  <si>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</si>
  <si>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</si>
  <si>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</si>
  <si>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</si>
  <si>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</si>
  <si>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</si>
  <si>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</si>
  <si>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</si>
  <si>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</si>
  <si>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Totals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</si>
  <si>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</si>
  <si>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</si>
  <si>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</si>
  <si>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</si>
  <si>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</si>
  <si>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</si>
  <si>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</si>
  <si>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</si>
  <si>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</si>
  <si>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</si>
  <si>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</si>
  <si>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</si>
  <si>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</si>
  <si>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</si>
  <si>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Iron ore Hauling</t>
  </si>
  <si>
    <t>Limestone Hauling</t>
  </si>
  <si>
    <t>Coal Hauling</t>
  </si>
  <si>
    <t>Anthrocite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</si>
  <si>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</si>
  <si>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</si>
  <si>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</si>
  <si>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</si>
  <si>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</si>
  <si>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t>CO Gas Treatment</t>
  </si>
  <si>
    <t>What they make</t>
  </si>
  <si>
    <t>What they're used for</t>
  </si>
  <si>
    <t>COG treated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</si>
  <si>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</si>
  <si>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</si>
  <si>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</si>
  <si>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</si>
  <si>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[kWh/kg CO2]</t>
  </si>
  <si>
    <t>[kWh]</t>
  </si>
  <si>
    <t>https://www.kanadevia-inova.com/renewable-gas/liquefaction/</t>
  </si>
  <si>
    <t>COG Recycled</t>
  </si>
  <si>
    <t>Purified Coke Oven Gas</t>
  </si>
  <si>
    <t>Coal beneficiation</t>
  </si>
  <si>
    <t>kJ/cal</t>
  </si>
  <si>
    <t>COG</t>
  </si>
  <si>
    <t>Coke oven gas</t>
  </si>
  <si>
    <t>Iron ore impurities</t>
  </si>
  <si>
    <t>Coke oven gas treatment</t>
  </si>
  <si>
    <t>Pig iron slag</t>
  </si>
  <si>
    <t>Blast furnace gas</t>
  </si>
  <si>
    <t>Magnesium oxide</t>
  </si>
  <si>
    <t>Rotary Kiln</t>
  </si>
  <si>
    <t>Treated coke oven gas</t>
  </si>
  <si>
    <t>Recycled and Treated coke oven gas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</si>
  <si>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</si>
  <si>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</si>
  <si>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</si>
  <si>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</si>
  <si>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</si>
  <si>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</si>
  <si>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</si>
  <si>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</si>
  <si>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</si>
  <si>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</si>
  <si>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</si>
  <si>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</si>
  <si>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</si>
  <si>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</si>
  <si>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</si>
  <si>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</si>
  <si>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</si>
  <si>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</si>
  <si>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</si>
  <si>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Magnesium Oxide</t>
  </si>
  <si>
    <t>I</t>
  </si>
  <si>
    <t>Total In</t>
  </si>
  <si>
    <t>Total in</t>
  </si>
  <si>
    <t>To Coke Oven and BF</t>
  </si>
  <si>
    <t>Iron ore [from Extraction]</t>
  </si>
  <si>
    <t>Iron ore [from Hauling]</t>
  </si>
  <si>
    <t>Resources [of Combustion air]</t>
  </si>
  <si>
    <t>y = Yi</t>
  </si>
  <si>
    <t>Limestone [from Hauling]</t>
  </si>
  <si>
    <t>Coal [from Hauling]</t>
  </si>
  <si>
    <t>Iron ore [from Beneficiation]</t>
  </si>
  <si>
    <t>Limestone [from Beneficiation]</t>
  </si>
  <si>
    <t>Limestone [from Extraction]</t>
  </si>
  <si>
    <t>Coal [from Extraction]</t>
  </si>
  <si>
    <t>Coal [from Beneficiation]</t>
  </si>
  <si>
    <t>Blast furnace mixture</t>
  </si>
  <si>
    <t>Kiln gas emissions</t>
  </si>
  <si>
    <t>Recyled coke oven gas</t>
  </si>
  <si>
    <t>Recycled coke oven gas</t>
  </si>
  <si>
    <t>Recylced coke oven gas</t>
  </si>
  <si>
    <t>Direct reduced  iron</t>
  </si>
  <si>
    <t>Direct reduced iron</t>
  </si>
  <si>
    <t>Iron [from Direct reduced iron]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</si>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</sst>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</numFmts>
  <fonts count="68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sz val="11"/>
      <color theme="1"/>
      <name val="Aptos Narrow"/>
      <family val="2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</fonts>
  <fills count="26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392">
    <xf numFmtId="0" fontId="0" fillId="0" borderId="0" xfId="0"/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3" fillId="0" borderId="6" xfId="0" applyFont="1" applyBorder="1" applyAlignment="1">
      <alignment horizontal="center"/>
    </xf>
    <xf numFmtId="0" fontId="18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5" borderId="6" xfId="0" applyFont="1" applyFill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0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14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4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15" fillId="0" borderId="0" xfId="0" applyFont="1" applyAlignment="1">
      <alignment horizontal="center" vertical="center" textRotation="90"/>
    </xf>
    <xf numFmtId="1" fontId="6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23" fillId="0" borderId="0" xfId="0" applyFont="1" applyAlignment="1">
      <alignment horizontal="center"/>
    </xf>
    <xf numFmtId="0" fontId="9" fillId="0" borderId="0" xfId="0" applyFont="1"/>
    <xf numFmtId="0" fontId="7" fillId="0" borderId="0" xfId="0" applyFont="1"/>
    <xf numFmtId="0" fontId="6" fillId="0" borderId="10" xfId="0" applyFont="1" applyBorder="1" applyAlignment="1">
      <alignment horizontal="center"/>
    </xf>
    <xf numFmtId="0" fontId="15" fillId="0" borderId="0" xfId="0" applyFont="1" applyAlignment="1">
      <alignment vertical="center" textRotation="90"/>
    </xf>
    <xf numFmtId="0" fontId="12" fillId="0" borderId="0" xfId="0" applyFont="1" applyAlignment="1">
      <alignment vertical="center" textRotation="90"/>
    </xf>
    <xf numFmtId="0" fontId="20" fillId="0" borderId="22" xfId="0" applyFont="1" applyBorder="1" applyAlignment="1">
      <alignment horizontal="center"/>
    </xf>
    <xf numFmtId="0" fontId="14" fillId="0" borderId="19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7" fillId="0" borderId="0" xfId="0" applyFont="1" applyAlignment="1">
      <alignment vertical="center"/>
    </xf>
    <xf numFmtId="0" fontId="5" fillId="0" borderId="0" xfId="0" applyFont="1" applyAlignment="1">
      <alignment horizontal="center"/>
    </xf>
    <xf numFmtId="0" fontId="6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0" fillId="0" borderId="0" xfId="0" applyNumberFormat="1" applyFont="1" applyAlignment="1">
      <alignment horizontal="center"/>
    </xf>
    <xf numFmtId="0" fontId="6" fillId="9" borderId="0" xfId="0" applyFont="1" applyFill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6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6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6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0" fillId="0" borderId="6" xfId="0" applyFont="1" applyBorder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10" fillId="0" borderId="30" xfId="0" applyFont="1" applyBorder="1" applyAlignment="1">
      <alignment horizontal="center"/>
    </xf>
    <xf numFmtId="0" fontId="6" fillId="10" borderId="16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6" fillId="11" borderId="16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33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21" fillId="0" borderId="7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4" fillId="0" borderId="18" xfId="0" applyFont="1" applyBorder="1" applyAlignment="1">
      <alignment horizontal="center"/>
    </xf>
    <xf numFmtId="0" fontId="10" fillId="0" borderId="18" xfId="0" applyFont="1" applyBorder="1" applyAlignment="1">
      <alignment horizontal="center"/>
    </xf>
    <xf numFmtId="0" fontId="13" fillId="0" borderId="26" xfId="0" applyFont="1" applyBorder="1" applyAlignment="1">
      <alignment horizontal="center"/>
    </xf>
    <xf numFmtId="0" fontId="13" fillId="0" borderId="23" xfId="0" applyFont="1" applyBorder="1" applyAlignment="1">
      <alignment horizontal="center"/>
    </xf>
    <xf numFmtId="0" fontId="37" fillId="0" borderId="3" xfId="0" applyFont="1" applyBorder="1" applyAlignment="1">
      <alignment horizontal="center"/>
    </xf>
    <xf numFmtId="0" fontId="13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5" borderId="17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39" fillId="0" borderId="6" xfId="0" applyFont="1" applyBorder="1" applyAlignment="1">
      <alignment horizontal="center"/>
    </xf>
    <xf numFmtId="0" fontId="39" fillId="0" borderId="18" xfId="0" applyFont="1" applyBorder="1" applyAlignment="1">
      <alignment horizontal="center"/>
    </xf>
    <xf numFmtId="0" fontId="41" fillId="0" borderId="0" xfId="1" applyFont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39" fillId="0" borderId="25" xfId="0" applyFont="1" applyBorder="1" applyAlignment="1">
      <alignment horizontal="center"/>
    </xf>
    <xf numFmtId="0" fontId="42" fillId="0" borderId="22" xfId="0" applyFont="1" applyBorder="1" applyAlignment="1">
      <alignment horizontal="center"/>
    </xf>
    <xf numFmtId="0" fontId="43" fillId="0" borderId="0" xfId="0" applyFont="1" applyAlignment="1">
      <alignment horizontal="center" vertical="center"/>
    </xf>
    <xf numFmtId="0" fontId="43" fillId="0" borderId="0" xfId="0" applyFont="1" applyAlignment="1">
      <alignment horizontal="center" vertical="center" wrapText="1"/>
    </xf>
    <xf numFmtId="0" fontId="39" fillId="0" borderId="27" xfId="0" applyFont="1" applyBorder="1" applyAlignment="1">
      <alignment horizontal="center"/>
    </xf>
    <xf numFmtId="0" fontId="39" fillId="0" borderId="24" xfId="0" applyFont="1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39" fillId="0" borderId="17" xfId="0" applyFont="1" applyBorder="1" applyAlignment="1">
      <alignment horizontal="center"/>
    </xf>
    <xf numFmtId="0" fontId="39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4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4" fillId="0" borderId="0" xfId="0" applyFont="1" applyAlignment="1">
      <alignment horizontal="center"/>
    </xf>
    <xf numFmtId="0" fontId="39" fillId="0" borderId="4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6" fillId="0" borderId="3" xfId="0" applyFont="1" applyBorder="1" applyAlignment="1">
      <alignment horizontal="center" wrapText="1"/>
    </xf>
    <xf numFmtId="0" fontId="10" fillId="0" borderId="23" xfId="0" applyFont="1" applyBorder="1" applyAlignment="1">
      <alignment horizontal="center"/>
    </xf>
    <xf numFmtId="0" fontId="10" fillId="0" borderId="24" xfId="0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10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5" fillId="0" borderId="30" xfId="0" applyFont="1" applyBorder="1" applyAlignment="1">
      <alignment horizontal="center" vertical="center" textRotation="90"/>
    </xf>
    <xf numFmtId="0" fontId="6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6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3" fillId="0" borderId="25" xfId="0" applyFont="1" applyBorder="1" applyAlignment="1">
      <alignment horizontal="center"/>
    </xf>
    <xf numFmtId="0" fontId="39" fillId="0" borderId="26" xfId="0" applyFont="1" applyBorder="1" applyAlignment="1">
      <alignment horizontal="center"/>
    </xf>
    <xf numFmtId="0" fontId="34" fillId="0" borderId="15" xfId="0" applyFont="1" applyBorder="1" applyAlignment="1">
      <alignment horizontal="center"/>
    </xf>
    <xf numFmtId="0" fontId="20" fillId="0" borderId="43" xfId="0" applyFont="1" applyBorder="1" applyAlignment="1">
      <alignment horizontal="center"/>
    </xf>
    <xf numFmtId="0" fontId="39" fillId="19" borderId="6" xfId="0" applyFont="1" applyFill="1" applyBorder="1" applyAlignment="1">
      <alignment horizontal="center"/>
    </xf>
    <xf numFmtId="0" fontId="6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7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48" fillId="0" borderId="0" xfId="0" applyFont="1" applyAlignment="1">
      <alignment horizontal="center"/>
    </xf>
    <xf numFmtId="0" fontId="10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6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6" fillId="0" borderId="0" xfId="0" applyNumberFormat="1" applyFont="1" applyAlignment="1">
      <alignment horizontal="center"/>
    </xf>
    <xf numFmtId="169" fontId="6" fillId="0" borderId="0" xfId="0" applyNumberFormat="1" applyFont="1" applyAlignment="1">
      <alignment horizontal="center"/>
    </xf>
    <xf numFmtId="2" fontId="10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0" fillId="0" borderId="22" xfId="0" applyNumberFormat="1" applyFont="1" applyBorder="1" applyAlignment="1">
      <alignment horizontal="center"/>
    </xf>
    <xf numFmtId="2" fontId="6" fillId="0" borderId="26" xfId="0" applyNumberFormat="1" applyFont="1" applyBorder="1" applyAlignment="1">
      <alignment horizontal="center"/>
    </xf>
    <xf numFmtId="2" fontId="6" fillId="0" borderId="23" xfId="0" applyNumberFormat="1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0" fillId="0" borderId="44" xfId="0" applyFont="1" applyBorder="1" applyAlignment="1">
      <alignment horizontal="center"/>
    </xf>
    <xf numFmtId="0" fontId="34" fillId="0" borderId="45" xfId="0" applyFont="1" applyBorder="1" applyAlignment="1">
      <alignment horizontal="center"/>
    </xf>
    <xf numFmtId="0" fontId="6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7" fillId="0" borderId="0" xfId="0" applyFont="1" applyAlignment="1">
      <alignment horizontal="center"/>
    </xf>
    <xf numFmtId="170" fontId="10" fillId="0" borderId="2" xfId="0" applyNumberFormat="1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4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6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6" fillId="0" borderId="0" xfId="0" applyFont="1" applyAlignment="1">
      <alignment horizontal="center" textRotation="90"/>
    </xf>
    <xf numFmtId="0" fontId="10" fillId="0" borderId="0" xfId="0" applyFont="1" applyAlignment="1">
      <alignment horizontal="center" textRotation="90"/>
    </xf>
    <xf numFmtId="0" fontId="28" fillId="0" borderId="0" xfId="0" applyFont="1" applyAlignment="1">
      <alignment horizontal="center" vertical="center"/>
    </xf>
    <xf numFmtId="0" fontId="55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7" fillId="0" borderId="0" xfId="0" applyFont="1"/>
    <xf numFmtId="0" fontId="57" fillId="23" borderId="7" xfId="0" applyFont="1" applyFill="1" applyBorder="1" applyAlignment="1">
      <alignment horizontal="center"/>
    </xf>
    <xf numFmtId="0" fontId="57" fillId="23" borderId="9" xfId="0" applyFont="1" applyFill="1" applyBorder="1" applyAlignment="1">
      <alignment horizontal="center"/>
    </xf>
    <xf numFmtId="0" fontId="57" fillId="23" borderId="33" xfId="0" applyFont="1" applyFill="1" applyBorder="1" applyAlignment="1">
      <alignment horizontal="center"/>
    </xf>
    <xf numFmtId="0" fontId="57" fillId="23" borderId="38" xfId="0" applyFont="1" applyFill="1" applyBorder="1" applyAlignment="1">
      <alignment horizontal="center"/>
    </xf>
    <xf numFmtId="0" fontId="57" fillId="23" borderId="36" xfId="0" applyFont="1" applyFill="1" applyBorder="1" applyAlignment="1">
      <alignment horizontal="center"/>
    </xf>
    <xf numFmtId="0" fontId="57" fillId="21" borderId="43" xfId="0" applyFont="1" applyFill="1" applyBorder="1" applyAlignment="1">
      <alignment horizontal="center"/>
    </xf>
    <xf numFmtId="0" fontId="57" fillId="21" borderId="30" xfId="0" applyFont="1" applyFill="1" applyBorder="1" applyAlignment="1">
      <alignment horizontal="center"/>
    </xf>
    <xf numFmtId="0" fontId="57" fillId="21" borderId="34" xfId="0" applyFont="1" applyFill="1" applyBorder="1" applyAlignment="1">
      <alignment horizontal="center"/>
    </xf>
    <xf numFmtId="0" fontId="57" fillId="21" borderId="39" xfId="0" applyFont="1" applyFill="1" applyBorder="1" applyAlignment="1">
      <alignment horizontal="center"/>
    </xf>
    <xf numFmtId="0" fontId="57" fillId="21" borderId="6" xfId="0" applyFont="1" applyFill="1" applyBorder="1" applyAlignment="1">
      <alignment horizontal="center"/>
    </xf>
    <xf numFmtId="0" fontId="57" fillId="18" borderId="22" xfId="0" applyFont="1" applyFill="1" applyBorder="1" applyAlignment="1">
      <alignment horizontal="center"/>
    </xf>
    <xf numFmtId="0" fontId="57" fillId="18" borderId="24" xfId="0" applyFont="1" applyFill="1" applyBorder="1" applyAlignment="1">
      <alignment horizontal="center"/>
    </xf>
    <xf numFmtId="0" fontId="57" fillId="18" borderId="35" xfId="0" applyFont="1" applyFill="1" applyBorder="1" applyAlignment="1">
      <alignment horizontal="center"/>
    </xf>
    <xf numFmtId="0" fontId="57" fillId="18" borderId="40" xfId="0" applyFont="1" applyFill="1" applyBorder="1" applyAlignment="1">
      <alignment horizontal="center"/>
    </xf>
    <xf numFmtId="0" fontId="57" fillId="18" borderId="37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9" fillId="18" borderId="24" xfId="0" applyFont="1" applyFill="1" applyBorder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21" borderId="7" xfId="0" applyFont="1" applyFill="1" applyBorder="1" applyAlignment="1">
      <alignment horizontal="center"/>
    </xf>
    <xf numFmtId="0" fontId="59" fillId="21" borderId="9" xfId="0" applyFont="1" applyFill="1" applyBorder="1" applyAlignment="1">
      <alignment horizontal="center"/>
    </xf>
    <xf numFmtId="0" fontId="59" fillId="21" borderId="8" xfId="0" applyFont="1" applyFill="1" applyBorder="1" applyAlignment="1">
      <alignment horizontal="center"/>
    </xf>
    <xf numFmtId="0" fontId="57" fillId="23" borderId="27" xfId="0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0" fillId="24" borderId="0" xfId="0" applyFill="1"/>
    <xf numFmtId="0" fontId="20" fillId="21" borderId="0" xfId="0" applyFont="1" applyFill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0" fontId="20" fillId="16" borderId="0" xfId="0" applyFont="1" applyFill="1" applyAlignment="1">
      <alignment horizontal="center" vertical="center"/>
    </xf>
    <xf numFmtId="0" fontId="20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3" fillId="0" borderId="0" xfId="0" applyFont="1" applyAlignment="1">
      <alignment horizontal="center" textRotation="90"/>
    </xf>
    <xf numFmtId="0" fontId="28" fillId="0" borderId="0" xfId="0" applyFont="1" applyAlignment="1">
      <alignment horizontal="center"/>
    </xf>
    <xf numFmtId="0" fontId="28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61" fillId="0" borderId="43" xfId="0" applyFont="1" applyBorder="1" applyAlignment="1">
      <alignment horizontal="center"/>
    </xf>
    <xf numFmtId="0" fontId="61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0" fillId="0" borderId="6" xfId="0" applyBorder="1" applyAlignment="1">
      <alignment horizontal="center" vertical="center" wrapText="1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0" borderId="16" xfId="0" applyFill="1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1" fillId="0" borderId="1" xfId="0" applyFont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0" borderId="6" xfId="0" applyBorder="1" applyAlignment="1">
      <alignment horizontal="center" wrapText="1"/>
    </xf>
    <xf numFmtId="0" fontId="7" fillId="17" borderId="0" xfId="0" applyFont="1" applyFill="1" applyAlignment="1">
      <alignment horizontal="center" vertical="center"/>
    </xf>
    <xf numFmtId="0" fontId="35" fillId="15" borderId="0" xfId="0" applyFont="1" applyFill="1" applyAlignment="1">
      <alignment horizontal="center" vertical="center"/>
    </xf>
    <xf numFmtId="0" fontId="6" fillId="0" borderId="3" xfId="0" applyFont="1" applyBorder="1" applyAlignment="1">
      <alignment horizontal="center" wrapText="1"/>
    </xf>
    <xf numFmtId="0" fontId="6" fillId="0" borderId="4" xfId="0" applyFont="1" applyBorder="1" applyAlignment="1">
      <alignment horizontal="center" wrapText="1"/>
    </xf>
    <xf numFmtId="0" fontId="37" fillId="14" borderId="0" xfId="0" applyFont="1" applyFill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10" fillId="12" borderId="1" xfId="0" applyFont="1" applyFill="1" applyBorder="1" applyAlignment="1">
      <alignment horizontal="center"/>
    </xf>
    <xf numFmtId="0" fontId="15" fillId="3" borderId="0" xfId="0" applyFont="1" applyFill="1" applyAlignment="1">
      <alignment horizontal="center" vertical="center" textRotation="90"/>
    </xf>
    <xf numFmtId="0" fontId="7" fillId="18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5" fillId="3" borderId="0" xfId="0" applyFont="1" applyFill="1" applyAlignment="1">
      <alignment horizontal="center" vertical="center" textRotation="90" wrapText="1"/>
    </xf>
    <xf numFmtId="0" fontId="35" fillId="13" borderId="0" xfId="0" applyFont="1" applyFill="1" applyAlignment="1">
      <alignment horizontal="center" vertical="center"/>
    </xf>
    <xf numFmtId="0" fontId="46" fillId="9" borderId="0" xfId="0" applyFont="1" applyFill="1" applyAlignment="1">
      <alignment horizontal="center" vertical="center"/>
    </xf>
    <xf numFmtId="0" fontId="46" fillId="9" borderId="30" xfId="0" applyFont="1" applyFill="1" applyBorder="1" applyAlignment="1">
      <alignment horizontal="center" vertical="center"/>
    </xf>
    <xf numFmtId="0" fontId="13" fillId="12" borderId="19" xfId="0" applyFont="1" applyFill="1" applyBorder="1" applyAlignment="1">
      <alignment horizontal="center"/>
    </xf>
    <xf numFmtId="0" fontId="49" fillId="0" borderId="0" xfId="0" applyFont="1" applyAlignment="1">
      <alignment horizontal="center" vertical="center"/>
    </xf>
    <xf numFmtId="0" fontId="46" fillId="16" borderId="0" xfId="0" applyFont="1" applyFill="1" applyAlignment="1">
      <alignment horizontal="center" vertical="center"/>
    </xf>
    <xf numFmtId="0" fontId="46" fillId="16" borderId="30" xfId="0" applyFont="1" applyFill="1" applyBorder="1" applyAlignment="1">
      <alignment horizontal="center" vertical="center"/>
    </xf>
    <xf numFmtId="0" fontId="6" fillId="0" borderId="22" xfId="0" applyFont="1" applyBorder="1" applyAlignment="1">
      <alignment horizontal="center" vertical="center" wrapText="1"/>
    </xf>
    <xf numFmtId="0" fontId="6" fillId="0" borderId="23" xfId="0" applyFont="1" applyBorder="1" applyAlignment="1">
      <alignment horizontal="center" vertical="center" wrapText="1"/>
    </xf>
    <xf numFmtId="0" fontId="28" fillId="0" borderId="0" xfId="0" applyFont="1" applyAlignment="1">
      <alignment horizontal="center" vertical="center" textRotation="90"/>
    </xf>
    <xf numFmtId="0" fontId="46" fillId="19" borderId="30" xfId="0" applyFont="1" applyFill="1" applyBorder="1" applyAlignment="1">
      <alignment horizontal="center" vertical="center"/>
    </xf>
    <xf numFmtId="0" fontId="20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58" fillId="22" borderId="3" xfId="0" applyFont="1" applyFill="1" applyBorder="1" applyAlignment="1">
      <alignment horizontal="center" vertical="center"/>
    </xf>
    <xf numFmtId="0" fontId="58" fillId="22" borderId="4" xfId="0" applyFont="1" applyFill="1" applyBorder="1" applyAlignment="1">
      <alignment horizontal="center" vertical="center"/>
    </xf>
    <xf numFmtId="0" fontId="58" fillId="22" borderId="5" xfId="0" applyFont="1" applyFill="1" applyBorder="1" applyAlignment="1">
      <alignment horizontal="center" vertical="center"/>
    </xf>
    <xf numFmtId="0" fontId="58" fillId="9" borderId="3" xfId="0" applyFont="1" applyFill="1" applyBorder="1" applyAlignment="1">
      <alignment horizontal="center" vertical="center"/>
    </xf>
    <xf numFmtId="0" fontId="58" fillId="9" borderId="5" xfId="0" applyFont="1" applyFill="1" applyBorder="1" applyAlignment="1">
      <alignment horizontal="center" vertical="center"/>
    </xf>
    <xf numFmtId="0" fontId="58" fillId="16" borderId="3" xfId="0" applyFont="1" applyFill="1" applyBorder="1" applyAlignment="1">
      <alignment horizontal="center" vertical="center"/>
    </xf>
    <xf numFmtId="0" fontId="58" fillId="16" borderId="4" xfId="0" applyFont="1" applyFill="1" applyBorder="1" applyAlignment="1">
      <alignment horizontal="center" vertical="center"/>
    </xf>
    <xf numFmtId="0" fontId="58" fillId="16" borderId="5" xfId="0" applyFont="1" applyFill="1" applyBorder="1" applyAlignment="1">
      <alignment horizontal="center" vertical="center"/>
    </xf>
    <xf numFmtId="0" fontId="58" fillId="20" borderId="3" xfId="0" applyFont="1" applyFill="1" applyBorder="1" applyAlignment="1">
      <alignment horizontal="center" vertical="center"/>
    </xf>
    <xf numFmtId="0" fontId="58" fillId="20" borderId="5" xfId="0" applyFont="1" applyFill="1" applyBorder="1" applyAlignment="1">
      <alignment horizontal="center" vertical="center"/>
    </xf>
    <xf numFmtId="0" fontId="20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0" fillId="19" borderId="0" xfId="0" applyFont="1" applyFill="1" applyAlignment="1">
      <alignment horizontal="center" vertical="center" textRotation="90"/>
    </xf>
    <xf numFmtId="0" fontId="5" fillId="0" borderId="6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 wrapText="1"/>
    </xf>
    <xf numFmtId="0" fontId="20" fillId="16" borderId="0" xfId="0" applyFont="1" applyFill="1" applyAlignment="1">
      <alignment horizontal="center" vertical="center" textRotation="90"/>
    </xf>
    <xf numFmtId="0" fontId="20" fillId="9" borderId="0" xfId="0" applyFont="1" applyFill="1" applyAlignment="1">
      <alignment horizontal="center" vertical="center" textRotation="90"/>
    </xf>
    <xf numFmtId="0" fontId="45" fillId="3" borderId="34" xfId="0" applyFont="1" applyFill="1" applyBorder="1" applyAlignment="1">
      <alignment horizontal="center" vertical="center"/>
    </xf>
    <xf numFmtId="0" fontId="45" fillId="3" borderId="35" xfId="0" applyFont="1" applyFill="1" applyBorder="1" applyAlignment="1">
      <alignment horizontal="center" vertical="center"/>
    </xf>
    <xf numFmtId="0" fontId="45" fillId="3" borderId="6" xfId="0" applyFont="1" applyFill="1" applyBorder="1" applyAlignment="1">
      <alignment horizontal="center" vertical="center"/>
    </xf>
    <xf numFmtId="0" fontId="45" fillId="3" borderId="37" xfId="0" applyFont="1" applyFill="1" applyBorder="1" applyAlignment="1">
      <alignment horizontal="center" vertical="center"/>
    </xf>
    <xf numFmtId="0" fontId="45" fillId="8" borderId="6" xfId="0" applyFont="1" applyFill="1" applyBorder="1" applyAlignment="1">
      <alignment horizontal="center" vertical="center"/>
    </xf>
    <xf numFmtId="0" fontId="45" fillId="8" borderId="37" xfId="0" applyFont="1" applyFill="1" applyBorder="1" applyAlignment="1">
      <alignment horizontal="center" vertical="center"/>
    </xf>
    <xf numFmtId="0" fontId="45" fillId="8" borderId="39" xfId="0" applyFont="1" applyFill="1" applyBorder="1" applyAlignment="1">
      <alignment horizontal="center" vertical="center"/>
    </xf>
    <xf numFmtId="0" fontId="45" fillId="8" borderId="40" xfId="0" applyFont="1" applyFill="1" applyBorder="1" applyAlignment="1">
      <alignment horizontal="center" vertical="center"/>
    </xf>
    <xf numFmtId="0" fontId="45" fillId="0" borderId="36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45" fillId="0" borderId="38" xfId="0" applyFont="1" applyBorder="1" applyAlignment="1">
      <alignment horizontal="center" vertical="center"/>
    </xf>
    <xf numFmtId="0" fontId="45" fillId="0" borderId="39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5" fillId="11" borderId="33" xfId="0" applyFont="1" applyFill="1" applyBorder="1" applyAlignment="1">
      <alignment horizontal="center" vertical="center"/>
    </xf>
    <xf numFmtId="0" fontId="45" fillId="11" borderId="34" xfId="0" applyFont="1" applyFill="1" applyBorder="1" applyAlignment="1">
      <alignment horizontal="center" vertical="center"/>
    </xf>
    <xf numFmtId="0" fontId="45" fillId="11" borderId="36" xfId="0" applyFont="1" applyFill="1" applyBorder="1" applyAlignment="1">
      <alignment horizontal="center" vertical="center"/>
    </xf>
    <xf numFmtId="0" fontId="45" fillId="11" borderId="6" xfId="0" applyFont="1" applyFill="1" applyBorder="1" applyAlignment="1">
      <alignment horizontal="center" vertical="center"/>
    </xf>
    <xf numFmtId="0" fontId="48" fillId="0" borderId="0" xfId="0" applyFont="1" applyAlignment="1">
      <alignment horizontal="center"/>
    </xf>
    <xf numFmtId="0" fontId="31" fillId="10" borderId="0" xfId="0" applyFont="1" applyFill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2" fillId="7" borderId="0" xfId="0" applyFont="1" applyFill="1" applyAlignment="1">
      <alignment horizontal="center" vertical="center" textRotation="90"/>
    </xf>
    <xf numFmtId="0" fontId="9" fillId="6" borderId="0" xfId="0" applyFont="1" applyFill="1" applyAlignment="1">
      <alignment horizontal="center" vertical="center"/>
    </xf>
    <xf numFmtId="0" fontId="31" fillId="8" borderId="0" xfId="0" applyFont="1" applyFill="1" applyAlignment="1">
      <alignment horizontal="center"/>
    </xf>
    <xf numFmtId="0" fontId="30" fillId="8" borderId="0" xfId="0" applyFont="1" applyFill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49" fillId="0" borderId="0" xfId="0" applyFont="1" applyAlignment="1">
      <alignment horizontal="center" vertical="center" textRotation="90"/>
    </xf>
    <xf numFmtId="0" fontId="1" fillId="0" borderId="18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53" fillId="0" borderId="43" xfId="0" applyFont="1" applyBorder="1" applyAlignment="1">
      <alignment horizontal="center" vertical="center"/>
    </xf>
    <xf numFmtId="0" fontId="53" fillId="0" borderId="0" xfId="0" applyFont="1" applyAlignment="1">
      <alignment horizontal="center" vertical="center"/>
    </xf>
    <xf numFmtId="0" fontId="20" fillId="0" borderId="0" xfId="0" applyFont="1" applyBorder="1" applyAlignment="1">
      <alignment horizontal="center"/>
    </xf>
    <xf numFmtId="0" fontId="10" fillId="0" borderId="0" xfId="0" applyFont="1" applyBorder="1" applyAlignment="1">
      <alignment horizontal="center"/>
    </xf>
    <xf numFmtId="0" fontId="49" fillId="0" borderId="0" xfId="0" applyFont="1" applyAlignment="1">
      <alignment horizontal="center" textRotation="90" wrapText="1"/>
    </xf>
    <xf numFmtId="0" fontId="63" fillId="17" borderId="0" xfId="0" applyFont="1" applyFill="1" applyAlignment="1">
      <alignment horizontal="center" vertical="center"/>
    </xf>
    <xf numFmtId="0" fontId="64" fillId="17" borderId="0" xfId="0" applyFont="1" applyFill="1" applyAlignment="1">
      <alignment horizontal="center" vertical="center"/>
    </xf>
    <xf numFmtId="0" fontId="20" fillId="0" borderId="0" xfId="0" applyFont="1" applyAlignment="1"/>
    <xf numFmtId="0" fontId="19" fillId="0" borderId="0" xfId="0" applyFont="1" applyAlignment="1">
      <alignment horizontal="right"/>
    </xf>
    <xf numFmtId="0" fontId="20" fillId="24" borderId="0" xfId="0" applyFont="1" applyFill="1" applyAlignment="1">
      <alignment horizontal="center"/>
    </xf>
    <xf numFmtId="0" fontId="20" fillId="17" borderId="0" xfId="0" applyFont="1" applyFill="1" applyAlignment="1">
      <alignment horizontal="center"/>
    </xf>
    <xf numFmtId="0" fontId="1" fillId="0" borderId="0" xfId="0" applyFont="1" applyBorder="1" applyAlignment="1">
      <alignment horizontal="center"/>
    </xf>
    <xf numFmtId="0" fontId="14" fillId="0" borderId="0" xfId="0" applyFont="1" applyBorder="1" applyAlignment="1">
      <alignment horizontal="center"/>
    </xf>
    <xf numFmtId="2" fontId="0" fillId="17" borderId="0" xfId="0" applyNumberFormat="1" applyFill="1" applyAlignment="1">
      <alignment horizontal="center"/>
    </xf>
    <xf numFmtId="0" fontId="53" fillId="0" borderId="0" xfId="0" applyFont="1" applyFill="1" applyAlignment="1">
      <alignment vertical="center" textRotation="90"/>
    </xf>
    <xf numFmtId="0" fontId="49" fillId="0" borderId="0" xfId="0" applyFont="1" applyAlignment="1">
      <alignment horizontal="center" vertical="center" wrapText="1"/>
    </xf>
    <xf numFmtId="0" fontId="0" fillId="25" borderId="0" xfId="0" applyFill="1" applyAlignment="1">
      <alignment horizontal="center"/>
    </xf>
    <xf numFmtId="0" fontId="0" fillId="25" borderId="0" xfId="0" applyFont="1" applyFill="1" applyAlignment="1">
      <alignment horizontal="center"/>
    </xf>
    <xf numFmtId="0" fontId="13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0" fillId="0" borderId="0" xfId="0" applyFill="1" applyAlignment="1">
      <alignment horizontal="center"/>
    </xf>
    <xf numFmtId="0" fontId="6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37" fillId="14" borderId="30" xfId="0" applyFont="1" applyFill="1" applyBorder="1" applyAlignment="1">
      <alignment horizontal="center" vertical="center"/>
    </xf>
    <xf numFmtId="0" fontId="35" fillId="13" borderId="30" xfId="0" applyFont="1" applyFill="1" applyBorder="1" applyAlignment="1">
      <alignment horizontal="center" vertical="center"/>
    </xf>
    <xf numFmtId="0" fontId="34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0" borderId="0" xfId="0" applyFont="1" applyAlignment="1">
      <alignment horizontal="center" textRotation="90"/>
    </xf>
    <xf numFmtId="0" fontId="0" fillId="0" borderId="0" xfId="0" applyFont="1" applyAlignment="1">
      <alignment horizontal="right"/>
    </xf>
    <xf numFmtId="0" fontId="49" fillId="0" borderId="0" xfId="0" applyFont="1" applyAlignment="1">
      <alignment horizontal="center" vertical="center" textRotation="90" wrapText="1"/>
    </xf>
    <xf numFmtId="0" fontId="48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0" fontId="67" fillId="0" borderId="0" xfId="0" applyFont="1" applyAlignment="1">
      <alignment horizontal="center" vertical="center" textRotation="90"/>
    </xf>
    <xf numFmtId="0" fontId="49" fillId="0" borderId="0" xfId="0" applyFont="1" applyFill="1" applyAlignment="1">
      <alignment horizontal="center" vertical="center" textRotation="90" wrapText="1"/>
    </xf>
    <xf numFmtId="169" fontId="0" fillId="0" borderId="0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21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1003905</xdr:colOff>
      <xdr:row>109</xdr:row>
      <xdr:rowOff>125790</xdr:rowOff>
    </xdr:from>
    <xdr:to>
      <xdr:col>14</xdr:col>
      <xdr:colOff>937143</xdr:colOff>
      <xdr:row>126</xdr:row>
      <xdr:rowOff>66526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991" y="22245561"/>
          <a:ext cx="3721466" cy="3148391"/>
        </a:xfrm>
        <a:prstGeom prst="rect">
          <a:avLst/>
        </a:prstGeom>
      </xdr:spPr>
    </xdr:pic>
    <xdr:clientData/>
  </xdr:twoCellAnchor>
  <xdr:twoCellAnchor editAs="oneCell">
    <xdr:from>
      <xdr:col>4</xdr:col>
      <xdr:colOff>722413</xdr:colOff>
      <xdr:row>109</xdr:row>
      <xdr:rowOff>29029</xdr:rowOff>
    </xdr:from>
    <xdr:to>
      <xdr:col>11</xdr:col>
      <xdr:colOff>187474</xdr:colOff>
      <xdr:row>123</xdr:row>
      <xdr:rowOff>128756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90584" y="22119772"/>
          <a:ext cx="4965976" cy="2741326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110</xdr:row>
      <xdr:rowOff>117322</xdr:rowOff>
    </xdr:from>
    <xdr:to>
      <xdr:col>22</xdr:col>
      <xdr:colOff>146352</xdr:colOff>
      <xdr:row>119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111</xdr:row>
      <xdr:rowOff>181429</xdr:rowOff>
    </xdr:from>
    <xdr:to>
      <xdr:col>4</xdr:col>
      <xdr:colOff>810001</xdr:colOff>
      <xdr:row>122</xdr:row>
      <xdr:rowOff>139699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765658"/>
          <a:ext cx="3778172" cy="2033814"/>
        </a:xfrm>
        <a:prstGeom prst="rect">
          <a:avLst/>
        </a:prstGeom>
      </xdr:spPr>
    </xdr:pic>
    <xdr:clientData/>
  </xdr:twoCellAnchor>
  <xdr:twoCellAnchor editAs="oneCell">
    <xdr:from>
      <xdr:col>41</xdr:col>
      <xdr:colOff>676715</xdr:colOff>
      <xdr:row>87</xdr:row>
      <xdr:rowOff>0</xdr:rowOff>
    </xdr:from>
    <xdr:to>
      <xdr:col>53</xdr:col>
      <xdr:colOff>305923</xdr:colOff>
      <xdr:row>95</xdr:row>
      <xdr:rowOff>100613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73123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670496</xdr:colOff>
      <xdr:row>98</xdr:row>
      <xdr:rowOff>0</xdr:rowOff>
    </xdr:from>
    <xdr:to>
      <xdr:col>4</xdr:col>
      <xdr:colOff>765155</xdr:colOff>
      <xdr:row>113</xdr:row>
      <xdr:rowOff>33946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670496" y="20312112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131419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247223</xdr:colOff>
      <xdr:row>6</xdr:row>
      <xdr:rowOff>79554</xdr:rowOff>
    </xdr:from>
    <xdr:to>
      <xdr:col>37</xdr:col>
      <xdr:colOff>277379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17</xdr:col>
      <xdr:colOff>75016</xdr:colOff>
      <xdr:row>35</xdr:row>
      <xdr:rowOff>90360</xdr:rowOff>
    </xdr:from>
    <xdr:to>
      <xdr:col>17</xdr:col>
      <xdr:colOff>78601</xdr:colOff>
      <xdr:row>41</xdr:row>
      <xdr:rowOff>55132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D327E37D-6EB6-195A-45D8-9827CAA8C0EA}"/>
            </a:ext>
          </a:extLst>
        </xdr:cNvPr>
        <xdr:cNvCxnSpPr/>
      </xdr:nvCxnSpPr>
      <xdr:spPr>
        <a:xfrm flipH="1">
          <a:off x="13978174" y="7108781"/>
          <a:ext cx="3585" cy="1167930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112509</xdr:colOff>
      <xdr:row>28</xdr:row>
      <xdr:rowOff>118983</xdr:rowOff>
    </xdr:from>
    <xdr:to>
      <xdr:col>34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14310</xdr:colOff>
      <xdr:row>34</xdr:row>
      <xdr:rowOff>152104</xdr:rowOff>
    </xdr:from>
    <xdr:to>
      <xdr:col>52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312171</xdr:colOff>
      <xdr:row>160</xdr:row>
      <xdr:rowOff>41569</xdr:rowOff>
    </xdr:from>
    <xdr:to>
      <xdr:col>35</xdr:col>
      <xdr:colOff>320830</xdr:colOff>
      <xdr:row>174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68261</xdr:colOff>
      <xdr:row>199</xdr:row>
      <xdr:rowOff>186422</xdr:rowOff>
    </xdr:from>
    <xdr:to>
      <xdr:col>15</xdr:col>
      <xdr:colOff>807705</xdr:colOff>
      <xdr:row>218</xdr:row>
      <xdr:rowOff>33490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9454" y="42189633"/>
          <a:ext cx="4117878" cy="4091847"/>
        </a:xfrm>
        <a:prstGeom prst="rect">
          <a:avLst/>
        </a:prstGeom>
      </xdr:spPr>
    </xdr:pic>
    <xdr:clientData/>
  </xdr:twoCellAnchor>
  <xdr:twoCellAnchor>
    <xdr:from>
      <xdr:col>16</xdr:col>
      <xdr:colOff>647099</xdr:colOff>
      <xdr:row>168</xdr:row>
      <xdr:rowOff>51216</xdr:rowOff>
    </xdr:from>
    <xdr:to>
      <xdr:col>16</xdr:col>
      <xdr:colOff>661055</xdr:colOff>
      <xdr:row>174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12717925" y="35459748"/>
          <a:ext cx="13956" cy="1295352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258660</xdr:colOff>
      <xdr:row>154</xdr:row>
      <xdr:rowOff>33834</xdr:rowOff>
    </xdr:from>
    <xdr:to>
      <xdr:col>60</xdr:col>
      <xdr:colOff>687212</xdr:colOff>
      <xdr:row>165</xdr:row>
      <xdr:rowOff>156978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52</xdr:col>
      <xdr:colOff>338829</xdr:colOff>
      <xdr:row>165</xdr:row>
      <xdr:rowOff>42342</xdr:rowOff>
    </xdr:from>
    <xdr:to>
      <xdr:col>52</xdr:col>
      <xdr:colOff>347605</xdr:colOff>
      <xdr:row>174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326530</xdr:colOff>
      <xdr:row>100</xdr:row>
      <xdr:rowOff>217823</xdr:rowOff>
    </xdr:from>
    <xdr:to>
      <xdr:col>35</xdr:col>
      <xdr:colOff>348617</xdr:colOff>
      <xdr:row>112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684088</xdr:colOff>
      <xdr:row>74</xdr:row>
      <xdr:rowOff>169332</xdr:rowOff>
    </xdr:from>
    <xdr:to>
      <xdr:col>17</xdr:col>
      <xdr:colOff>340801</xdr:colOff>
      <xdr:row>95</xdr:row>
      <xdr:rowOff>38139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815866" y="15352888"/>
          <a:ext cx="4341602" cy="4624251"/>
        </a:xfrm>
        <a:prstGeom prst="rect">
          <a:avLst/>
        </a:prstGeom>
      </xdr:spPr>
    </xdr:pic>
    <xdr:clientData/>
  </xdr:twoCellAnchor>
  <xdr:twoCellAnchor editAs="oneCell">
    <xdr:from>
      <xdr:col>47</xdr:col>
      <xdr:colOff>116514</xdr:colOff>
      <xdr:row>72</xdr:row>
      <xdr:rowOff>144288</xdr:rowOff>
    </xdr:from>
    <xdr:to>
      <xdr:col>54</xdr:col>
      <xdr:colOff>717433</xdr:colOff>
      <xdr:row>90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53</xdr:col>
      <xdr:colOff>519206</xdr:colOff>
      <xdr:row>103</xdr:row>
      <xdr:rowOff>251258</xdr:rowOff>
    </xdr:from>
    <xdr:to>
      <xdr:col>53</xdr:col>
      <xdr:colOff>544399</xdr:colOff>
      <xdr:row>112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11174</xdr:colOff>
      <xdr:row>109</xdr:row>
      <xdr:rowOff>169333</xdr:rowOff>
    </xdr:from>
    <xdr:to>
      <xdr:col>17</xdr:col>
      <xdr:colOff>24190</xdr:colOff>
      <xdr:row>113</xdr:row>
      <xdr:rowOff>34403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E8B83A35-725C-4367-B954-C583FDEF452B}"/>
            </a:ext>
          </a:extLst>
        </xdr:cNvPr>
        <xdr:cNvCxnSpPr/>
      </xdr:nvCxnSpPr>
      <xdr:spPr>
        <a:xfrm flipH="1">
          <a:off x="4583174" y="19600333"/>
          <a:ext cx="13016" cy="683514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301402</xdr:colOff>
      <xdr:row>0</xdr:row>
      <xdr:rowOff>0</xdr:rowOff>
    </xdr:from>
    <xdr:to>
      <xdr:col>18</xdr:col>
      <xdr:colOff>389146</xdr:colOff>
      <xdr:row>21</xdr:row>
      <xdr:rowOff>110426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115688" y="0"/>
          <a:ext cx="4185930" cy="3920426"/>
        </a:xfrm>
        <a:prstGeom prst="rect">
          <a:avLst/>
        </a:prstGeom>
      </xdr:spPr>
    </xdr:pic>
    <xdr:clientData/>
  </xdr:twoCellAnchor>
  <xdr:twoCellAnchor editAs="oneCell">
    <xdr:from>
      <xdr:col>46</xdr:col>
      <xdr:colOff>453329</xdr:colOff>
      <xdr:row>1</xdr:row>
      <xdr:rowOff>135587</xdr:rowOff>
    </xdr:from>
    <xdr:to>
      <xdr:col>52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137</xdr:col>
      <xdr:colOff>173182</xdr:colOff>
      <xdr:row>114</xdr:row>
      <xdr:rowOff>127000</xdr:rowOff>
    </xdr:from>
    <xdr:to>
      <xdr:col>153</xdr:col>
      <xdr:colOff>170183</xdr:colOff>
      <xdr:row>114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538308</xdr:colOff>
      <xdr:row>129</xdr:row>
      <xdr:rowOff>213464</xdr:rowOff>
    </xdr:from>
    <xdr:to>
      <xdr:col>153</xdr:col>
      <xdr:colOff>326135</xdr:colOff>
      <xdr:row>130</xdr:row>
      <xdr:rowOff>3893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 flipV="1">
          <a:off x="109076271" y="27541983"/>
          <a:ext cx="9077642" cy="13854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577613</xdr:colOff>
      <xdr:row>92</xdr:row>
      <xdr:rowOff>88343</xdr:rowOff>
    </xdr:from>
    <xdr:to>
      <xdr:col>153</xdr:col>
      <xdr:colOff>360684</xdr:colOff>
      <xdr:row>92</xdr:row>
      <xdr:rowOff>88343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 flipV="1">
          <a:off x="62277201" y="14207755"/>
          <a:ext cx="7649601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82312</xdr:colOff>
      <xdr:row>114</xdr:row>
      <xdr:rowOff>75644</xdr:rowOff>
    </xdr:from>
    <xdr:to>
      <xdr:col>129</xdr:col>
      <xdr:colOff>471249</xdr:colOff>
      <xdr:row>114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82911712" y="23811944"/>
          <a:ext cx="10409237" cy="0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453351</xdr:colOff>
      <xdr:row>30</xdr:row>
      <xdr:rowOff>189376</xdr:rowOff>
    </xdr:from>
    <xdr:to>
      <xdr:col>6</xdr:col>
      <xdr:colOff>791615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15</xdr:col>
      <xdr:colOff>2142</xdr:colOff>
      <xdr:row>177</xdr:row>
      <xdr:rowOff>41794</xdr:rowOff>
    </xdr:from>
    <xdr:to>
      <xdr:col>15</xdr:col>
      <xdr:colOff>11759</xdr:colOff>
      <xdr:row>184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9677</xdr:colOff>
      <xdr:row>185</xdr:row>
      <xdr:rowOff>0</xdr:rowOff>
    </xdr:from>
    <xdr:to>
      <xdr:col>21</xdr:col>
      <xdr:colOff>23519</xdr:colOff>
      <xdr:row>185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399814</xdr:colOff>
      <xdr:row>127</xdr:row>
      <xdr:rowOff>0</xdr:rowOff>
    </xdr:from>
    <xdr:to>
      <xdr:col>89</xdr:col>
      <xdr:colOff>186092</xdr:colOff>
      <xdr:row>127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195147</xdr:colOff>
      <xdr:row>114</xdr:row>
      <xdr:rowOff>92927</xdr:rowOff>
    </xdr:from>
    <xdr:to>
      <xdr:col>109</xdr:col>
      <xdr:colOff>792294</xdr:colOff>
      <xdr:row>114</xdr:row>
      <xdr:rowOff>151468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67982853" y="23908340"/>
          <a:ext cx="28315771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139816</xdr:colOff>
      <xdr:row>42</xdr:row>
      <xdr:rowOff>128165</xdr:rowOff>
    </xdr:from>
    <xdr:to>
      <xdr:col>99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514394</xdr:colOff>
      <xdr:row>92</xdr:row>
      <xdr:rowOff>127794</xdr:rowOff>
    </xdr:from>
    <xdr:to>
      <xdr:col>140</xdr:col>
      <xdr:colOff>560576</xdr:colOff>
      <xdr:row>114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49680</xdr:colOff>
      <xdr:row>114</xdr:row>
      <xdr:rowOff>74604</xdr:rowOff>
    </xdr:from>
    <xdr:to>
      <xdr:col>68</xdr:col>
      <xdr:colOff>713503</xdr:colOff>
      <xdr:row>114</xdr:row>
      <xdr:rowOff>81295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28028757" y="23237450"/>
          <a:ext cx="7795361" cy="669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149678</xdr:colOff>
      <xdr:row>114</xdr:row>
      <xdr:rowOff>122464</xdr:rowOff>
    </xdr:from>
    <xdr:to>
      <xdr:col>50</xdr:col>
      <xdr:colOff>707572</xdr:colOff>
      <xdr:row>114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17253857" y="20124964"/>
          <a:ext cx="824592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285750</xdr:colOff>
      <xdr:row>114</xdr:row>
      <xdr:rowOff>108858</xdr:rowOff>
    </xdr:from>
    <xdr:to>
      <xdr:col>32</xdr:col>
      <xdr:colOff>590648</xdr:colOff>
      <xdr:row>114</xdr:row>
      <xdr:rowOff>122712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6721929" y="20111358"/>
          <a:ext cx="7748005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149678</xdr:colOff>
      <xdr:row>42</xdr:row>
      <xdr:rowOff>108857</xdr:rowOff>
    </xdr:from>
    <xdr:to>
      <xdr:col>31</xdr:col>
      <xdr:colOff>653143</xdr:colOff>
      <xdr:row>42</xdr:row>
      <xdr:rowOff>122712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 flipV="1">
          <a:off x="6585857" y="7647214"/>
          <a:ext cx="7946572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108857</xdr:colOff>
      <xdr:row>42</xdr:row>
      <xdr:rowOff>136318</xdr:rowOff>
    </xdr:from>
    <xdr:to>
      <xdr:col>49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17213036" y="7674675"/>
          <a:ext cx="8232321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231322</xdr:colOff>
      <xdr:row>176</xdr:row>
      <xdr:rowOff>122464</xdr:rowOff>
    </xdr:from>
    <xdr:to>
      <xdr:col>32</xdr:col>
      <xdr:colOff>536220</xdr:colOff>
      <xdr:row>176</xdr:row>
      <xdr:rowOff>136318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6667501" y="30792964"/>
          <a:ext cx="774800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108547</xdr:colOff>
      <xdr:row>176</xdr:row>
      <xdr:rowOff>138669</xdr:rowOff>
    </xdr:from>
    <xdr:to>
      <xdr:col>50</xdr:col>
      <xdr:colOff>997158</xdr:colOff>
      <xdr:row>176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65128</xdr:colOff>
      <xdr:row>176</xdr:row>
      <xdr:rowOff>59070</xdr:rowOff>
    </xdr:from>
    <xdr:to>
      <xdr:col>99</xdr:col>
      <xdr:colOff>280581</xdr:colOff>
      <xdr:row>176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48786</xdr:colOff>
      <xdr:row>188</xdr:row>
      <xdr:rowOff>13608</xdr:rowOff>
    </xdr:from>
    <xdr:to>
      <xdr:col>87</xdr:col>
      <xdr:colOff>244827</xdr:colOff>
      <xdr:row>188</xdr:row>
      <xdr:rowOff>27462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28066225" y="34061998"/>
          <a:ext cx="7760285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42809</xdr:colOff>
      <xdr:row>177</xdr:row>
      <xdr:rowOff>50054</xdr:rowOff>
    </xdr:from>
    <xdr:to>
      <xdr:col>75</xdr:col>
      <xdr:colOff>93177</xdr:colOff>
      <xdr:row>220</xdr:row>
      <xdr:rowOff>171236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68494382" y="37222526"/>
          <a:ext cx="50368" cy="96818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357099</xdr:colOff>
      <xdr:row>115</xdr:row>
      <xdr:rowOff>36687</xdr:rowOff>
    </xdr:from>
    <xdr:to>
      <xdr:col>75</xdr:col>
      <xdr:colOff>362674</xdr:colOff>
      <xdr:row>127</xdr:row>
      <xdr:rowOff>15565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62509795" y="24166687"/>
          <a:ext cx="5575" cy="2772878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960938</xdr:colOff>
      <xdr:row>43</xdr:row>
      <xdr:rowOff>7824</xdr:rowOff>
    </xdr:from>
    <xdr:to>
      <xdr:col>55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56</xdr:row>
      <xdr:rowOff>0</xdr:rowOff>
    </xdr:from>
    <xdr:to>
      <xdr:col>69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418242</xdr:colOff>
      <xdr:row>116</xdr:row>
      <xdr:rowOff>133684</xdr:rowOff>
    </xdr:from>
    <xdr:to>
      <xdr:col>109</xdr:col>
      <xdr:colOff>483559</xdr:colOff>
      <xdr:row>174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99</xdr:col>
      <xdr:colOff>312062</xdr:colOff>
      <xdr:row>43</xdr:row>
      <xdr:rowOff>141517</xdr:rowOff>
    </xdr:from>
    <xdr:to>
      <xdr:col>109</xdr:col>
      <xdr:colOff>406404</xdr:colOff>
      <xdr:row>112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140</xdr:col>
      <xdr:colOff>449327</xdr:colOff>
      <xdr:row>114</xdr:row>
      <xdr:rowOff>180722</xdr:rowOff>
    </xdr:from>
    <xdr:to>
      <xdr:col>140</xdr:col>
      <xdr:colOff>449327</xdr:colOff>
      <xdr:row>129</xdr:row>
      <xdr:rowOff>180721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18841549" y="23393500"/>
          <a:ext cx="0" cy="3527777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22</xdr:col>
      <xdr:colOff>267369</xdr:colOff>
      <xdr:row>104</xdr:row>
      <xdr:rowOff>133685</xdr:rowOff>
    </xdr:from>
    <xdr:to>
      <xdr:col>28</xdr:col>
      <xdr:colOff>311718</xdr:colOff>
      <xdr:row>108</xdr:row>
      <xdr:rowOff>40425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967580" y="21055264"/>
          <a:ext cx="4725828" cy="982214"/>
        </a:xfrm>
        <a:prstGeom prst="rect">
          <a:avLst/>
        </a:prstGeom>
      </xdr:spPr>
    </xdr:pic>
    <xdr:clientData/>
  </xdr:twoCellAnchor>
  <xdr:twoCellAnchor>
    <xdr:from>
      <xdr:col>75</xdr:col>
      <xdr:colOff>294640</xdr:colOff>
      <xdr:row>102</xdr:row>
      <xdr:rowOff>182880</xdr:rowOff>
    </xdr:from>
    <xdr:to>
      <xdr:col>88</xdr:col>
      <xdr:colOff>732229</xdr:colOff>
      <xdr:row>102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384724</xdr:colOff>
      <xdr:row>103</xdr:row>
      <xdr:rowOff>10330</xdr:rowOff>
    </xdr:from>
    <xdr:to>
      <xdr:col>75</xdr:col>
      <xdr:colOff>384979</xdr:colOff>
      <xdr:row>113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486635</xdr:colOff>
      <xdr:row>114</xdr:row>
      <xdr:rowOff>154510</xdr:rowOff>
    </xdr:from>
    <xdr:to>
      <xdr:col>129</xdr:col>
      <xdr:colOff>501841</xdr:colOff>
      <xdr:row>141</xdr:row>
      <xdr:rowOff>94953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V="1">
          <a:off x="110715514" y="23928435"/>
          <a:ext cx="15206" cy="6029322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76709</xdr:colOff>
      <xdr:row>128</xdr:row>
      <xdr:rowOff>166428</xdr:rowOff>
    </xdr:from>
    <xdr:to>
      <xdr:col>129</xdr:col>
      <xdr:colOff>472501</xdr:colOff>
      <xdr:row>128</xdr:row>
      <xdr:rowOff>180282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 flipV="1">
          <a:off x="90117357" y="27248002"/>
          <a:ext cx="10591070" cy="13854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438888</xdr:colOff>
      <xdr:row>128</xdr:row>
      <xdr:rowOff>166521</xdr:rowOff>
    </xdr:from>
    <xdr:to>
      <xdr:col>68</xdr:col>
      <xdr:colOff>801817</xdr:colOff>
      <xdr:row>128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132907</xdr:colOff>
      <xdr:row>118</xdr:row>
      <xdr:rowOff>73837</xdr:rowOff>
    </xdr:from>
    <xdr:to>
      <xdr:col>69</xdr:col>
      <xdr:colOff>133728</xdr:colOff>
      <xdr:row>141</xdr:row>
      <xdr:rowOff>126641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H="1" flipV="1">
          <a:off x="63204651" y="24927442"/>
          <a:ext cx="821" cy="5236176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490265</xdr:colOff>
      <xdr:row>140</xdr:row>
      <xdr:rowOff>157773</xdr:rowOff>
    </xdr:from>
    <xdr:to>
      <xdr:col>68</xdr:col>
      <xdr:colOff>775565</xdr:colOff>
      <xdr:row>140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129</xdr:col>
      <xdr:colOff>302991</xdr:colOff>
      <xdr:row>79</xdr:row>
      <xdr:rowOff>100394</xdr:rowOff>
    </xdr:from>
    <xdr:to>
      <xdr:col>137</xdr:col>
      <xdr:colOff>239880</xdr:colOff>
      <xdr:row>94</xdr:row>
      <xdr:rowOff>145218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8448591" y="15949994"/>
          <a:ext cx="6375789" cy="3550024"/>
        </a:xfrm>
        <a:prstGeom prst="rect">
          <a:avLst/>
        </a:prstGeom>
      </xdr:spPr>
    </xdr:pic>
    <xdr:clientData/>
  </xdr:twoCellAnchor>
  <xdr:twoCellAnchor>
    <xdr:from>
      <xdr:col>133</xdr:col>
      <xdr:colOff>367011</xdr:colOff>
      <xdr:row>106</xdr:row>
      <xdr:rowOff>114484</xdr:rowOff>
    </xdr:from>
    <xdr:to>
      <xdr:col>133</xdr:col>
      <xdr:colOff>367011</xdr:colOff>
      <xdr:row>112</xdr:row>
      <xdr:rowOff>34234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08250750" y="22212484"/>
          <a:ext cx="0" cy="1233924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122070</xdr:colOff>
      <xdr:row>42</xdr:row>
      <xdr:rowOff>90451</xdr:rowOff>
    </xdr:from>
    <xdr:to>
      <xdr:col>13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591491</xdr:colOff>
      <xdr:row>114</xdr:row>
      <xdr:rowOff>108858</xdr:rowOff>
    </xdr:from>
    <xdr:to>
      <xdr:col>13</xdr:col>
      <xdr:colOff>896389</xdr:colOff>
      <xdr:row>114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93</xdr:col>
      <xdr:colOff>120007</xdr:colOff>
      <xdr:row>203</xdr:row>
      <xdr:rowOff>165652</xdr:rowOff>
    </xdr:from>
    <xdr:to>
      <xdr:col>137</xdr:col>
      <xdr:colOff>282222</xdr:colOff>
      <xdr:row>204</xdr:row>
      <xdr:rowOff>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83187414" y="43612195"/>
          <a:ext cx="34138635" cy="695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116754</xdr:colOff>
      <xdr:row>176</xdr:row>
      <xdr:rowOff>141111</xdr:rowOff>
    </xdr:from>
    <xdr:to>
      <xdr:col>13</xdr:col>
      <xdr:colOff>976019</xdr:colOff>
      <xdr:row>176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577802</xdr:colOff>
      <xdr:row>73</xdr:row>
      <xdr:rowOff>88900</xdr:rowOff>
    </xdr:from>
    <xdr:to>
      <xdr:col>69</xdr:col>
      <xdr:colOff>273527</xdr:colOff>
      <xdr:row>85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107</xdr:col>
      <xdr:colOff>419404</xdr:colOff>
      <xdr:row>204</xdr:row>
      <xdr:rowOff>9050</xdr:rowOff>
    </xdr:from>
    <xdr:to>
      <xdr:col>107</xdr:col>
      <xdr:colOff>443492</xdr:colOff>
      <xdr:row>239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116</xdr:col>
      <xdr:colOff>724018</xdr:colOff>
      <xdr:row>141</xdr:row>
      <xdr:rowOff>154299</xdr:rowOff>
    </xdr:from>
    <xdr:to>
      <xdr:col>117</xdr:col>
      <xdr:colOff>0</xdr:colOff>
      <xdr:row>203</xdr:row>
      <xdr:rowOff>154299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99321121" y="30017103"/>
          <a:ext cx="23739" cy="1305607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0</xdr:colOff>
      <xdr:row>195</xdr:row>
      <xdr:rowOff>186267</xdr:rowOff>
    </xdr:from>
    <xdr:to>
      <xdr:col>56</xdr:col>
      <xdr:colOff>33867</xdr:colOff>
      <xdr:row>238</xdr:row>
      <xdr:rowOff>135466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51663600" y="41757600"/>
          <a:ext cx="33867" cy="93133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788939</xdr:colOff>
      <xdr:row>239</xdr:row>
      <xdr:rowOff>161269</xdr:rowOff>
    </xdr:from>
    <xdr:to>
      <xdr:col>107</xdr:col>
      <xdr:colOff>302381</xdr:colOff>
      <xdr:row>240</xdr:row>
      <xdr:rowOff>38485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51306717" y="50094444"/>
          <a:ext cx="41685505" cy="586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117</xdr:col>
      <xdr:colOff>213645</xdr:colOff>
      <xdr:row>140</xdr:row>
      <xdr:rowOff>213644</xdr:rowOff>
    </xdr:from>
    <xdr:to>
      <xdr:col>129</xdr:col>
      <xdr:colOff>356074</xdr:colOff>
      <xdr:row>140</xdr:row>
      <xdr:rowOff>213645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99558505" y="29839065"/>
          <a:ext cx="11026448" cy="1"/>
        </a:xfrm>
        <a:prstGeom prst="straightConnector1">
          <a:avLst/>
        </a:prstGeom>
        <a:ln w="101600">
          <a:solidFill>
            <a:schemeClr val="accent3">
              <a:lumMod val="40000"/>
              <a:lumOff val="60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88</xdr:col>
      <xdr:colOff>59345</xdr:colOff>
      <xdr:row>188</xdr:row>
      <xdr:rowOff>116361</xdr:rowOff>
    </xdr:from>
    <xdr:to>
      <xdr:col>96</xdr:col>
      <xdr:colOff>17616</xdr:colOff>
      <xdr:row>193</xdr:row>
      <xdr:rowOff>40831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90</xdr:col>
      <xdr:colOff>178037</xdr:colOff>
      <xdr:row>199</xdr:row>
      <xdr:rowOff>0</xdr:rowOff>
    </xdr:from>
    <xdr:to>
      <xdr:col>90</xdr:col>
      <xdr:colOff>178038</xdr:colOff>
      <xdr:row>201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48004</xdr:colOff>
      <xdr:row>195</xdr:row>
      <xdr:rowOff>187354</xdr:rowOff>
    </xdr:from>
    <xdr:to>
      <xdr:col>69</xdr:col>
      <xdr:colOff>233630</xdr:colOff>
      <xdr:row>195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51418921" y="41759464"/>
          <a:ext cx="11883608" cy="69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108547</xdr:colOff>
      <xdr:row>176</xdr:row>
      <xdr:rowOff>138669</xdr:rowOff>
    </xdr:from>
    <xdr:to>
      <xdr:col>68</xdr:col>
      <xdr:colOff>997158</xdr:colOff>
      <xdr:row>176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193602</xdr:colOff>
      <xdr:row>203</xdr:row>
      <xdr:rowOff>157023</xdr:rowOff>
    </xdr:from>
    <xdr:to>
      <xdr:col>87</xdr:col>
      <xdr:colOff>389643</xdr:colOff>
      <xdr:row>203</xdr:row>
      <xdr:rowOff>170877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329259</xdr:colOff>
      <xdr:row>165</xdr:row>
      <xdr:rowOff>15679</xdr:rowOff>
    </xdr:from>
    <xdr:to>
      <xdr:col>71</xdr:col>
      <xdr:colOff>338035</xdr:colOff>
      <xdr:row>174</xdr:row>
      <xdr:rowOff>155404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195BC656-EC34-704F-8EEE-F1FFAC2CD824}"/>
            </a:ext>
          </a:extLst>
        </xdr:cNvPr>
        <xdr:cNvCxnSpPr/>
      </xdr:nvCxnSpPr>
      <xdr:spPr>
        <a:xfrm flipH="1">
          <a:off x="65318765" y="35277778"/>
          <a:ext cx="8776" cy="1848737"/>
        </a:xfrm>
        <a:prstGeom prst="straightConnector1">
          <a:avLst/>
        </a:prstGeom>
        <a:ln w="1016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194080</xdr:colOff>
      <xdr:row>212</xdr:row>
      <xdr:rowOff>178257</xdr:rowOff>
    </xdr:from>
    <xdr:to>
      <xdr:col>69</xdr:col>
      <xdr:colOff>330200</xdr:colOff>
      <xdr:row>213</xdr:row>
      <xdr:rowOff>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3407080" y="47396857"/>
          <a:ext cx="10473920" cy="2494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193602</xdr:colOff>
      <xdr:row>220</xdr:row>
      <xdr:rowOff>157023</xdr:rowOff>
    </xdr:from>
    <xdr:to>
      <xdr:col>87</xdr:col>
      <xdr:colOff>389643</xdr:colOff>
      <xdr:row>220</xdr:row>
      <xdr:rowOff>170877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68400758" y="43546748"/>
          <a:ext cx="10658977" cy="1385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69</xdr:col>
      <xdr:colOff>106378</xdr:colOff>
      <xdr:row>146</xdr:row>
      <xdr:rowOff>123942</xdr:rowOff>
    </xdr:from>
    <xdr:to>
      <xdr:col>73</xdr:col>
      <xdr:colOff>533400</xdr:colOff>
      <xdr:row>160</xdr:row>
      <xdr:rowOff>63475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3657178" y="32610542"/>
          <a:ext cx="4008422" cy="3114533"/>
        </a:xfrm>
        <a:prstGeom prst="rect">
          <a:avLst/>
        </a:prstGeom>
      </xdr:spPr>
    </xdr:pic>
    <xdr:clientData/>
  </xdr:twoCellAnchor>
  <xdr:twoCellAnchor>
    <xdr:from>
      <xdr:col>69</xdr:col>
      <xdr:colOff>263130</xdr:colOff>
      <xdr:row>180</xdr:row>
      <xdr:rowOff>93707</xdr:rowOff>
    </xdr:from>
    <xdr:to>
      <xdr:col>69</xdr:col>
      <xdr:colOff>286221</xdr:colOff>
      <xdr:row>213</xdr:row>
      <xdr:rowOff>43496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63792665" y="37455335"/>
          <a:ext cx="23091" cy="739258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78</xdr:col>
      <xdr:colOff>0</xdr:colOff>
      <xdr:row>164</xdr:row>
      <xdr:rowOff>0</xdr:rowOff>
    </xdr:from>
    <xdr:to>
      <xdr:col>78</xdr:col>
      <xdr:colOff>304800</xdr:colOff>
      <xdr:row>165</xdr:row>
      <xdr:rowOff>101599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3"/>
  <sheetViews>
    <sheetView zoomScale="125" workbookViewId="0">
      <selection activeCell="D40" sqref="D40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257" t="s">
        <v>106</v>
      </c>
      <c r="Q2" s="258"/>
      <c r="R2" s="257" t="s">
        <v>112</v>
      </c>
      <c r="S2" s="258"/>
      <c r="U2" s="259" t="s">
        <v>237</v>
      </c>
      <c r="V2" s="259"/>
      <c r="W2" s="13" t="s">
        <v>55</v>
      </c>
      <c r="Z2" s="3" t="s">
        <v>357</v>
      </c>
      <c r="AC2" s="3" t="s">
        <v>422</v>
      </c>
      <c r="AF2" s="3" t="s">
        <v>446</v>
      </c>
    </row>
    <row r="3" spans="2:32" ht="18" x14ac:dyDescent="0.25">
      <c r="C3" s="13" t="s">
        <v>57</v>
      </c>
      <c r="D3" s="20" t="s">
        <v>5</v>
      </c>
      <c r="E3" s="35" t="s">
        <v>7</v>
      </c>
      <c r="G3" s="13" t="s">
        <v>58</v>
      </c>
      <c r="H3" s="19" t="s">
        <v>59</v>
      </c>
      <c r="K3" s="13" t="s">
        <v>60</v>
      </c>
      <c r="L3" s="13" t="s">
        <v>103</v>
      </c>
      <c r="M3" s="13" t="s">
        <v>114</v>
      </c>
      <c r="O3" s="13" t="s">
        <v>104</v>
      </c>
      <c r="P3" s="13" t="s">
        <v>42</v>
      </c>
      <c r="Q3" s="13" t="s">
        <v>105</v>
      </c>
      <c r="R3" s="13" t="s">
        <v>107</v>
      </c>
      <c r="S3" s="13" t="s">
        <v>108</v>
      </c>
      <c r="U3" s="13" t="s">
        <v>236</v>
      </c>
      <c r="V3" s="13" t="s">
        <v>243</v>
      </c>
      <c r="W3" s="13" t="s">
        <v>56</v>
      </c>
      <c r="Y3" s="3" t="s">
        <v>43</v>
      </c>
      <c r="Z3" s="3" t="s">
        <v>358</v>
      </c>
      <c r="AB3" s="3" t="s">
        <v>423</v>
      </c>
      <c r="AC3" s="3">
        <v>1.667</v>
      </c>
      <c r="AE3" s="13" t="s">
        <v>68</v>
      </c>
      <c r="AF3" s="213">
        <v>104.974234</v>
      </c>
    </row>
    <row r="4" spans="2:32" ht="18" x14ac:dyDescent="0.25">
      <c r="C4" s="13" t="s">
        <v>61</v>
      </c>
      <c r="D4" s="20" t="s">
        <v>62</v>
      </c>
      <c r="E4" s="35" t="s">
        <v>15</v>
      </c>
      <c r="G4" s="13" t="s">
        <v>63</v>
      </c>
      <c r="H4" s="19" t="s">
        <v>64</v>
      </c>
      <c r="K4" s="13" t="s">
        <v>65</v>
      </c>
      <c r="L4" s="13" t="s">
        <v>66</v>
      </c>
      <c r="M4" s="13" t="s">
        <v>61</v>
      </c>
      <c r="O4" s="13" t="s">
        <v>43</v>
      </c>
      <c r="P4" s="4" t="s">
        <v>110</v>
      </c>
      <c r="Q4" s="61" t="s">
        <v>113</v>
      </c>
      <c r="R4" s="4" t="s">
        <v>110</v>
      </c>
      <c r="S4" s="61" t="s">
        <v>113</v>
      </c>
      <c r="U4" s="13">
        <v>1.0550600000000001</v>
      </c>
      <c r="V4" s="13">
        <v>3600</v>
      </c>
      <c r="W4" s="13">
        <v>1000</v>
      </c>
      <c r="Y4" s="13" t="s">
        <v>68</v>
      </c>
      <c r="Z4" s="13">
        <f>1000*50</f>
        <v>50000</v>
      </c>
      <c r="AB4" s="3" t="s">
        <v>87</v>
      </c>
      <c r="AC4" s="3">
        <v>2.2999999999999998</v>
      </c>
    </row>
    <row r="5" spans="2:32" ht="17" x14ac:dyDescent="0.25">
      <c r="B5" s="1" t="s">
        <v>19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19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25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490</v>
      </c>
    </row>
    <row r="6" spans="2:32" ht="18" x14ac:dyDescent="0.25">
      <c r="B6" s="1" t="s">
        <v>23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33</v>
      </c>
      <c r="H6" s="13">
        <v>723.8</v>
      </c>
      <c r="O6" s="13" t="s">
        <v>71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v>4.1840000000000002</v>
      </c>
    </row>
    <row r="7" spans="2:32" ht="18" x14ac:dyDescent="0.25">
      <c r="B7" s="1" t="s">
        <v>24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17</v>
      </c>
      <c r="H7" s="13">
        <v>376.8</v>
      </c>
      <c r="O7" s="20" t="s">
        <v>70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67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69</v>
      </c>
      <c r="H8" s="13">
        <v>236.1</v>
      </c>
    </row>
    <row r="9" spans="2:32" ht="18" x14ac:dyDescent="0.25">
      <c r="B9" s="7" t="s">
        <v>17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26</v>
      </c>
      <c r="H9" s="13">
        <v>4</v>
      </c>
    </row>
    <row r="10" spans="2:32" ht="18" x14ac:dyDescent="0.25">
      <c r="B10" s="1" t="s">
        <v>16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32</v>
      </c>
      <c r="H10" s="13">
        <v>854.2</v>
      </c>
      <c r="O10" s="260" t="s">
        <v>405</v>
      </c>
      <c r="P10" s="260"/>
    </row>
    <row r="11" spans="2:32" ht="18" x14ac:dyDescent="0.25">
      <c r="B11" s="7" t="s">
        <v>31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70</v>
      </c>
      <c r="H11" s="13">
        <v>0.7</v>
      </c>
      <c r="O11" s="129" t="s">
        <v>326</v>
      </c>
      <c r="P11" s="13" t="s">
        <v>406</v>
      </c>
      <c r="Q11" s="13" t="s">
        <v>35</v>
      </c>
      <c r="R11" s="13" t="s">
        <v>36</v>
      </c>
      <c r="S11" s="13" t="s">
        <v>37</v>
      </c>
      <c r="T11" s="13" t="s">
        <v>414</v>
      </c>
    </row>
    <row r="12" spans="2:32" ht="18" x14ac:dyDescent="0.25">
      <c r="B12" s="7" t="s">
        <v>26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315</v>
      </c>
      <c r="H12" s="13">
        <v>794.3</v>
      </c>
      <c r="O12" s="13" t="s">
        <v>102</v>
      </c>
      <c r="P12" s="13" t="s">
        <v>358</v>
      </c>
      <c r="Q12" s="13" t="s">
        <v>102</v>
      </c>
      <c r="R12" s="13" t="s">
        <v>102</v>
      </c>
      <c r="S12" s="13" t="s">
        <v>102</v>
      </c>
      <c r="T12" s="13" t="s">
        <v>358</v>
      </c>
    </row>
    <row r="13" spans="2:32" ht="18" x14ac:dyDescent="0.25">
      <c r="B13" s="7" t="s">
        <v>32</v>
      </c>
      <c r="C13" s="13">
        <v>0</v>
      </c>
      <c r="D13" s="21">
        <f>28.0855/1000</f>
        <v>2.8085499999999999E-2</v>
      </c>
      <c r="E13" s="36">
        <f>C13+H10</f>
        <v>854.2</v>
      </c>
      <c r="G13" s="93" t="s">
        <v>318</v>
      </c>
      <c r="H13" s="13">
        <v>124.2</v>
      </c>
      <c r="O13" s="13">
        <v>1.0437000000000001</v>
      </c>
      <c r="P13" s="13">
        <v>30080</v>
      </c>
      <c r="Q13" s="13">
        <v>0.18820000000000001</v>
      </c>
      <c r="R13" s="13">
        <v>6.0999999999999999E-2</v>
      </c>
      <c r="S13" s="13">
        <v>4.0399999999999998E-2</v>
      </c>
      <c r="T13" s="13">
        <v>2442</v>
      </c>
    </row>
    <row r="14" spans="2:32" ht="18" x14ac:dyDescent="0.25">
      <c r="B14" s="1" t="s">
        <v>18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316</v>
      </c>
      <c r="H14" s="13">
        <v>629.6</v>
      </c>
    </row>
    <row r="15" spans="2:32" ht="16" x14ac:dyDescent="0.2">
      <c r="B15" s="7" t="s">
        <v>11</v>
      </c>
      <c r="C15" s="13" t="s">
        <v>72</v>
      </c>
      <c r="D15" s="13">
        <v>4.7226465048321509E-2</v>
      </c>
      <c r="E15" s="13">
        <f>0+H7+H5</f>
        <v>787.1</v>
      </c>
      <c r="G15" s="13" t="s">
        <v>317</v>
      </c>
      <c r="H15" s="13">
        <v>336.6</v>
      </c>
    </row>
    <row r="16" spans="2:32" ht="16" x14ac:dyDescent="0.2">
      <c r="B16" s="67" t="s">
        <v>126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184</v>
      </c>
      <c r="H16" s="13">
        <v>607.29999999999995</v>
      </c>
    </row>
    <row r="17" spans="2:8" ht="16" x14ac:dyDescent="0.2">
      <c r="B17" s="67" t="s">
        <v>127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322</v>
      </c>
      <c r="H17" s="13">
        <v>366.5</v>
      </c>
    </row>
    <row r="18" spans="2:8" ht="17" x14ac:dyDescent="0.25">
      <c r="B18" s="3" t="s">
        <v>68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185</v>
      </c>
      <c r="H18" s="13">
        <v>861.6</v>
      </c>
    </row>
    <row r="19" spans="2:8" ht="18" x14ac:dyDescent="0.25">
      <c r="B19" s="7" t="s">
        <v>70</v>
      </c>
      <c r="C19" s="13">
        <v>0</v>
      </c>
      <c r="D19" s="13">
        <f>(2*14.00674)/1000</f>
        <v>2.801348E-2</v>
      </c>
      <c r="E19" s="13">
        <f>C19+H11</f>
        <v>0.7</v>
      </c>
    </row>
    <row r="20" spans="2:8" ht="17" x14ac:dyDescent="0.25">
      <c r="B20" s="3" t="s">
        <v>71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</row>
    <row r="21" spans="2:8" x14ac:dyDescent="0.2">
      <c r="B21" s="4" t="s">
        <v>186</v>
      </c>
      <c r="C21" s="13">
        <v>0</v>
      </c>
      <c r="D21" s="13">
        <f>1.00794/1000</f>
        <v>1.0079400000000001E-3</v>
      </c>
      <c r="E21" s="13">
        <f>C21+(0.5*b_ch_H2)</f>
        <v>118.05</v>
      </c>
    </row>
    <row r="22" spans="2:8" x14ac:dyDescent="0.2">
      <c r="B22" s="4" t="s">
        <v>184</v>
      </c>
      <c r="C22" s="13">
        <v>0</v>
      </c>
      <c r="D22" s="13">
        <f>32.066/1000</f>
        <v>3.2066000000000004E-2</v>
      </c>
      <c r="E22" s="13">
        <f>C22+H16</f>
        <v>607.29999999999995</v>
      </c>
    </row>
    <row r="23" spans="2:8" x14ac:dyDescent="0.2">
      <c r="B23" s="4" t="s">
        <v>187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8" ht="17" x14ac:dyDescent="0.25">
      <c r="B24" s="4" t="s">
        <v>311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</row>
    <row r="25" spans="2:8" x14ac:dyDescent="0.2">
      <c r="B25" s="4" t="s">
        <v>183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</row>
    <row r="26" spans="2:8" ht="17" x14ac:dyDescent="0.25">
      <c r="B26" s="4" t="s">
        <v>312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</row>
    <row r="27" spans="2:8" ht="17" x14ac:dyDescent="0.25">
      <c r="B27" s="4" t="s">
        <v>319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</row>
    <row r="28" spans="2:8" x14ac:dyDescent="0.2">
      <c r="B28" s="4" t="s">
        <v>185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8" ht="17" x14ac:dyDescent="0.25">
      <c r="B29" s="4" t="s">
        <v>327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8" ht="16" x14ac:dyDescent="0.2">
      <c r="B30" s="4" t="s">
        <v>376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8" ht="17" x14ac:dyDescent="0.25">
      <c r="B31" s="4" t="s">
        <v>380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8" ht="17" x14ac:dyDescent="0.25">
      <c r="B32" s="3" t="s">
        <v>69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381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382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383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384</v>
      </c>
      <c r="C36" s="19">
        <v>68.430000000000007</v>
      </c>
      <c r="D36" s="170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385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386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387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548</v>
      </c>
      <c r="C40" s="351">
        <v>7.4056800000000003</v>
      </c>
      <c r="D40" s="351">
        <f>(MW_C*8)+(MW_H*18)</f>
        <v>0.11423092</v>
      </c>
      <c r="E40" s="351">
        <f>C40+(8*H5)+(9*b_ch_H2)</f>
        <v>5414.70568</v>
      </c>
    </row>
    <row r="41" spans="2:5" ht="17" x14ac:dyDescent="0.25">
      <c r="B41" s="4" t="s">
        <v>549</v>
      </c>
      <c r="C41" s="351"/>
      <c r="D41" s="351">
        <f>(MW_C*12)+(MW_H*23)</f>
        <v>0.16731462</v>
      </c>
      <c r="E41" s="351">
        <f>C41+(12*H5)+((23/2)*b_ch_H2)</f>
        <v>7638.75</v>
      </c>
    </row>
    <row r="42" spans="2:5" x14ac:dyDescent="0.2">
      <c r="B42" s="4"/>
    </row>
    <row r="43" spans="2:5" x14ac:dyDescent="0.2">
      <c r="B43" s="3" t="s">
        <v>111</v>
      </c>
    </row>
    <row r="44" spans="2:5" ht="17" x14ac:dyDescent="0.25">
      <c r="B44" s="13" t="s">
        <v>57</v>
      </c>
      <c r="C44" s="3" t="s">
        <v>128</v>
      </c>
    </row>
    <row r="45" spans="2:5" ht="17" x14ac:dyDescent="0.25">
      <c r="B45" s="13" t="s">
        <v>57</v>
      </c>
      <c r="C45" s="16" t="s">
        <v>388</v>
      </c>
    </row>
    <row r="46" spans="2:5" ht="18" x14ac:dyDescent="0.25">
      <c r="B46" s="19" t="s">
        <v>7</v>
      </c>
      <c r="C46" s="16" t="s">
        <v>375</v>
      </c>
    </row>
    <row r="47" spans="2:5" ht="18" x14ac:dyDescent="0.25">
      <c r="B47" s="19" t="s">
        <v>7</v>
      </c>
      <c r="C47" s="3" t="s">
        <v>132</v>
      </c>
    </row>
    <row r="48" spans="2:5" ht="17" x14ac:dyDescent="0.25">
      <c r="B48" s="13" t="s">
        <v>176</v>
      </c>
      <c r="C48" s="3" t="s">
        <v>177</v>
      </c>
    </row>
    <row r="49" spans="2:3" x14ac:dyDescent="0.2">
      <c r="B49" s="13" t="s">
        <v>357</v>
      </c>
      <c r="C49" s="16" t="s">
        <v>359</v>
      </c>
    </row>
    <row r="50" spans="2:3" x14ac:dyDescent="0.2">
      <c r="B50" s="13" t="s">
        <v>5</v>
      </c>
      <c r="C50" s="16" t="s">
        <v>372</v>
      </c>
    </row>
    <row r="51" spans="2:3" x14ac:dyDescent="0.2">
      <c r="B51" s="13" t="s">
        <v>406</v>
      </c>
      <c r="C51" s="3" t="s">
        <v>407</v>
      </c>
    </row>
    <row r="52" spans="2:3" x14ac:dyDescent="0.2">
      <c r="B52" s="129" t="s">
        <v>412</v>
      </c>
      <c r="C52" s="3" t="s">
        <v>415</v>
      </c>
    </row>
    <row r="53" spans="2:3" x14ac:dyDescent="0.2">
      <c r="B53" s="13" t="s">
        <v>422</v>
      </c>
      <c r="C53" s="3" t="s">
        <v>350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10:P10"/>
  </mergeCells>
  <hyperlinks>
    <hyperlink ref="C46" r:id="rId1" xr:uid="{EFF8D2A8-239F-2043-B8CA-C9000BCE2862}"/>
    <hyperlink ref="C50" r:id="rId2" xr:uid="{A42C34EB-8A73-004F-8263-89538BA10B3D}"/>
    <hyperlink ref="C45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191"/>
  <sheetViews>
    <sheetView topLeftCell="A114" zoomScale="161" workbookViewId="0">
      <selection activeCell="N91" sqref="N91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10" width="8.83203125" style="3"/>
    <col min="11" max="11" width="7.16406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54</v>
      </c>
    </row>
    <row r="2" spans="1:28" x14ac:dyDescent="0.2">
      <c r="A2" s="16" t="s">
        <v>130</v>
      </c>
      <c r="B2" s="3" t="s">
        <v>131</v>
      </c>
      <c r="C2" s="3" t="s">
        <v>178</v>
      </c>
    </row>
    <row r="10" spans="1:28" ht="17" x14ac:dyDescent="0.25">
      <c r="B10" s="13"/>
      <c r="C10" s="13" t="s">
        <v>49</v>
      </c>
      <c r="D10" s="13" t="s">
        <v>1</v>
      </c>
      <c r="E10" s="13" t="s">
        <v>49</v>
      </c>
      <c r="F10" s="13" t="s">
        <v>5</v>
      </c>
      <c r="G10" s="13" t="s">
        <v>34</v>
      </c>
      <c r="H10" s="13" t="s">
        <v>41</v>
      </c>
      <c r="I10" s="13" t="s">
        <v>122</v>
      </c>
      <c r="J10" s="13" t="s">
        <v>124</v>
      </c>
      <c r="O10" s="259" t="s">
        <v>129</v>
      </c>
      <c r="P10" s="259"/>
      <c r="Q10" s="259"/>
      <c r="R10" s="259"/>
      <c r="S10" s="259"/>
      <c r="T10" s="259"/>
      <c r="U10" s="259"/>
      <c r="V10" s="259" t="s">
        <v>129</v>
      </c>
      <c r="W10" s="259"/>
      <c r="X10" s="259"/>
      <c r="Y10" s="259"/>
      <c r="Z10" s="259"/>
      <c r="AA10" s="259"/>
      <c r="AB10" s="259"/>
    </row>
    <row r="11" spans="1:28" ht="18" x14ac:dyDescent="0.25">
      <c r="B11" s="13"/>
      <c r="C11" s="13" t="s">
        <v>244</v>
      </c>
      <c r="D11" s="13" t="s">
        <v>47</v>
      </c>
      <c r="E11" s="13" t="s">
        <v>12</v>
      </c>
      <c r="F11" s="13" t="s">
        <v>13</v>
      </c>
      <c r="G11" s="13" t="s">
        <v>14</v>
      </c>
      <c r="H11" s="13" t="s">
        <v>121</v>
      </c>
      <c r="I11" s="13" t="s">
        <v>123</v>
      </c>
      <c r="J11" s="13" t="s">
        <v>120</v>
      </c>
      <c r="O11" s="259" t="s">
        <v>310</v>
      </c>
      <c r="P11" s="259"/>
      <c r="Q11" s="259"/>
      <c r="R11" s="257"/>
      <c r="S11" s="258"/>
      <c r="T11" s="263" t="s">
        <v>309</v>
      </c>
      <c r="U11" s="264"/>
      <c r="V11" s="259" t="str">
        <f>_xlfn.CONCAT(E19," ",C19," ","+"," ",E21," ",C21," ","--&gt;"," ",E22," ",C22," ","+"," ",E20*E21," ",C20)</f>
        <v>1.5 C + 1.5 O2 --&gt; 1.5 CO2 + 5.64 N2</v>
      </c>
      <c r="W11" s="259"/>
      <c r="X11" s="259"/>
      <c r="Y11" s="259"/>
      <c r="Z11" s="259"/>
      <c r="AA11" s="259"/>
      <c r="AB11" s="259"/>
    </row>
    <row r="12" spans="1:28" ht="18" x14ac:dyDescent="0.25">
      <c r="B12" s="19" t="s">
        <v>16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259" t="s">
        <v>229</v>
      </c>
      <c r="P12" s="259"/>
      <c r="Q12" s="259"/>
      <c r="R12" s="257"/>
      <c r="S12" s="258"/>
      <c r="T12" s="259" t="s">
        <v>228</v>
      </c>
      <c r="U12" s="259"/>
      <c r="V12" s="259" t="str">
        <f>_xlfn.CONCAT(E25," ",C25," ","+"," ",E26," ",C26," ","--&gt;"," ",E27," ",C27)</f>
        <v>1.5 CO2 + 1.5 C --&gt; 3 CO</v>
      </c>
      <c r="W12" s="259"/>
      <c r="X12" s="259"/>
      <c r="Y12" s="259"/>
      <c r="Z12" s="259"/>
      <c r="AA12" s="259"/>
      <c r="AB12" s="259"/>
    </row>
    <row r="13" spans="1:28" ht="18" x14ac:dyDescent="0.25">
      <c r="B13" s="19" t="s">
        <v>18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259" t="s">
        <v>230</v>
      </c>
      <c r="P13" s="259"/>
      <c r="Q13" s="259"/>
      <c r="R13" s="257"/>
      <c r="S13" s="258"/>
      <c r="T13" s="263" t="s">
        <v>231</v>
      </c>
      <c r="U13" s="264"/>
      <c r="V13" s="259" t="str">
        <f>_xlfn.CONCAT(E29," ",C29," ","+"," ",E30," ",C30," ","--&gt;"," ",E31," ",C31," ","+"," ",E32," ",C32)</f>
        <v>1 Fe2O3 + 3 CO --&gt; 2 Fe + 3 CO2</v>
      </c>
      <c r="W13" s="259"/>
      <c r="X13" s="259"/>
      <c r="Y13" s="259"/>
      <c r="Z13" s="259"/>
      <c r="AA13" s="259"/>
      <c r="AB13" s="259"/>
    </row>
    <row r="14" spans="1:28" x14ac:dyDescent="0.2">
      <c r="B14" s="3" t="s">
        <v>20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259"/>
      <c r="P14" s="259"/>
      <c r="Q14" s="259"/>
      <c r="R14" s="257"/>
      <c r="S14" s="258"/>
      <c r="T14" s="259"/>
      <c r="U14" s="259"/>
      <c r="V14" s="259" t="str">
        <f>_xlfn.CONCAT(E36," ",C36," ","--&gt;"," ",E37," ",C37," ","+"," ",E39," ",C39)</f>
        <v>1 CaCO3 --&gt; 1 CaO + 0.0624775822865075 MgO</v>
      </c>
      <c r="W14" s="259"/>
      <c r="X14" s="259"/>
      <c r="Y14" s="259"/>
      <c r="Z14" s="259"/>
      <c r="AA14" s="259"/>
      <c r="AB14" s="259"/>
    </row>
    <row r="15" spans="1:28" ht="17" x14ac:dyDescent="0.25">
      <c r="O15" s="259" t="s">
        <v>232</v>
      </c>
      <c r="P15" s="259"/>
      <c r="Q15" s="259"/>
      <c r="R15" s="257"/>
      <c r="S15" s="258"/>
      <c r="T15" s="259" t="s">
        <v>233</v>
      </c>
      <c r="U15" s="259"/>
      <c r="V15" s="259" t="str">
        <f>_xlfn.CONCAT(E41," ",C41," ","+"," ",E42," ",C42," ","--&gt;"," ",E43," ",C43)</f>
        <v>1 CaO + 1 SiO2 --&gt; 1 CaSiO3</v>
      </c>
      <c r="W15" s="259"/>
      <c r="X15" s="259"/>
      <c r="Y15" s="259"/>
      <c r="Z15" s="259"/>
      <c r="AA15" s="259"/>
      <c r="AB15" s="259"/>
    </row>
    <row r="16" spans="1:28" x14ac:dyDescent="0.2">
      <c r="L16" s="77" t="s">
        <v>428</v>
      </c>
      <c r="M16" s="83" t="s">
        <v>429</v>
      </c>
    </row>
    <row r="17" spans="1:28" x14ac:dyDescent="0.2">
      <c r="D17" s="3" t="s">
        <v>46</v>
      </c>
      <c r="E17" s="3" t="s">
        <v>125</v>
      </c>
      <c r="F17" s="3" t="s">
        <v>41</v>
      </c>
      <c r="G17" s="3" t="s">
        <v>34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259" t="s">
        <v>346</v>
      </c>
      <c r="P17" s="259"/>
      <c r="Q17" s="259"/>
      <c r="R17" s="259"/>
      <c r="S17" s="259"/>
      <c r="T17" s="259"/>
      <c r="U17" s="259"/>
      <c r="V17" s="259" t="s">
        <v>129</v>
      </c>
      <c r="W17" s="259"/>
      <c r="X17" s="259"/>
      <c r="Y17" s="259"/>
      <c r="Z17" s="259"/>
      <c r="AA17" s="259"/>
      <c r="AB17" s="259"/>
    </row>
    <row r="18" spans="1:28" ht="17" x14ac:dyDescent="0.25">
      <c r="C18" s="31" t="s">
        <v>43</v>
      </c>
      <c r="D18" s="31"/>
      <c r="E18" s="13"/>
      <c r="F18" s="13" t="s">
        <v>121</v>
      </c>
      <c r="G18" s="13" t="s">
        <v>79</v>
      </c>
      <c r="H18" s="37" t="s">
        <v>13</v>
      </c>
      <c r="I18" s="13" t="s">
        <v>119</v>
      </c>
      <c r="J18" s="13" t="s">
        <v>47</v>
      </c>
      <c r="L18" s="13" t="s">
        <v>12</v>
      </c>
      <c r="M18" s="13" t="s">
        <v>12</v>
      </c>
      <c r="O18" s="259" t="s">
        <v>347</v>
      </c>
      <c r="P18" s="259"/>
      <c r="Q18" s="259"/>
      <c r="R18" s="259"/>
      <c r="S18" s="259"/>
      <c r="T18" s="259" t="s">
        <v>348</v>
      </c>
      <c r="U18" s="257"/>
      <c r="V18" s="278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278"/>
      <c r="X18" s="278"/>
      <c r="Y18" s="278"/>
      <c r="Z18" s="278"/>
      <c r="AA18" s="278"/>
      <c r="AB18" s="278"/>
    </row>
    <row r="19" spans="1:28" ht="16" x14ac:dyDescent="0.2">
      <c r="B19" s="269" t="s">
        <v>117</v>
      </c>
      <c r="C19" s="87" t="s">
        <v>19</v>
      </c>
      <c r="D19" s="17" t="s">
        <v>35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278"/>
      <c r="W19" s="278"/>
      <c r="X19" s="278"/>
      <c r="Y19" s="278"/>
      <c r="Z19" s="278"/>
      <c r="AA19" s="278"/>
      <c r="AB19" s="278"/>
    </row>
    <row r="20" spans="1:28" ht="18" x14ac:dyDescent="0.25">
      <c r="A20" s="1"/>
      <c r="B20" s="274"/>
      <c r="C20" s="92" t="s">
        <v>308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275"/>
      <c r="C21" s="88" t="s">
        <v>29</v>
      </c>
      <c r="D21" s="3" t="s">
        <v>36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291</v>
      </c>
      <c r="M21" s="83" t="s">
        <v>25</v>
      </c>
    </row>
    <row r="22" spans="1:28" ht="17" x14ac:dyDescent="0.25">
      <c r="B22" s="276" t="s">
        <v>118</v>
      </c>
      <c r="C22" s="31" t="s">
        <v>25</v>
      </c>
      <c r="D22" s="3" t="s">
        <v>37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12</v>
      </c>
      <c r="M22" s="13" t="s">
        <v>12</v>
      </c>
    </row>
    <row r="23" spans="1:28" ht="18" x14ac:dyDescent="0.25">
      <c r="B23" s="277"/>
      <c r="C23" s="94" t="s">
        <v>308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266" t="s">
        <v>117</v>
      </c>
      <c r="C25" s="31" t="s">
        <v>25</v>
      </c>
      <c r="D25" s="17" t="s">
        <v>38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290</v>
      </c>
    </row>
    <row r="26" spans="1:28" x14ac:dyDescent="0.2">
      <c r="B26" s="266"/>
      <c r="C26" s="88" t="s">
        <v>19</v>
      </c>
      <c r="D26" s="3" t="s">
        <v>39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12</v>
      </c>
    </row>
    <row r="27" spans="1:28" ht="16" x14ac:dyDescent="0.2">
      <c r="B27" s="82" t="s">
        <v>118</v>
      </c>
      <c r="C27" s="79" t="s">
        <v>126</v>
      </c>
      <c r="D27" s="3" t="s">
        <v>40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266" t="s">
        <v>117</v>
      </c>
      <c r="C29" s="87" t="s">
        <v>16</v>
      </c>
      <c r="D29" s="26" t="s">
        <v>30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266"/>
      <c r="C30" s="34" t="s">
        <v>126</v>
      </c>
      <c r="D30" s="24" t="s">
        <v>42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267" t="s">
        <v>118</v>
      </c>
      <c r="C31" s="86" t="s">
        <v>17</v>
      </c>
      <c r="D31" s="3" t="s">
        <v>48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268"/>
      <c r="C32" s="85" t="s">
        <v>25</v>
      </c>
      <c r="D32" s="3" t="s">
        <v>205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426</v>
      </c>
      <c r="O32" s="3" t="s">
        <v>427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19</v>
      </c>
      <c r="M34" s="13" t="s">
        <v>13</v>
      </c>
      <c r="N34" s="13" t="s">
        <v>12</v>
      </c>
      <c r="O34" s="13" t="s">
        <v>12</v>
      </c>
    </row>
    <row r="35" spans="2:23" ht="18" x14ac:dyDescent="0.25">
      <c r="B35" s="271" t="s">
        <v>425</v>
      </c>
      <c r="C35" s="15" t="s">
        <v>342</v>
      </c>
      <c r="D35" s="26" t="s">
        <v>49</v>
      </c>
      <c r="E35" s="130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316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272"/>
      <c r="C36" s="19" t="s">
        <v>23</v>
      </c>
      <c r="D36" s="3" t="s">
        <v>206</v>
      </c>
      <c r="E36" s="128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19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266" t="s">
        <v>117</v>
      </c>
      <c r="C37" s="87" t="s">
        <v>127</v>
      </c>
      <c r="D37" s="3" t="s">
        <v>207</v>
      </c>
      <c r="E37" s="128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33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269"/>
      <c r="C38" s="31" t="s">
        <v>25</v>
      </c>
      <c r="D38" s="3" t="s">
        <v>1</v>
      </c>
      <c r="E38" s="131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31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269"/>
      <c r="C39" s="31" t="s">
        <v>183</v>
      </c>
      <c r="D39" s="3" t="s">
        <v>41</v>
      </c>
      <c r="E39" s="132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266" t="s">
        <v>117</v>
      </c>
      <c r="C41" s="19" t="s">
        <v>127</v>
      </c>
      <c r="D41" s="26" t="s">
        <v>34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266"/>
      <c r="C42" s="87" t="s">
        <v>18</v>
      </c>
      <c r="D42" s="3" t="s">
        <v>208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118</v>
      </c>
      <c r="C43" s="84" t="s">
        <v>24</v>
      </c>
      <c r="D43" s="3" t="s">
        <v>209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270" t="s">
        <v>20</v>
      </c>
      <c r="C44" s="270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9"/>
      <c r="C46" s="99"/>
      <c r="D46" s="99"/>
      <c r="E46" s="99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99"/>
      <c r="U46" s="99"/>
      <c r="V46" s="99"/>
      <c r="W46" s="99"/>
    </row>
    <row r="47" spans="2:23" x14ac:dyDescent="0.2">
      <c r="C47" s="261" t="s">
        <v>364</v>
      </c>
      <c r="D47" s="261"/>
      <c r="E47" s="261"/>
      <c r="F47" s="261"/>
    </row>
    <row r="48" spans="2:23" x14ac:dyDescent="0.2">
      <c r="C48" s="273"/>
      <c r="D48" s="273"/>
      <c r="E48" s="273"/>
      <c r="F48" s="273"/>
      <c r="H48" s="259" t="s">
        <v>73</v>
      </c>
      <c r="I48" s="259"/>
      <c r="J48" s="259"/>
      <c r="K48" s="259"/>
      <c r="L48" s="259"/>
      <c r="M48" s="259"/>
    </row>
    <row r="49" spans="2:17" ht="18" x14ac:dyDescent="0.25">
      <c r="B49" s="3" t="s">
        <v>21</v>
      </c>
      <c r="C49" s="13" t="s">
        <v>68</v>
      </c>
      <c r="D49" s="13" t="s">
        <v>74</v>
      </c>
      <c r="E49" s="20" t="s">
        <v>75</v>
      </c>
      <c r="F49" s="20" t="s">
        <v>76</v>
      </c>
      <c r="H49" s="259" t="s">
        <v>77</v>
      </c>
      <c r="I49" s="259"/>
      <c r="J49" s="259"/>
      <c r="K49" s="13"/>
      <c r="L49" s="263" t="s">
        <v>371</v>
      </c>
      <c r="M49" s="264"/>
    </row>
    <row r="50" spans="2:17" ht="17" x14ac:dyDescent="0.25">
      <c r="B50" s="3" t="s">
        <v>12</v>
      </c>
      <c r="C50" s="13" t="s">
        <v>12</v>
      </c>
      <c r="D50" s="13" t="s">
        <v>79</v>
      </c>
      <c r="E50" s="13" t="s">
        <v>36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265" t="str">
        <f>_xlfn.CONCAT(H59," ",B59," ","+"," ",H60,"(",B60, " ","+"," ",F51," ",B61,")","  ", "--","&gt;","  ", Q59," ",K59," ","+"," ",Q60," ",K60," ","+"," ",Q61," ",K61," ","+"," ",Q62," ",B60)</f>
        <v>0.5 CH4 + 1(O2 + 3.76 N2)  --&gt;  0.5 CO2 + 0.25 H2O + 3.76 N2 +  O2</v>
      </c>
      <c r="I51" s="265"/>
      <c r="J51" s="265"/>
      <c r="K51" s="265"/>
      <c r="L51" s="265"/>
      <c r="M51" s="265"/>
    </row>
    <row r="52" spans="2:17" ht="16.25" customHeight="1" x14ac:dyDescent="0.25">
      <c r="C52" s="20" t="s">
        <v>26</v>
      </c>
      <c r="D52" s="13" t="s">
        <v>447</v>
      </c>
      <c r="H52" s="265"/>
      <c r="I52" s="265"/>
      <c r="J52" s="265"/>
      <c r="K52" s="265"/>
      <c r="L52" s="265"/>
      <c r="M52" s="265"/>
    </row>
    <row r="53" spans="2:17" ht="16.25" customHeight="1" x14ac:dyDescent="0.25">
      <c r="C53" s="13" t="s">
        <v>12</v>
      </c>
      <c r="D53" s="13" t="s">
        <v>79</v>
      </c>
    </row>
    <row r="54" spans="2:17" ht="15.5" customHeight="1" x14ac:dyDescent="0.2">
      <c r="C54" s="13">
        <f>C60</f>
        <v>60.427328393049869</v>
      </c>
      <c r="D54" s="13">
        <f>C54/D60</f>
        <v>1888.4248282138665</v>
      </c>
    </row>
    <row r="55" spans="2:17" ht="15.5" customHeight="1" x14ac:dyDescent="0.2"/>
    <row r="57" spans="2:17" x14ac:dyDescent="0.2">
      <c r="B57" s="25" t="s">
        <v>2</v>
      </c>
      <c r="C57" s="3" t="s">
        <v>1</v>
      </c>
      <c r="D57" s="3" t="s">
        <v>5</v>
      </c>
      <c r="E57" s="3" t="s">
        <v>34</v>
      </c>
      <c r="F57" s="3" t="s">
        <v>41</v>
      </c>
      <c r="G57" s="3" t="s">
        <v>46</v>
      </c>
      <c r="K57" s="25" t="s">
        <v>3</v>
      </c>
      <c r="L57" s="3" t="s">
        <v>1</v>
      </c>
      <c r="M57" s="3" t="s">
        <v>5</v>
      </c>
      <c r="N57" s="3" t="s">
        <v>34</v>
      </c>
      <c r="O57" s="3" t="s">
        <v>41</v>
      </c>
      <c r="P57" s="3" t="s">
        <v>46</v>
      </c>
    </row>
    <row r="58" spans="2:17" ht="18" x14ac:dyDescent="0.25">
      <c r="B58" s="13" t="s">
        <v>43</v>
      </c>
      <c r="C58" s="13" t="s">
        <v>12</v>
      </c>
      <c r="D58" s="19" t="s">
        <v>88</v>
      </c>
      <c r="E58" s="13" t="s">
        <v>44</v>
      </c>
      <c r="F58" s="13" t="s">
        <v>45</v>
      </c>
      <c r="G58" s="13" t="s">
        <v>72</v>
      </c>
      <c r="H58" s="34" t="s">
        <v>448</v>
      </c>
      <c r="K58" s="13" t="s">
        <v>43</v>
      </c>
      <c r="L58" s="13" t="s">
        <v>12</v>
      </c>
      <c r="M58" s="19" t="s">
        <v>88</v>
      </c>
      <c r="N58" s="13" t="s">
        <v>44</v>
      </c>
      <c r="O58" s="13" t="s">
        <v>45</v>
      </c>
      <c r="P58" s="13" t="s">
        <v>72</v>
      </c>
      <c r="Q58" s="34" t="s">
        <v>448</v>
      </c>
    </row>
    <row r="59" spans="2:17" ht="18" x14ac:dyDescent="0.25">
      <c r="B59" s="13" t="s">
        <v>68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0.99234315568318432</v>
      </c>
      <c r="G59" s="30" t="s">
        <v>35</v>
      </c>
      <c r="H59" s="52">
        <f>Q59</f>
        <v>0.5</v>
      </c>
      <c r="K59" s="20" t="s">
        <v>67</v>
      </c>
      <c r="L59" s="3">
        <f>M59*N59</f>
        <v>166.21839800945324</v>
      </c>
      <c r="M59" s="3">
        <f>MW_CO2</f>
        <v>4.4009800000000002E-2</v>
      </c>
      <c r="N59" s="3">
        <f>O59*N63</f>
        <v>3776.849656427733</v>
      </c>
      <c r="O59" s="3">
        <f>F60*2</f>
        <v>2.8909626460547713E-3</v>
      </c>
      <c r="P59" s="30" t="s">
        <v>37</v>
      </c>
      <c r="Q59" s="3">
        <f>H60/2</f>
        <v>0.5</v>
      </c>
    </row>
    <row r="60" spans="2:17" ht="18" x14ac:dyDescent="0.25">
      <c r="B60" s="20" t="s">
        <v>26</v>
      </c>
      <c r="C60" s="3">
        <f>O2_Kiln_in</f>
        <v>60.427328393049869</v>
      </c>
      <c r="D60" s="3">
        <f>MW_O2</f>
        <v>3.1998800000000001E-2</v>
      </c>
      <c r="E60" s="3">
        <f>C60/D60</f>
        <v>1888.4248282138665</v>
      </c>
      <c r="F60" s="3">
        <f>E60/E62</f>
        <v>1.4454813230273856E-3</v>
      </c>
      <c r="G60" s="30" t="s">
        <v>36</v>
      </c>
      <c r="H60" s="3">
        <v>1</v>
      </c>
      <c r="K60" s="13" t="s">
        <v>71</v>
      </c>
      <c r="L60" s="3">
        <f>M60*N60</f>
        <v>136.08200815689884</v>
      </c>
      <c r="M60" s="3">
        <f>MW_H2O</f>
        <v>1.8015280000000002E-2</v>
      </c>
      <c r="N60" s="3">
        <f>O60*N63</f>
        <v>7553.6993128554659</v>
      </c>
      <c r="O60" s="3">
        <f>2*O59</f>
        <v>5.7819252921095425E-3</v>
      </c>
      <c r="P60" s="30" t="s">
        <v>38</v>
      </c>
      <c r="Q60" s="3">
        <f>0.5*Q59</f>
        <v>0.25</v>
      </c>
    </row>
    <row r="61" spans="2:17" ht="18" x14ac:dyDescent="0.25">
      <c r="B61" s="39" t="s">
        <v>70</v>
      </c>
      <c r="C61" s="3">
        <f>N2_Kiln_in</f>
        <v>227.32185443099715</v>
      </c>
      <c r="D61" s="3">
        <f>MW_N2</f>
        <v>2.801348E-2</v>
      </c>
      <c r="E61" s="3">
        <f>C61/D61</f>
        <v>8114.7309948994962</v>
      </c>
      <c r="F61" s="3">
        <f>E61/E62</f>
        <v>6.2113629937883101E-3</v>
      </c>
      <c r="G61" s="30" t="s">
        <v>210</v>
      </c>
      <c r="H61" s="71">
        <f>H60*3.76</f>
        <v>3.76</v>
      </c>
      <c r="K61" s="39" t="s">
        <v>70</v>
      </c>
      <c r="L61" s="3">
        <f>C61</f>
        <v>227.32185443099715</v>
      </c>
      <c r="M61" s="3">
        <f>MW_N2</f>
        <v>2.801348E-2</v>
      </c>
      <c r="N61" s="3">
        <f>E61</f>
        <v>8114.7309948994962</v>
      </c>
      <c r="O61" s="3">
        <f>N61/N63</f>
        <v>6.2113629937883101E-3</v>
      </c>
      <c r="P61" s="30" t="s">
        <v>39</v>
      </c>
      <c r="Q61" s="3">
        <f>H61</f>
        <v>3.76</v>
      </c>
    </row>
    <row r="62" spans="2:17" ht="17" x14ac:dyDescent="0.25">
      <c r="B62" s="17" t="s">
        <v>20</v>
      </c>
      <c r="C62" s="40">
        <f>SUM(C59:C61)</f>
        <v>21086.065658212443</v>
      </c>
      <c r="D62" s="41">
        <f>SUM(D59:D61)</f>
        <v>7.605503999999999E-2</v>
      </c>
      <c r="E62" s="41">
        <f>SUM(E59:E61)</f>
        <v>1306433.2261718812</v>
      </c>
      <c r="F62" s="40">
        <f>SUM(F59:F61)</f>
        <v>1</v>
      </c>
      <c r="G62" s="17"/>
      <c r="H62" s="17"/>
      <c r="K62" s="13" t="s">
        <v>68</v>
      </c>
      <c r="L62" s="145">
        <f>C62- SUM(L59:L61)</f>
        <v>20556.443397615094</v>
      </c>
      <c r="M62" s="3">
        <f>MW_CH4</f>
        <v>1.604276E-2</v>
      </c>
      <c r="N62" s="145">
        <f>CH4_Kiln_out/M62</f>
        <v>1281353.29566827</v>
      </c>
      <c r="O62" s="3">
        <f>N62/N63</f>
        <v>0.98080274597952433</v>
      </c>
      <c r="P62" s="30" t="s">
        <v>40</v>
      </c>
    </row>
    <row r="63" spans="2:17" ht="19.25" customHeight="1" x14ac:dyDescent="0.2">
      <c r="K63" s="17" t="s">
        <v>20</v>
      </c>
      <c r="L63" s="147">
        <f>SUM(L59:L62)</f>
        <v>21086.065658212443</v>
      </c>
      <c r="M63" s="147"/>
      <c r="N63" s="147">
        <f>E62</f>
        <v>1306433.2261718812</v>
      </c>
      <c r="O63" s="147">
        <f>F62</f>
        <v>1</v>
      </c>
      <c r="P63" s="17"/>
      <c r="Q63" s="17"/>
    </row>
    <row r="65" spans="2:43" ht="16.25" customHeight="1" x14ac:dyDescent="0.2"/>
    <row r="66" spans="2:43" ht="15.5" customHeight="1" x14ac:dyDescent="0.2"/>
    <row r="67" spans="2:43" ht="19.25" customHeight="1" x14ac:dyDescent="0.2"/>
    <row r="68" spans="2:43" ht="16" thickBot="1" x14ac:dyDescent="0.25"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</row>
    <row r="69" spans="2:43" x14ac:dyDescent="0.2">
      <c r="B69" s="261" t="s">
        <v>392</v>
      </c>
      <c r="C69" s="261"/>
      <c r="D69" s="261"/>
      <c r="E69" s="261"/>
      <c r="F69" s="261"/>
      <c r="G69" s="261"/>
      <c r="W69" s="158"/>
    </row>
    <row r="70" spans="2:43" x14ac:dyDescent="0.2">
      <c r="B70" s="262"/>
      <c r="C70" s="262"/>
      <c r="D70" s="262"/>
      <c r="E70" s="262"/>
      <c r="F70" s="262"/>
      <c r="G70" s="262"/>
      <c r="W70" s="156"/>
    </row>
    <row r="71" spans="2:43" x14ac:dyDescent="0.2">
      <c r="E71" s="13"/>
      <c r="F71" s="13" t="s">
        <v>49</v>
      </c>
      <c r="G71" s="13" t="s">
        <v>1</v>
      </c>
      <c r="H71" s="13" t="s">
        <v>396</v>
      </c>
      <c r="X71" s="156"/>
      <c r="AA71" s="172"/>
    </row>
    <row r="72" spans="2:43" x14ac:dyDescent="0.2">
      <c r="B72" s="13" t="s">
        <v>19</v>
      </c>
      <c r="C72" s="13" t="s">
        <v>5</v>
      </c>
      <c r="D72" s="34" t="s">
        <v>378</v>
      </c>
      <c r="E72" s="13"/>
      <c r="F72" s="13" t="s">
        <v>244</v>
      </c>
      <c r="G72" s="13" t="s">
        <v>12</v>
      </c>
      <c r="H72" s="13" t="s">
        <v>397</v>
      </c>
      <c r="X72" s="156"/>
    </row>
    <row r="73" spans="2:43" ht="17" x14ac:dyDescent="0.25">
      <c r="B73" s="13" t="s">
        <v>12</v>
      </c>
      <c r="C73" s="13" t="s">
        <v>13</v>
      </c>
      <c r="D73" s="34" t="s">
        <v>379</v>
      </c>
      <c r="E73" s="13" t="s">
        <v>19</v>
      </c>
      <c r="F73" s="13">
        <v>0.86</v>
      </c>
      <c r="G73" s="13">
        <f>Coking_BF_in</f>
        <v>198.80764502323905</v>
      </c>
      <c r="H73" s="13">
        <v>1</v>
      </c>
      <c r="X73" s="156"/>
      <c r="AA73" s="172" t="s">
        <v>117</v>
      </c>
      <c r="AB73" s="3" t="s">
        <v>1</v>
      </c>
      <c r="AC73" s="3" t="s">
        <v>49</v>
      </c>
      <c r="AD73" s="3" t="s">
        <v>5</v>
      </c>
      <c r="AE73" s="202" t="s">
        <v>424</v>
      </c>
      <c r="AF73" s="3" t="s">
        <v>41</v>
      </c>
      <c r="AI73" s="172" t="s">
        <v>117</v>
      </c>
      <c r="AJ73" s="202" t="s">
        <v>424</v>
      </c>
      <c r="AL73" s="202" t="s">
        <v>424</v>
      </c>
      <c r="AN73" s="172" t="s">
        <v>118</v>
      </c>
      <c r="AO73" s="202" t="s">
        <v>424</v>
      </c>
      <c r="AQ73" s="202" t="s">
        <v>424</v>
      </c>
    </row>
    <row r="74" spans="2:43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390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3" t="s">
        <v>5</v>
      </c>
      <c r="R74" s="202" t="s">
        <v>424</v>
      </c>
      <c r="T74" s="3" t="s">
        <v>5</v>
      </c>
      <c r="U74" s="202" t="s">
        <v>424</v>
      </c>
      <c r="X74" s="156"/>
      <c r="AA74" s="13" t="s">
        <v>43</v>
      </c>
      <c r="AB74" s="13" t="s">
        <v>12</v>
      </c>
      <c r="AC74" s="13" t="s">
        <v>244</v>
      </c>
      <c r="AD74" s="19" t="s">
        <v>88</v>
      </c>
      <c r="AE74" s="13" t="s">
        <v>44</v>
      </c>
      <c r="AF74" s="13" t="s">
        <v>45</v>
      </c>
      <c r="AJ74" s="13" t="s">
        <v>44</v>
      </c>
      <c r="AK74" s="1"/>
      <c r="AL74" s="13" t="s">
        <v>44</v>
      </c>
      <c r="AO74" s="13" t="s">
        <v>44</v>
      </c>
      <c r="AP74" s="1"/>
      <c r="AQ74" s="13" t="s">
        <v>44</v>
      </c>
    </row>
    <row r="75" spans="2:43" ht="18" x14ac:dyDescent="0.25">
      <c r="E75" s="13" t="s">
        <v>393</v>
      </c>
      <c r="F75" s="13">
        <v>0.08</v>
      </c>
      <c r="G75" s="13">
        <f>(F75*G73)/F73</f>
        <v>18.493734420766422</v>
      </c>
      <c r="H75" s="13"/>
      <c r="Q75" s="19" t="s">
        <v>88</v>
      </c>
      <c r="R75" s="13" t="s">
        <v>44</v>
      </c>
      <c r="S75" s="1"/>
      <c r="T75" s="19" t="s">
        <v>88</v>
      </c>
      <c r="U75" s="13" t="s">
        <v>44</v>
      </c>
      <c r="X75" s="156"/>
      <c r="AA75" s="13" t="s">
        <v>69</v>
      </c>
      <c r="AB75" s="26">
        <f>AC75*$AB$81</f>
        <v>39.801290533652448</v>
      </c>
      <c r="AC75" s="17">
        <v>0.57199999999999995</v>
      </c>
      <c r="AD75" s="17">
        <f>MW_H*2</f>
        <v>2.0158800000000003E-3</v>
      </c>
      <c r="AE75" s="251">
        <f>AB75/AD75</f>
        <v>19743.878868609463</v>
      </c>
      <c r="AF75" s="3">
        <f>AE75/$AE$81</f>
        <v>0.92235600940319784</v>
      </c>
      <c r="AI75" s="61" t="s">
        <v>19</v>
      </c>
      <c r="AJ75" s="1">
        <f>2*AE76</f>
        <v>99.21333291242766</v>
      </c>
      <c r="AK75" s="19" t="s">
        <v>186</v>
      </c>
      <c r="AL75" s="1">
        <f>4*AE76</f>
        <v>198.42666582485532</v>
      </c>
      <c r="AN75" s="13"/>
      <c r="AO75" s="1"/>
      <c r="AP75" s="19" t="s">
        <v>186</v>
      </c>
      <c r="AQ75" s="1">
        <f>AL79+AL75-AQ79</f>
        <v>38753.639905929129</v>
      </c>
    </row>
    <row r="76" spans="2:43" ht="17" x14ac:dyDescent="0.25">
      <c r="P76" s="13" t="s">
        <v>19</v>
      </c>
      <c r="Q76" s="1">
        <f>MW_C*2</f>
        <v>2.4021999999999998E-2</v>
      </c>
      <c r="R76" s="1">
        <f>(Q76*R77)/Q77</f>
        <v>42.477419840020325</v>
      </c>
      <c r="S76" s="19" t="s">
        <v>186</v>
      </c>
      <c r="T76" s="1">
        <f>MW_H*4</f>
        <v>4.0317600000000006E-3</v>
      </c>
      <c r="U76" s="1">
        <f>(T76*U77)/T77</f>
        <v>7.1292466161935062</v>
      </c>
      <c r="X76" s="156"/>
      <c r="AA76" s="61" t="s">
        <v>384</v>
      </c>
      <c r="AB76" s="24">
        <f>AC76*$AB$81</f>
        <v>1.3916535151626732</v>
      </c>
      <c r="AC76" s="3">
        <v>0.02</v>
      </c>
      <c r="AD76" s="3">
        <f>MW_C2H4</f>
        <v>2.8053759999999997E-2</v>
      </c>
      <c r="AE76" s="156">
        <f t="shared" ref="AE76:AE80" si="10">AB76/AD76</f>
        <v>49.60666645621383</v>
      </c>
      <c r="AF76" s="3">
        <f>AE76/$AE$81</f>
        <v>2.3174274526721371E-3</v>
      </c>
      <c r="AI76" s="61" t="s">
        <v>384</v>
      </c>
      <c r="AJ76" s="1">
        <f>AE76</f>
        <v>49.60666645621383</v>
      </c>
      <c r="AK76" s="61" t="s">
        <v>384</v>
      </c>
      <c r="AL76" s="1">
        <f>AJ76</f>
        <v>49.60666645621383</v>
      </c>
      <c r="AN76" s="61"/>
      <c r="AO76" s="1"/>
      <c r="AP76" s="13" t="s">
        <v>69</v>
      </c>
      <c r="AQ76" s="1">
        <f>AQ75/2</f>
        <v>19376.819952964564</v>
      </c>
    </row>
    <row r="77" spans="2:43" ht="17" x14ac:dyDescent="0.25">
      <c r="K77" s="4"/>
      <c r="P77" s="61" t="s">
        <v>384</v>
      </c>
      <c r="Q77" s="1">
        <f>E81</f>
        <v>2.8053759999999997E-2</v>
      </c>
      <c r="R77" s="1">
        <f>F81</f>
        <v>49.60666645621383</v>
      </c>
      <c r="S77" s="61" t="s">
        <v>384</v>
      </c>
      <c r="T77" s="1">
        <f>Q77</f>
        <v>2.8053759999999997E-2</v>
      </c>
      <c r="U77" s="1">
        <f>R77</f>
        <v>49.60666645621383</v>
      </c>
      <c r="X77" s="156"/>
      <c r="AA77" s="13" t="s">
        <v>126</v>
      </c>
      <c r="AB77" s="24">
        <f>AC77*$AB$81</f>
        <v>3.1312204091160147</v>
      </c>
      <c r="AC77" s="3">
        <v>4.4999999999999998E-2</v>
      </c>
      <c r="AD77" s="3">
        <f>MW_CO</f>
        <v>2.8010399999999998E-2</v>
      </c>
      <c r="AE77" s="156">
        <f t="shared" si="10"/>
        <v>111.78777915045893</v>
      </c>
      <c r="AF77" s="3">
        <f>AE77/$AE$81</f>
        <v>5.2222833498636167E-3</v>
      </c>
      <c r="AI77" s="4"/>
      <c r="AJ77" s="1"/>
      <c r="AK77" s="1"/>
      <c r="AL77" s="6"/>
      <c r="AN77" s="4"/>
      <c r="AO77" s="1"/>
      <c r="AQ77" s="6"/>
    </row>
    <row r="78" spans="2:43" ht="18" x14ac:dyDescent="0.25">
      <c r="B78" s="25" t="s">
        <v>403</v>
      </c>
      <c r="C78" s="3" t="s">
        <v>1</v>
      </c>
      <c r="D78" s="3" t="s">
        <v>49</v>
      </c>
      <c r="E78" s="3" t="s">
        <v>5</v>
      </c>
      <c r="F78" s="202" t="s">
        <v>424</v>
      </c>
      <c r="H78" s="202" t="s">
        <v>424</v>
      </c>
      <c r="I78" s="202" t="s">
        <v>424</v>
      </c>
      <c r="J78" s="202" t="s">
        <v>424</v>
      </c>
      <c r="K78" s="202" t="s">
        <v>424</v>
      </c>
      <c r="L78" s="202" t="s">
        <v>424</v>
      </c>
      <c r="M78" s="4"/>
      <c r="N78" s="4"/>
      <c r="O78" s="4"/>
      <c r="P78" s="4"/>
      <c r="Q78" s="6"/>
      <c r="R78" s="1"/>
      <c r="S78" s="1"/>
      <c r="T78" s="6"/>
      <c r="U78" s="6"/>
      <c r="X78" s="156"/>
      <c r="AA78" s="20" t="s">
        <v>67</v>
      </c>
      <c r="AB78" s="24">
        <f>AC78*$AB$81</f>
        <v>0.97415746061387132</v>
      </c>
      <c r="AC78" s="3">
        <v>1.4E-2</v>
      </c>
      <c r="AD78" s="3">
        <f>MW_CO2</f>
        <v>4.4009800000000002E-2</v>
      </c>
      <c r="AE78" s="156">
        <f t="shared" si="10"/>
        <v>22.135012215776289</v>
      </c>
      <c r="AF78" s="3">
        <f>AE78/$AE$81</f>
        <v>1.0340603116186133E-3</v>
      </c>
      <c r="AI78" s="1"/>
      <c r="AJ78" s="6"/>
      <c r="AK78" s="6"/>
      <c r="AL78" s="1"/>
      <c r="AN78" s="1"/>
      <c r="AO78" s="6"/>
      <c r="AP78" s="6"/>
      <c r="AQ78" s="1"/>
    </row>
    <row r="79" spans="2:43" ht="18" x14ac:dyDescent="0.25">
      <c r="B79" s="13" t="s">
        <v>43</v>
      </c>
      <c r="C79" s="13" t="s">
        <v>12</v>
      </c>
      <c r="D79" s="13" t="s">
        <v>244</v>
      </c>
      <c r="E79" s="19" t="s">
        <v>88</v>
      </c>
      <c r="F79" s="13" t="s">
        <v>44</v>
      </c>
      <c r="G79" s="1"/>
      <c r="H79" s="13" t="s">
        <v>398</v>
      </c>
      <c r="I79" s="13" t="s">
        <v>379</v>
      </c>
      <c r="J79" s="61" t="s">
        <v>399</v>
      </c>
      <c r="K79" s="61" t="s">
        <v>400</v>
      </c>
      <c r="L79" s="19" t="s">
        <v>401</v>
      </c>
      <c r="M79" s="1"/>
      <c r="N79" s="1"/>
      <c r="O79" s="1"/>
      <c r="P79" s="1"/>
      <c r="Q79" s="6"/>
      <c r="R79" s="6"/>
      <c r="S79" s="6"/>
      <c r="U79" s="1"/>
      <c r="X79" s="156"/>
      <c r="Y79"/>
      <c r="Z79"/>
      <c r="AA79" s="39" t="s">
        <v>70</v>
      </c>
      <c r="AB79" s="24">
        <f>AC79*$AB$81</f>
        <v>1.3220708394045395</v>
      </c>
      <c r="AC79" s="3">
        <v>1.9E-2</v>
      </c>
      <c r="AD79" s="3">
        <f>MW_N2</f>
        <v>2.801348E-2</v>
      </c>
      <c r="AE79" s="156">
        <f t="shared" si="10"/>
        <v>47.194095107231931</v>
      </c>
      <c r="AF79" s="3">
        <f>AE79/$AE$81</f>
        <v>2.2047216517170204E-3</v>
      </c>
      <c r="AK79" s="19" t="s">
        <v>186</v>
      </c>
      <c r="AL79" s="3">
        <f>2*AL80</f>
        <v>39487.757737218926</v>
      </c>
      <c r="AN79" s="19" t="s">
        <v>19</v>
      </c>
      <c r="AO79" s="3">
        <f>AJ83+AJ87+AJ75</f>
        <v>233.13612427866289</v>
      </c>
      <c r="AP79" s="19" t="s">
        <v>186</v>
      </c>
      <c r="AQ79" s="3">
        <f>4*AQ80</f>
        <v>932.54449711465156</v>
      </c>
    </row>
    <row r="80" spans="2:43" ht="17" x14ac:dyDescent="0.25">
      <c r="B80" s="13" t="s">
        <v>69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 t="shared" ref="F80:F85" si="11">C80/E80</f>
        <v>19743.878868609463</v>
      </c>
      <c r="G80" s="1"/>
      <c r="H80" s="3">
        <f>F80+U76+U80</f>
        <v>20110.717330447493</v>
      </c>
      <c r="I80" s="3">
        <f>R76+R80+R84+R88</f>
        <v>1168.0618662491675</v>
      </c>
      <c r="J80" s="4">
        <f>U84+U88</f>
        <v>79.946621250683933</v>
      </c>
      <c r="K80" s="4">
        <f>F84</f>
        <v>47.194095107231931</v>
      </c>
      <c r="L80" s="1">
        <f>SUM(H80:K80)+I81</f>
        <v>37958.050878273047</v>
      </c>
      <c r="M80" s="1"/>
      <c r="N80" s="1"/>
      <c r="O80" s="1"/>
      <c r="P80" s="19" t="s">
        <v>19</v>
      </c>
      <c r="Q80" s="3">
        <f>MW_C</f>
        <v>1.2010999999999999E-2</v>
      </c>
      <c r="R80" s="3">
        <f>(Q80*R81)/Q81</f>
        <v>1071.608276293596</v>
      </c>
      <c r="S80" s="13" t="s">
        <v>186</v>
      </c>
      <c r="T80" s="3">
        <f>MW_H*4</f>
        <v>4.0317600000000006E-3</v>
      </c>
      <c r="U80" s="3">
        <f>(T80*U81)/T81</f>
        <v>359.70921522183579</v>
      </c>
      <c r="X80" s="156"/>
      <c r="AA80" s="13" t="s">
        <v>68</v>
      </c>
      <c r="AB80" s="166">
        <f>AC80*$AB$81</f>
        <v>22.962283000184108</v>
      </c>
      <c r="AC80" s="28">
        <v>0.33</v>
      </c>
      <c r="AD80" s="28">
        <f>MW_CH4</f>
        <v>1.604276E-2</v>
      </c>
      <c r="AE80" s="252">
        <f t="shared" si="10"/>
        <v>1431.3174915154318</v>
      </c>
      <c r="AF80" s="3">
        <f>AE80/$AE$81</f>
        <v>6.6865497830930945E-2</v>
      </c>
      <c r="AK80" s="13" t="s">
        <v>69</v>
      </c>
      <c r="AL80" s="3">
        <f>AE75</f>
        <v>19743.878868609463</v>
      </c>
      <c r="AN80" s="13" t="s">
        <v>68</v>
      </c>
      <c r="AO80" s="3">
        <f>AO79</f>
        <v>233.13612427866289</v>
      </c>
      <c r="AP80" s="13" t="s">
        <v>68</v>
      </c>
      <c r="AQ80" s="3">
        <f>AO80</f>
        <v>233.13612427866289</v>
      </c>
    </row>
    <row r="81" spans="2:41" ht="17" x14ac:dyDescent="0.25">
      <c r="B81" s="61" t="s">
        <v>384</v>
      </c>
      <c r="C81" s="17">
        <f t="shared" ref="C81:C85" si="12">D81*$C$86</f>
        <v>1.3916535151626732</v>
      </c>
      <c r="D81" s="3">
        <v>0.02</v>
      </c>
      <c r="E81" s="3">
        <f>MW_C2H4</f>
        <v>2.8053759999999997E-2</v>
      </c>
      <c r="F81" s="3">
        <f t="shared" si="11"/>
        <v>49.60666645621383</v>
      </c>
      <c r="G81" s="1"/>
      <c r="I81" s="3">
        <f>mol_C_to_BF</f>
        <v>16552.130965218472</v>
      </c>
      <c r="J81" s="4"/>
      <c r="K81" s="4"/>
      <c r="L81" s="6"/>
      <c r="M81" s="6"/>
      <c r="N81" s="6"/>
      <c r="O81" s="6"/>
      <c r="P81" s="13" t="s">
        <v>68</v>
      </c>
      <c r="Q81" s="3">
        <f>E85</f>
        <v>1.604276E-2</v>
      </c>
      <c r="R81" s="3">
        <f>F85</f>
        <v>1431.3174915154318</v>
      </c>
      <c r="S81" s="13" t="s">
        <v>68</v>
      </c>
      <c r="T81" s="3">
        <f>Q81</f>
        <v>1.604276E-2</v>
      </c>
      <c r="U81" s="3">
        <f>R81</f>
        <v>1431.3174915154318</v>
      </c>
      <c r="X81" s="156"/>
      <c r="AA81" s="3" t="s">
        <v>20</v>
      </c>
      <c r="AB81" s="3">
        <f>C86</f>
        <v>69.582675758133661</v>
      </c>
      <c r="AC81" s="3">
        <f>SUM(AC75:AC80)</f>
        <v>1</v>
      </c>
      <c r="AE81" s="3">
        <f>SUM(AE75:AE80)</f>
        <v>21405.919913054571</v>
      </c>
      <c r="AF81" s="3">
        <f>SUM(AF75:AF80)</f>
        <v>1.0000000000000002</v>
      </c>
      <c r="AI81" s="6"/>
      <c r="AN81" s="6"/>
    </row>
    <row r="82" spans="2:41" ht="16" x14ac:dyDescent="0.2">
      <c r="B82" s="13" t="s">
        <v>126</v>
      </c>
      <c r="C82" s="17">
        <f t="shared" si="12"/>
        <v>3.1312204091160147</v>
      </c>
      <c r="D82" s="3">
        <v>4.4999999999999998E-2</v>
      </c>
      <c r="E82" s="3">
        <f>MW_CO</f>
        <v>2.8010399999999998E-2</v>
      </c>
      <c r="F82" s="3">
        <f t="shared" si="11"/>
        <v>111.78777915045893</v>
      </c>
      <c r="G82" s="1"/>
      <c r="I82" s="3">
        <f>SUM(I80:I81)</f>
        <v>17720.192831467641</v>
      </c>
      <c r="J82" s="4"/>
      <c r="K82" s="4"/>
      <c r="L82" s="6"/>
      <c r="M82" s="6"/>
      <c r="N82" s="6"/>
      <c r="O82" s="6"/>
      <c r="P82" s="6"/>
      <c r="X82" s="156"/>
    </row>
    <row r="83" spans="2:41" ht="18" x14ac:dyDescent="0.25">
      <c r="B83" s="20" t="s">
        <v>67</v>
      </c>
      <c r="C83" s="17">
        <f t="shared" si="12"/>
        <v>0.97415746061387132</v>
      </c>
      <c r="D83" s="3">
        <v>1.4E-2</v>
      </c>
      <c r="E83" s="3">
        <f>MW_CO2</f>
        <v>4.4009800000000002E-2</v>
      </c>
      <c r="F83" s="3">
        <f t="shared" si="11"/>
        <v>22.135012215776289</v>
      </c>
      <c r="G83" s="1"/>
      <c r="H83" s="3">
        <f>H80/I82</f>
        <v>1.1349039777227898</v>
      </c>
      <c r="I83" s="3">
        <v>1</v>
      </c>
      <c r="J83" s="4">
        <f>J80/I82</f>
        <v>4.511611245489054E-3</v>
      </c>
      <c r="K83" s="1">
        <f>K80/I82</f>
        <v>2.6632946693121947E-3</v>
      </c>
      <c r="L83" s="3">
        <f>I82*L80</f>
        <v>672623981.06965804</v>
      </c>
      <c r="X83" s="156"/>
      <c r="AI83" s="19" t="s">
        <v>19</v>
      </c>
      <c r="AJ83" s="3">
        <f>AJ84</f>
        <v>22.135012215776289</v>
      </c>
      <c r="AK83" s="347" t="s">
        <v>31</v>
      </c>
      <c r="AL83" s="3">
        <f>2*AL84</f>
        <v>44.270024431552578</v>
      </c>
      <c r="AN83" s="13" t="s">
        <v>31</v>
      </c>
      <c r="AO83" s="3">
        <f>AL87+AL83</f>
        <v>156.0578035820115</v>
      </c>
    </row>
    <row r="84" spans="2:41" ht="18" x14ac:dyDescent="0.25">
      <c r="B84" s="39" t="s">
        <v>70</v>
      </c>
      <c r="C84" s="17">
        <f t="shared" si="12"/>
        <v>1.3220708394045395</v>
      </c>
      <c r="D84" s="3">
        <v>1.9E-2</v>
      </c>
      <c r="E84" s="3">
        <f>MW_N2</f>
        <v>2.801348E-2</v>
      </c>
      <c r="F84" s="3">
        <f t="shared" si="11"/>
        <v>47.194095107231931</v>
      </c>
      <c r="G84" s="4"/>
      <c r="H84" s="4"/>
      <c r="I84" s="4"/>
      <c r="J84" s="4"/>
      <c r="K84" s="1"/>
      <c r="P84" s="19" t="s">
        <v>19</v>
      </c>
      <c r="Q84" s="3">
        <f>Q80</f>
        <v>1.2010999999999999E-2</v>
      </c>
      <c r="R84" s="3">
        <f>(Q84*R85)/Q85</f>
        <v>6.0410097688171494</v>
      </c>
      <c r="S84" s="13" t="s">
        <v>31</v>
      </c>
      <c r="T84" s="3">
        <f>MW_O2</f>
        <v>3.1998800000000001E-2</v>
      </c>
      <c r="U84" s="3">
        <f>(T84*U85)/T85</f>
        <v>16.094002446959138</v>
      </c>
      <c r="X84" s="156"/>
      <c r="AI84" s="20" t="s">
        <v>67</v>
      </c>
      <c r="AJ84" s="3">
        <f>AE78</f>
        <v>22.135012215776289</v>
      </c>
      <c r="AK84" s="20" t="s">
        <v>67</v>
      </c>
      <c r="AL84" s="3">
        <f>AJ84</f>
        <v>22.135012215776289</v>
      </c>
      <c r="AN84" s="253" t="s">
        <v>26</v>
      </c>
      <c r="AO84" s="3">
        <f>AO83/2</f>
        <v>78.028901791005751</v>
      </c>
    </row>
    <row r="85" spans="2:41" ht="18" x14ac:dyDescent="0.25">
      <c r="B85" s="13" t="s">
        <v>68</v>
      </c>
      <c r="C85" s="17">
        <f t="shared" si="12"/>
        <v>22.962283000184108</v>
      </c>
      <c r="D85" s="3">
        <v>0.33</v>
      </c>
      <c r="E85" s="3">
        <f>MW_CH4</f>
        <v>1.604276E-2</v>
      </c>
      <c r="F85" s="3">
        <f t="shared" si="11"/>
        <v>1431.3174915154318</v>
      </c>
      <c r="G85" s="1"/>
      <c r="H85" s="1"/>
      <c r="I85" s="1"/>
      <c r="J85" s="1"/>
      <c r="K85" s="6"/>
      <c r="P85" s="20" t="s">
        <v>67</v>
      </c>
      <c r="Q85" s="3">
        <f>E83</f>
        <v>4.4009800000000002E-2</v>
      </c>
      <c r="R85" s="3">
        <f>F83</f>
        <v>22.135012215776289</v>
      </c>
      <c r="S85" s="20" t="s">
        <v>67</v>
      </c>
      <c r="T85" s="3">
        <f>Q85</f>
        <v>4.4009800000000002E-2</v>
      </c>
      <c r="U85" s="3">
        <f>R85</f>
        <v>22.135012215776289</v>
      </c>
      <c r="X85" s="156"/>
      <c r="AA85" s="172" t="s">
        <v>118</v>
      </c>
      <c r="AB85" s="3" t="s">
        <v>1</v>
      </c>
      <c r="AC85" s="3" t="s">
        <v>49</v>
      </c>
      <c r="AD85" s="3" t="s">
        <v>5</v>
      </c>
      <c r="AE85" s="202" t="s">
        <v>424</v>
      </c>
      <c r="AF85" s="3" t="s">
        <v>41</v>
      </c>
    </row>
    <row r="86" spans="2:41" ht="18" x14ac:dyDescent="0.25">
      <c r="B86" s="3" t="s">
        <v>20</v>
      </c>
      <c r="C86" s="3">
        <f>COG_needed</f>
        <v>69.582675758133661</v>
      </c>
      <c r="D86" s="3">
        <f>SUM(D80:D85)</f>
        <v>1</v>
      </c>
      <c r="F86" s="3">
        <f>SUM(F80:F85)</f>
        <v>21405.919913054571</v>
      </c>
      <c r="G86" s="1"/>
      <c r="H86" s="1"/>
      <c r="I86" s="1"/>
      <c r="J86" s="1"/>
      <c r="K86" s="6"/>
      <c r="X86" s="156"/>
      <c r="AA86" s="13" t="s">
        <v>43</v>
      </c>
      <c r="AB86" s="31" t="s">
        <v>12</v>
      </c>
      <c r="AC86" s="31" t="s">
        <v>244</v>
      </c>
      <c r="AD86" s="79" t="s">
        <v>88</v>
      </c>
      <c r="AE86" s="31" t="s">
        <v>44</v>
      </c>
      <c r="AF86" s="31" t="s">
        <v>45</v>
      </c>
    </row>
    <row r="87" spans="2:41" ht="17" x14ac:dyDescent="0.25">
      <c r="E87" s="56"/>
      <c r="F87" s="7"/>
      <c r="G87" s="6"/>
      <c r="H87" s="6"/>
      <c r="I87" s="6"/>
      <c r="J87" s="1"/>
      <c r="K87" s="4"/>
      <c r="X87" s="156"/>
      <c r="AA87" s="34" t="s">
        <v>69</v>
      </c>
      <c r="AB87" s="24">
        <f t="shared" ref="AB87:AB90" si="13">AD87*AE87</f>
        <v>39.061343806782212</v>
      </c>
      <c r="AC87" s="3">
        <f>AB87/$AB$91</f>
        <v>0.56136593456908346</v>
      </c>
      <c r="AD87" s="3">
        <f>MW_H*2</f>
        <v>2.0158800000000003E-3</v>
      </c>
      <c r="AE87" s="3">
        <f>AQ76</f>
        <v>19376.819952964564</v>
      </c>
      <c r="AF87" s="156">
        <f>AE87/$AE$91</f>
        <v>0.91544766952145851</v>
      </c>
      <c r="AI87" s="19" t="s">
        <v>19</v>
      </c>
      <c r="AJ87" s="3">
        <f>AJ88</f>
        <v>111.78777915045893</v>
      </c>
      <c r="AK87" s="13" t="s">
        <v>31</v>
      </c>
      <c r="AL87" s="3">
        <f>AL88</f>
        <v>111.78777915045893</v>
      </c>
    </row>
    <row r="88" spans="2:41" ht="17" x14ac:dyDescent="0.25">
      <c r="F88" s="1"/>
      <c r="G88" s="6"/>
      <c r="H88" s="6"/>
      <c r="I88" s="6"/>
      <c r="J88" s="6"/>
      <c r="M88" s="3" t="s">
        <v>416</v>
      </c>
      <c r="P88" s="19" t="s">
        <v>19</v>
      </c>
      <c r="Q88" s="3">
        <f>MW_C</f>
        <v>1.2010999999999999E-2</v>
      </c>
      <c r="R88" s="3">
        <f>(Q88*R89)/Q89</f>
        <v>47.93516034673415</v>
      </c>
      <c r="S88" s="13" t="s">
        <v>31</v>
      </c>
      <c r="T88" s="3">
        <f>MW_O</f>
        <v>1.59994E-2</v>
      </c>
      <c r="U88" s="3">
        <f>(T88*U89)/T89</f>
        <v>63.852618803724795</v>
      </c>
      <c r="X88" s="156"/>
      <c r="AA88" s="34" t="s">
        <v>68</v>
      </c>
      <c r="AB88" s="24">
        <f t="shared" si="13"/>
        <v>26.702429889316871</v>
      </c>
      <c r="AC88" s="3">
        <f>AB88/$AB$91</f>
        <v>0.38375112193347305</v>
      </c>
      <c r="AD88" s="3">
        <f>MW_CH4</f>
        <v>1.604276E-2</v>
      </c>
      <c r="AE88" s="3">
        <f>AE80+AO80+AT80</f>
        <v>1664.4536157940947</v>
      </c>
      <c r="AF88" s="156">
        <f>AE88/$AE$91</f>
        <v>7.8636235837663701E-2</v>
      </c>
      <c r="AI88" s="129" t="s">
        <v>126</v>
      </c>
      <c r="AJ88" s="3">
        <f>AE77</f>
        <v>111.78777915045893</v>
      </c>
      <c r="AK88" s="13" t="s">
        <v>126</v>
      </c>
      <c r="AL88" s="3">
        <f>AJ88</f>
        <v>111.78777915045893</v>
      </c>
    </row>
    <row r="89" spans="2:41" ht="18" x14ac:dyDescent="0.25">
      <c r="B89" s="172" t="s">
        <v>404</v>
      </c>
      <c r="C89" s="3" t="s">
        <v>1</v>
      </c>
      <c r="D89" s="3" t="s">
        <v>49</v>
      </c>
      <c r="E89" s="3" t="s">
        <v>5</v>
      </c>
      <c r="F89" s="202" t="s">
        <v>424</v>
      </c>
      <c r="G89" s="133" t="s">
        <v>326</v>
      </c>
      <c r="H89" s="3" t="s">
        <v>406</v>
      </c>
      <c r="I89" s="3" t="s">
        <v>408</v>
      </c>
      <c r="J89" s="4" t="s">
        <v>409</v>
      </c>
      <c r="K89" s="3" t="s">
        <v>410</v>
      </c>
      <c r="L89" s="133" t="s">
        <v>411</v>
      </c>
      <c r="M89" s="133" t="s">
        <v>413</v>
      </c>
      <c r="N89" s="133" t="s">
        <v>544</v>
      </c>
      <c r="P89" s="129" t="s">
        <v>126</v>
      </c>
      <c r="Q89" s="3">
        <f>MW_CO</f>
        <v>2.8010399999999998E-2</v>
      </c>
      <c r="R89" s="3">
        <f>F82</f>
        <v>111.78777915045893</v>
      </c>
      <c r="S89" s="13" t="s">
        <v>126</v>
      </c>
      <c r="T89" s="3">
        <f>Q89</f>
        <v>2.8010399999999998E-2</v>
      </c>
      <c r="U89" s="3">
        <f>R89</f>
        <v>111.78777915045893</v>
      </c>
      <c r="X89" s="156"/>
      <c r="AA89" s="254" t="s">
        <v>26</v>
      </c>
      <c r="AB89" s="24">
        <f t="shared" si="13"/>
        <v>2.4968312226300351</v>
      </c>
      <c r="AC89" s="3">
        <f>AB89/$AB$91</f>
        <v>3.5882943497443406E-2</v>
      </c>
      <c r="AD89" s="3">
        <f>MW_O2</f>
        <v>3.1998800000000001E-2</v>
      </c>
      <c r="AE89" s="3">
        <f>AO84</f>
        <v>78.028901791005751</v>
      </c>
      <c r="AF89" s="156">
        <f>AE89/$AE$91</f>
        <v>3.6864344341996274E-3</v>
      </c>
    </row>
    <row r="90" spans="2:41" ht="18" x14ac:dyDescent="0.25">
      <c r="B90" s="13" t="s">
        <v>43</v>
      </c>
      <c r="C90" s="13" t="s">
        <v>12</v>
      </c>
      <c r="D90" s="13" t="s">
        <v>244</v>
      </c>
      <c r="E90" s="19" t="s">
        <v>88</v>
      </c>
      <c r="F90" s="13" t="s">
        <v>44</v>
      </c>
      <c r="G90" s="13" t="s">
        <v>102</v>
      </c>
      <c r="H90" s="13" t="s">
        <v>358</v>
      </c>
      <c r="I90" s="13" t="s">
        <v>244</v>
      </c>
      <c r="J90" s="13" t="s">
        <v>244</v>
      </c>
      <c r="K90" s="13" t="s">
        <v>244</v>
      </c>
      <c r="L90" s="13" t="s">
        <v>102</v>
      </c>
      <c r="M90" s="13" t="s">
        <v>358</v>
      </c>
      <c r="N90" s="13" t="s">
        <v>358</v>
      </c>
      <c r="X90" s="156"/>
      <c r="AA90" s="20" t="s">
        <v>70</v>
      </c>
      <c r="AB90" s="166">
        <f t="shared" si="13"/>
        <v>1.3220708394045395</v>
      </c>
      <c r="AC90" s="28">
        <f>AB90/$AB$91</f>
        <v>1.9E-2</v>
      </c>
      <c r="AD90" s="28">
        <f>MW_N2</f>
        <v>2.801348E-2</v>
      </c>
      <c r="AE90" s="28">
        <f>AE79</f>
        <v>47.194095107231931</v>
      </c>
      <c r="AF90" s="252">
        <f>AE90/$AE$91</f>
        <v>2.229660206678009E-3</v>
      </c>
    </row>
    <row r="91" spans="2:41" x14ac:dyDescent="0.2">
      <c r="B91" s="13" t="s">
        <v>19</v>
      </c>
      <c r="C91" s="3">
        <f>E91*F91</f>
        <v>1.2010999999999999E-2</v>
      </c>
      <c r="D91" s="3">
        <f>C91/$C$96</f>
        <v>6.4899771782841141E-4</v>
      </c>
      <c r="E91" s="3">
        <f>MW_C</f>
        <v>1.2010999999999999E-2</v>
      </c>
      <c r="F91" s="3">
        <f>mol_C_Coal_in</f>
        <v>1</v>
      </c>
      <c r="G91" s="3">
        <f>phi_anthrocite</f>
        <v>1.0437000000000001</v>
      </c>
      <c r="H91" s="3">
        <f>NCV_dry_anthrocite</f>
        <v>30080</v>
      </c>
      <c r="I91" s="3">
        <f>C92/C91</f>
        <v>9.5238957231363677E-2</v>
      </c>
      <c r="J91" s="3">
        <f>C93/C91</f>
        <v>6.0097471452066923E-3</v>
      </c>
      <c r="K91" s="3">
        <f>C94/C91</f>
        <v>3.105825990878519E-3</v>
      </c>
      <c r="L91" s="3">
        <f>G91+(phi_dry_constant_a_*(I91))+(phi_dry_constant_b*(J91))+(phi_dry_constant_c*(K91))</f>
        <v>1.0621160416968318</v>
      </c>
      <c r="M91" s="3">
        <f>NCV_dry_anthrocite*L91</f>
        <v>31948.450534240703</v>
      </c>
      <c r="N91" s="3">
        <f>G91*H91</f>
        <v>31394.496000000003</v>
      </c>
      <c r="X91" s="156"/>
      <c r="AA91" s="3" t="s">
        <v>20</v>
      </c>
      <c r="AB91" s="3">
        <f>SUM(AB86:AB90)</f>
        <v>69.582675758133661</v>
      </c>
      <c r="AC91" s="3">
        <f>SUM(AC86:AC90)</f>
        <v>0.99999999999999989</v>
      </c>
      <c r="AE91" s="3">
        <f>SUM(AE86:AE90)</f>
        <v>21166.4965656569</v>
      </c>
      <c r="AF91" s="3">
        <f>SUM(AF86:AF90)</f>
        <v>0.99999999999999978</v>
      </c>
    </row>
    <row r="92" spans="2:41" x14ac:dyDescent="0.2">
      <c r="B92" s="13" t="s">
        <v>186</v>
      </c>
      <c r="C92" s="3">
        <f t="shared" ref="C92:C94" si="14">E92*F92</f>
        <v>1.143915115305909E-3</v>
      </c>
      <c r="D92" s="3">
        <f t="shared" ref="D92:D95" si="15">C92/$C$96</f>
        <v>6.1809865891512711E-5</v>
      </c>
      <c r="E92" s="3">
        <f>MW_H</f>
        <v>1.0079400000000001E-3</v>
      </c>
      <c r="F92" s="3">
        <f>mol_H_Coal</f>
        <v>1.1349039777227898</v>
      </c>
      <c r="X92" s="156"/>
    </row>
    <row r="93" spans="2:41" x14ac:dyDescent="0.2">
      <c r="B93" s="13" t="s">
        <v>31</v>
      </c>
      <c r="C93" s="3">
        <f t="shared" si="14"/>
        <v>7.2183072961077579E-5</v>
      </c>
      <c r="D93" s="3">
        <f t="shared" si="15"/>
        <v>3.9003121819649541E-6</v>
      </c>
      <c r="E93" s="3">
        <f>MW_O</f>
        <v>1.59994E-2</v>
      </c>
      <c r="F93" s="3">
        <f>mol_O_Coal</f>
        <v>4.511611245489054E-3</v>
      </c>
      <c r="X93" s="156"/>
    </row>
    <row r="94" spans="2:41" x14ac:dyDescent="0.2">
      <c r="B94" s="13" t="s">
        <v>376</v>
      </c>
      <c r="C94" s="3">
        <f t="shared" si="14"/>
        <v>3.7304075976441888E-5</v>
      </c>
      <c r="D94" s="3">
        <f t="shared" si="15"/>
        <v>2.0156739800523234E-6</v>
      </c>
      <c r="E94" s="3">
        <f>MW_N2/2</f>
        <v>1.400674E-2</v>
      </c>
      <c r="F94" s="3">
        <f>mol_N_Coal</f>
        <v>2.6632946693121947E-3</v>
      </c>
      <c r="X94" s="156"/>
      <c r="Y94" s="172" t="s">
        <v>474</v>
      </c>
      <c r="AG94" s="172" t="s">
        <v>524</v>
      </c>
    </row>
    <row r="95" spans="2:41" x14ac:dyDescent="0.2">
      <c r="B95" s="13" t="s">
        <v>393</v>
      </c>
      <c r="C95" s="3">
        <f>G75</f>
        <v>18.493734420766422</v>
      </c>
      <c r="D95" s="3">
        <f t="shared" si="15"/>
        <v>0.99928327643011805</v>
      </c>
      <c r="X95" s="156"/>
      <c r="Y95" s="3">
        <v>0.7</v>
      </c>
      <c r="AG95" s="3">
        <v>0.15</v>
      </c>
    </row>
    <row r="96" spans="2:41" ht="17" x14ac:dyDescent="0.25">
      <c r="B96" s="3" t="s">
        <v>20</v>
      </c>
      <c r="C96" s="3">
        <f>SUM(C91:C95)</f>
        <v>18.506998823030667</v>
      </c>
      <c r="Y96" s="172" t="s">
        <v>118</v>
      </c>
      <c r="Z96" s="3" t="s">
        <v>1</v>
      </c>
      <c r="AA96" s="3" t="s">
        <v>49</v>
      </c>
      <c r="AB96" s="3" t="s">
        <v>5</v>
      </c>
      <c r="AC96" s="202" t="s">
        <v>424</v>
      </c>
      <c r="AD96" s="3" t="s">
        <v>41</v>
      </c>
      <c r="AG96" s="172" t="s">
        <v>118</v>
      </c>
      <c r="AH96" s="3" t="s">
        <v>1</v>
      </c>
      <c r="AI96" s="3" t="s">
        <v>49</v>
      </c>
      <c r="AJ96" s="3" t="s">
        <v>5</v>
      </c>
      <c r="AK96" s="202" t="s">
        <v>424</v>
      </c>
      <c r="AL96" s="3" t="s">
        <v>41</v>
      </c>
    </row>
    <row r="97" spans="2:48" ht="18" x14ac:dyDescent="0.25">
      <c r="I97"/>
      <c r="Y97" s="13" t="s">
        <v>43</v>
      </c>
      <c r="Z97" s="31" t="s">
        <v>12</v>
      </c>
      <c r="AA97" s="31" t="s">
        <v>244</v>
      </c>
      <c r="AB97" s="79" t="s">
        <v>88</v>
      </c>
      <c r="AC97" s="31" t="s">
        <v>44</v>
      </c>
      <c r="AD97" s="31" t="s">
        <v>45</v>
      </c>
      <c r="AG97" s="13" t="s">
        <v>43</v>
      </c>
      <c r="AH97" s="31" t="s">
        <v>12</v>
      </c>
      <c r="AI97" s="31" t="s">
        <v>244</v>
      </c>
      <c r="AJ97" s="79" t="s">
        <v>88</v>
      </c>
      <c r="AK97" s="31" t="s">
        <v>44</v>
      </c>
      <c r="AL97" s="31" t="s">
        <v>45</v>
      </c>
      <c r="AV97" s="16" t="s">
        <v>473</v>
      </c>
    </row>
    <row r="98" spans="2:48" ht="17" x14ac:dyDescent="0.25">
      <c r="B98" s="172" t="s">
        <v>404</v>
      </c>
      <c r="C98" s="3" t="s">
        <v>1</v>
      </c>
      <c r="D98" s="3" t="s">
        <v>49</v>
      </c>
      <c r="E98" s="3" t="s">
        <v>5</v>
      </c>
      <c r="F98" s="202" t="s">
        <v>424</v>
      </c>
      <c r="H98" s="25" t="s">
        <v>403</v>
      </c>
      <c r="I98" s="3" t="s">
        <v>1</v>
      </c>
      <c r="J98" s="3" t="s">
        <v>49</v>
      </c>
      <c r="K98" s="3" t="s">
        <v>5</v>
      </c>
      <c r="L98" s="202" t="s">
        <v>424</v>
      </c>
      <c r="Y98" s="34" t="s">
        <v>69</v>
      </c>
      <c r="Z98" s="24">
        <f>AA98*$Z$102</f>
        <v>27.342940664747548</v>
      </c>
      <c r="AA98" s="3">
        <f>AC87</f>
        <v>0.56136593456908346</v>
      </c>
      <c r="AB98" s="3">
        <f>MW_H*2</f>
        <v>2.0158800000000003E-3</v>
      </c>
      <c r="AC98" s="3">
        <f>Z98/AB98</f>
        <v>13563.773967075194</v>
      </c>
      <c r="AD98" s="156">
        <f>AC98/$AC$102</f>
        <v>0.91544766952145862</v>
      </c>
      <c r="AG98" s="34" t="s">
        <v>69</v>
      </c>
      <c r="AH98" s="24">
        <f>AI98*$AH$102</f>
        <v>5.8592015710173317</v>
      </c>
      <c r="AI98" s="3">
        <f>AC87</f>
        <v>0.56136593456908346</v>
      </c>
      <c r="AJ98" s="3">
        <f>MW_H*2</f>
        <v>2.0158800000000003E-3</v>
      </c>
      <c r="AK98" s="3">
        <f>AH98/AJ98</f>
        <v>2906.5229929446846</v>
      </c>
      <c r="AL98" s="156">
        <f>AK98/$AK$102</f>
        <v>0.91544766952145873</v>
      </c>
    </row>
    <row r="99" spans="2:48" ht="18" x14ac:dyDescent="0.25">
      <c r="B99" s="13" t="s">
        <v>43</v>
      </c>
      <c r="C99" s="13" t="s">
        <v>12</v>
      </c>
      <c r="D99" s="13" t="s">
        <v>244</v>
      </c>
      <c r="E99" s="19" t="s">
        <v>88</v>
      </c>
      <c r="F99" s="13" t="s">
        <v>44</v>
      </c>
      <c r="H99" s="13" t="s">
        <v>43</v>
      </c>
      <c r="I99" s="13" t="s">
        <v>12</v>
      </c>
      <c r="J99" s="13" t="s">
        <v>244</v>
      </c>
      <c r="K99" s="19" t="s">
        <v>88</v>
      </c>
      <c r="L99" s="13" t="s">
        <v>44</v>
      </c>
      <c r="Y99" s="34" t="s">
        <v>68</v>
      </c>
      <c r="Z99" s="24">
        <f>AA99*$Z$102</f>
        <v>18.691700922521807</v>
      </c>
      <c r="AA99" s="3">
        <f t="shared" ref="AA99:AA101" si="16">AC88</f>
        <v>0.38375112193347305</v>
      </c>
      <c r="AB99" s="3">
        <f>MW_CH4</f>
        <v>1.604276E-2</v>
      </c>
      <c r="AC99" s="3">
        <f t="shared" ref="AC99:AC101" si="17">Z99/AB99</f>
        <v>1165.1175310558663</v>
      </c>
      <c r="AD99" s="156">
        <f>AC99/$AC$102</f>
        <v>7.8636235837663701E-2</v>
      </c>
      <c r="AG99" s="34" t="s">
        <v>68</v>
      </c>
      <c r="AH99" s="24">
        <f>AI99*$AH$102</f>
        <v>4.0053644833975302</v>
      </c>
      <c r="AI99" s="3">
        <f t="shared" ref="AI99:AI101" si="18">AC88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6">
        <f>AK99/$AK$102</f>
        <v>7.8636235837663701E-2</v>
      </c>
    </row>
    <row r="100" spans="2:48" ht="18" x14ac:dyDescent="0.25">
      <c r="B100" s="13" t="s">
        <v>19</v>
      </c>
      <c r="C100" s="3">
        <f>E100*F100</f>
        <v>1.2010999999999999E-2</v>
      </c>
      <c r="D100" s="3">
        <v>0.76239999999999997</v>
      </c>
      <c r="E100" s="3">
        <f>MW_C</f>
        <v>1.2010999999999999E-2</v>
      </c>
      <c r="F100" s="3">
        <f>mol_C_Coal_in</f>
        <v>1</v>
      </c>
      <c r="H100" s="13" t="s">
        <v>491</v>
      </c>
      <c r="Y100" s="254" t="s">
        <v>26</v>
      </c>
      <c r="Z100" s="24">
        <f>AA100*$Z$102</f>
        <v>1.7477818558410245</v>
      </c>
      <c r="AA100" s="3">
        <f t="shared" si="16"/>
        <v>3.5882943497443406E-2</v>
      </c>
      <c r="AB100" s="3">
        <f>MW_O2</f>
        <v>3.1998800000000001E-2</v>
      </c>
      <c r="AC100" s="3">
        <f t="shared" si="17"/>
        <v>54.620231253704027</v>
      </c>
      <c r="AD100" s="156">
        <f>AC100/$AC$102</f>
        <v>3.6864344341996282E-3</v>
      </c>
      <c r="AG100" s="254" t="s">
        <v>26</v>
      </c>
      <c r="AH100" s="24">
        <f>AI100*$AH$102</f>
        <v>0.37452468339450529</v>
      </c>
      <c r="AI100" s="3">
        <f t="shared" si="18"/>
        <v>3.5882943497443406E-2</v>
      </c>
      <c r="AJ100" s="3">
        <f>MW_O2</f>
        <v>3.1998800000000001E-2</v>
      </c>
      <c r="AK100" s="3">
        <f t="shared" si="19"/>
        <v>11.704335268650864</v>
      </c>
      <c r="AL100" s="156">
        <f>AK100/$AK$102</f>
        <v>3.6864344341996287E-3</v>
      </c>
    </row>
    <row r="101" spans="2:48" ht="18" x14ac:dyDescent="0.25">
      <c r="B101" s="13" t="s">
        <v>71</v>
      </c>
      <c r="C101" s="3">
        <f t="shared" ref="C101:C103" si="20">E101*F101</f>
        <v>1.143915115305909E-3</v>
      </c>
      <c r="D101" s="3">
        <v>3.04E-2</v>
      </c>
      <c r="E101" s="3">
        <f>MW_H</f>
        <v>1.0079400000000001E-3</v>
      </c>
      <c r="F101" s="3">
        <f>mol_H_Coal</f>
        <v>1.1349039777227898</v>
      </c>
      <c r="H101" s="13" t="s">
        <v>19</v>
      </c>
      <c r="Y101" s="20" t="s">
        <v>70</v>
      </c>
      <c r="Z101" s="24">
        <f>AA101*$Z$102</f>
        <v>0.92544958758317764</v>
      </c>
      <c r="AA101" s="3">
        <f t="shared" si="16"/>
        <v>1.9E-2</v>
      </c>
      <c r="AB101" s="3">
        <f>MW_N2</f>
        <v>2.801348E-2</v>
      </c>
      <c r="AC101" s="3">
        <f t="shared" si="17"/>
        <v>33.03586657506235</v>
      </c>
      <c r="AD101" s="156">
        <f>AC101/$AC$102</f>
        <v>2.229660206678009E-3</v>
      </c>
      <c r="AG101" s="20" t="s">
        <v>70</v>
      </c>
      <c r="AH101" s="24">
        <f>AI101*$AH$102</f>
        <v>0.19831062591068094</v>
      </c>
      <c r="AI101" s="3">
        <f t="shared" si="18"/>
        <v>1.9E-2</v>
      </c>
      <c r="AJ101" s="3">
        <f>MW_N2</f>
        <v>2.801348E-2</v>
      </c>
      <c r="AK101" s="3">
        <f t="shared" si="19"/>
        <v>7.0791142660847894</v>
      </c>
      <c r="AL101" s="156">
        <f>AK101/$AK$102</f>
        <v>2.2296602066780094E-3</v>
      </c>
    </row>
    <row r="102" spans="2:48" ht="17" x14ac:dyDescent="0.25">
      <c r="B102" s="13" t="s">
        <v>31</v>
      </c>
      <c r="C102" s="3">
        <f t="shared" si="20"/>
        <v>7.2183072961077579E-5</v>
      </c>
      <c r="D102" s="3">
        <v>2.1299999999999999E-2</v>
      </c>
      <c r="E102" s="3">
        <f>MW_O</f>
        <v>1.59994E-2</v>
      </c>
      <c r="F102" s="3">
        <f>mol_O_Coal</f>
        <v>4.511611245489054E-3</v>
      </c>
      <c r="H102" s="13" t="s">
        <v>71</v>
      </c>
      <c r="Y102" s="3" t="s">
        <v>20</v>
      </c>
      <c r="Z102" s="17">
        <f>AB91*Y95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20</v>
      </c>
      <c r="AH102" s="17">
        <f>AG95*AB91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3" spans="2:48" x14ac:dyDescent="0.2">
      <c r="B103" s="13" t="s">
        <v>184</v>
      </c>
      <c r="C103" s="3">
        <f t="shared" si="20"/>
        <v>3.7304075976441888E-5</v>
      </c>
      <c r="D103" s="3">
        <f>0.39/100</f>
        <v>3.9000000000000003E-3</v>
      </c>
      <c r="E103" s="3">
        <f>MW_N2/2</f>
        <v>1.400674E-2</v>
      </c>
      <c r="F103" s="3">
        <f>mol_N_Coal</f>
        <v>2.6632946693121947E-3</v>
      </c>
      <c r="H103" s="13" t="s">
        <v>184</v>
      </c>
    </row>
    <row r="104" spans="2:48" x14ac:dyDescent="0.2">
      <c r="B104" s="13" t="s">
        <v>393</v>
      </c>
      <c r="C104" s="3">
        <f>G84</f>
        <v>0</v>
      </c>
      <c r="D104" s="3">
        <v>0.18199999999999997</v>
      </c>
      <c r="H104" s="13" t="s">
        <v>393</v>
      </c>
      <c r="AE104" s="3">
        <f>(AH102*2)+Z102</f>
        <v>69.582675758133661</v>
      </c>
    </row>
    <row r="105" spans="2:48" x14ac:dyDescent="0.2">
      <c r="B105" s="3" t="s">
        <v>20</v>
      </c>
      <c r="C105" s="3">
        <f>SUM(C100:C104)</f>
        <v>1.3264402264243429E-2</v>
      </c>
      <c r="D105" s="3">
        <f>SUM(D100:D104)</f>
        <v>0.99999999999999989</v>
      </c>
    </row>
    <row r="108" spans="2:48" x14ac:dyDescent="0.2">
      <c r="V108" s="3" t="s">
        <v>395</v>
      </c>
    </row>
    <row r="109" spans="2:48" x14ac:dyDescent="0.2">
      <c r="H109" s="3" t="s">
        <v>391</v>
      </c>
      <c r="M109" s="16" t="s">
        <v>389</v>
      </c>
      <c r="U109" s="3" t="s">
        <v>394</v>
      </c>
    </row>
    <row r="111" spans="2:48" x14ac:dyDescent="0.2">
      <c r="C111" s="3" t="s">
        <v>415</v>
      </c>
    </row>
    <row r="130" spans="1:30" ht="16" thickBot="1" x14ac:dyDescent="0.25">
      <c r="A130" s="99"/>
      <c r="B130" s="99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</row>
    <row r="131" spans="1:30" x14ac:dyDescent="0.2">
      <c r="C131" s="354" t="s">
        <v>487</v>
      </c>
      <c r="D131" s="354"/>
      <c r="E131" s="354"/>
      <c r="F131" s="354"/>
      <c r="G131" s="354"/>
    </row>
    <row r="132" spans="1:30" x14ac:dyDescent="0.2">
      <c r="B132" s="172" t="s">
        <v>474</v>
      </c>
      <c r="C132" s="355"/>
      <c r="D132" s="355"/>
      <c r="E132" s="355"/>
      <c r="F132" s="355"/>
      <c r="G132" s="355"/>
    </row>
    <row r="133" spans="1:30" x14ac:dyDescent="0.2">
      <c r="B133" s="3">
        <v>0.7</v>
      </c>
      <c r="I133" s="129" t="s">
        <v>349</v>
      </c>
    </row>
    <row r="134" spans="1:30" ht="18" x14ac:dyDescent="0.25">
      <c r="B134" s="172" t="s">
        <v>117</v>
      </c>
      <c r="C134" s="3" t="s">
        <v>1</v>
      </c>
      <c r="D134" s="3" t="s">
        <v>49</v>
      </c>
      <c r="E134" s="3" t="s">
        <v>5</v>
      </c>
      <c r="F134" s="202" t="s">
        <v>424</v>
      </c>
      <c r="G134" s="3" t="s">
        <v>41</v>
      </c>
      <c r="I134" s="1" t="s">
        <v>93</v>
      </c>
      <c r="L134" s="172" t="s">
        <v>117</v>
      </c>
      <c r="M134" s="3" t="s">
        <v>1</v>
      </c>
      <c r="N134" s="3" t="s">
        <v>49</v>
      </c>
      <c r="O134" s="3" t="s">
        <v>5</v>
      </c>
      <c r="P134" s="202" t="s">
        <v>424</v>
      </c>
      <c r="Q134" s="3" t="s">
        <v>41</v>
      </c>
    </row>
    <row r="135" spans="1:30" ht="18" x14ac:dyDescent="0.25">
      <c r="B135" s="13" t="s">
        <v>43</v>
      </c>
      <c r="C135" s="31" t="s">
        <v>12</v>
      </c>
      <c r="D135" s="31" t="s">
        <v>244</v>
      </c>
      <c r="E135" s="79" t="s">
        <v>88</v>
      </c>
      <c r="F135" s="31" t="s">
        <v>44</v>
      </c>
      <c r="G135" s="31" t="s">
        <v>45</v>
      </c>
      <c r="I135" s="13">
        <f>M139-(C140+C145)</f>
        <v>0</v>
      </c>
      <c r="L135" s="13" t="s">
        <v>43</v>
      </c>
      <c r="M135" s="31" t="s">
        <v>12</v>
      </c>
      <c r="N135" s="31" t="s">
        <v>244</v>
      </c>
      <c r="O135" s="79" t="s">
        <v>88</v>
      </c>
      <c r="P135" s="31" t="s">
        <v>44</v>
      </c>
      <c r="Q135" s="31" t="s">
        <v>45</v>
      </c>
    </row>
    <row r="136" spans="1:30" ht="17" x14ac:dyDescent="0.25">
      <c r="B136" s="34" t="s">
        <v>69</v>
      </c>
      <c r="C136" s="24">
        <f>H2_to_BF</f>
        <v>27.342940664747548</v>
      </c>
      <c r="D136" s="3">
        <f>C136/$C$140</f>
        <v>0.56136593456908346</v>
      </c>
      <c r="E136" s="3">
        <f>MW_H*2</f>
        <v>2.0158800000000003E-3</v>
      </c>
      <c r="F136" s="3">
        <f>C136/E136</f>
        <v>13563.773967075194</v>
      </c>
      <c r="G136" s="156">
        <f>F136/$AC$102</f>
        <v>0.91544766952145862</v>
      </c>
      <c r="L136" s="34" t="s">
        <v>71</v>
      </c>
      <c r="M136" s="24">
        <f>P136*O136</f>
        <v>286.3350229833307</v>
      </c>
      <c r="N136" s="3">
        <f>M136/M139</f>
        <v>0.22152381559059706</v>
      </c>
      <c r="O136" s="3">
        <f>MW_H2O</f>
        <v>1.8015280000000002E-2</v>
      </c>
      <c r="P136" s="3">
        <f>(2*F137) + F136</f>
        <v>15894.009029186927</v>
      </c>
      <c r="Q136" s="156">
        <f>P136/$AC$102</f>
        <v>1.0727201411967859</v>
      </c>
    </row>
    <row r="137" spans="1:30" ht="18" x14ac:dyDescent="0.25">
      <c r="B137" s="34" t="s">
        <v>68</v>
      </c>
      <c r="C137" s="24">
        <f>CH4_to_BF</f>
        <v>18.691700922521807</v>
      </c>
      <c r="D137" s="3">
        <f t="shared" ref="D137:D139" si="21">C137/$C$140</f>
        <v>0.38375112193347299</v>
      </c>
      <c r="E137" s="3">
        <f>MW_CH4</f>
        <v>1.604276E-2</v>
      </c>
      <c r="F137" s="3">
        <f t="shared" ref="F137:F139" si="22">C137/E137</f>
        <v>1165.1175310558663</v>
      </c>
      <c r="G137" s="156">
        <f>F137/$AC$102</f>
        <v>7.8636235837663701E-2</v>
      </c>
      <c r="L137" s="349" t="s">
        <v>67</v>
      </c>
      <c r="M137" s="24">
        <f>P137*O137</f>
        <v>51.276589518262462</v>
      </c>
      <c r="N137" s="3">
        <f>M137/M139</f>
        <v>3.9670263323741545E-2</v>
      </c>
      <c r="O137" s="3">
        <f>MW_CO2</f>
        <v>4.4009800000000002E-2</v>
      </c>
      <c r="P137" s="3">
        <f>F137</f>
        <v>1165.1175310558663</v>
      </c>
      <c r="Q137" s="156">
        <f>P137/$AC$102</f>
        <v>7.8636235837663701E-2</v>
      </c>
    </row>
    <row r="138" spans="1:30" ht="18" x14ac:dyDescent="0.25">
      <c r="B138" s="254" t="s">
        <v>26</v>
      </c>
      <c r="C138" s="24">
        <f>O2_to_BF_from_coke</f>
        <v>1.7477818558410245</v>
      </c>
      <c r="D138" s="3">
        <f t="shared" si="21"/>
        <v>3.5882943497443406E-2</v>
      </c>
      <c r="E138" s="3">
        <f>MW_O2</f>
        <v>3.1998800000000001E-2</v>
      </c>
      <c r="F138" s="3">
        <f t="shared" si="22"/>
        <v>54.620231253704027</v>
      </c>
      <c r="G138" s="156">
        <f>F138/$AC$102</f>
        <v>3.6864344341996282E-3</v>
      </c>
      <c r="L138" s="20" t="s">
        <v>70</v>
      </c>
      <c r="M138" s="24">
        <f>O138*P138</f>
        <v>954.95831827511677</v>
      </c>
      <c r="N138" s="3">
        <f>M138/M139</f>
        <v>0.73880592108566134</v>
      </c>
      <c r="O138" s="3">
        <f>MW_N2</f>
        <v>2.801348E-2</v>
      </c>
      <c r="P138" s="3">
        <f>F139+F144</f>
        <v>34089.242688702609</v>
      </c>
      <c r="Q138" s="156">
        <f>P138/$AC$102</f>
        <v>2.3007547789336602</v>
      </c>
    </row>
    <row r="139" spans="1:30" ht="18" x14ac:dyDescent="0.25">
      <c r="B139" s="20" t="s">
        <v>70</v>
      </c>
      <c r="C139" s="24">
        <f>N2_to_BF_from_coke</f>
        <v>0.92544958758317764</v>
      </c>
      <c r="D139" s="3">
        <f t="shared" si="21"/>
        <v>1.9E-2</v>
      </c>
      <c r="E139" s="3">
        <f>MW_N2</f>
        <v>2.801348E-2</v>
      </c>
      <c r="F139" s="3">
        <f t="shared" si="22"/>
        <v>33.03586657506235</v>
      </c>
      <c r="G139" s="156">
        <f>F139/$AC$102</f>
        <v>2.229660206678009E-3</v>
      </c>
      <c r="L139" s="3" t="s">
        <v>20</v>
      </c>
      <c r="M139" s="17">
        <f>SUM(M136:M138)</f>
        <v>1292.56993077671</v>
      </c>
      <c r="N139" s="17">
        <f>SUM(N136:N138)</f>
        <v>1</v>
      </c>
      <c r="O139" s="17"/>
      <c r="P139" s="17">
        <f>SUM(P136:P138)</f>
        <v>51148.369248945397</v>
      </c>
      <c r="Q139" s="17">
        <f>SUM(Q135:Q138)</f>
        <v>3.4521111559681099</v>
      </c>
    </row>
    <row r="140" spans="1:30" x14ac:dyDescent="0.2">
      <c r="B140" s="3" t="s">
        <v>20</v>
      </c>
      <c r="C140" s="17">
        <f>SUM(C136:C139)</f>
        <v>48.707873030693563</v>
      </c>
      <c r="D140" s="17">
        <f>SUM(D135:D139)</f>
        <v>0.99999999999999978</v>
      </c>
      <c r="E140" s="17"/>
      <c r="F140" s="17">
        <f>SUM(F136:F139)</f>
        <v>14816.547595959828</v>
      </c>
      <c r="G140" s="17">
        <f>SUM(G135:G139)</f>
        <v>0.99999999999999989</v>
      </c>
    </row>
    <row r="143" spans="1:30" ht="18" x14ac:dyDescent="0.25">
      <c r="B143" s="254" t="s">
        <v>26</v>
      </c>
      <c r="C143" s="24">
        <f>F143*E143</f>
        <v>289.82918905848277</v>
      </c>
      <c r="D143" s="3">
        <f>C143/$C$145</f>
        <v>0.23300750051310179</v>
      </c>
      <c r="E143" s="3">
        <f>MW_O2</f>
        <v>3.1998800000000001E-2</v>
      </c>
      <c r="F143" s="3">
        <f>C156-F138</f>
        <v>9057.5018143956258</v>
      </c>
      <c r="G143" s="156">
        <f>F143/$F$145</f>
        <v>0.21008403361344541</v>
      </c>
    </row>
    <row r="144" spans="1:30" ht="18" x14ac:dyDescent="0.25">
      <c r="B144" s="20" t="s">
        <v>70</v>
      </c>
      <c r="C144" s="24">
        <f>F144*E144</f>
        <v>954.03286868753366</v>
      </c>
      <c r="D144" s="3">
        <f>C144/$C$145</f>
        <v>0.76699249948689818</v>
      </c>
      <c r="E144" s="3">
        <f>MW_N2</f>
        <v>2.801348E-2</v>
      </c>
      <c r="F144" s="3">
        <f>3.76*F143</f>
        <v>34056.206822127548</v>
      </c>
      <c r="G144" s="156">
        <f>F144/$F$145</f>
        <v>0.78991596638655459</v>
      </c>
    </row>
    <row r="145" spans="2:21" x14ac:dyDescent="0.2">
      <c r="B145" s="3" t="s">
        <v>20</v>
      </c>
      <c r="C145" s="17">
        <f>SUM(C143:C144)</f>
        <v>1243.8620577460165</v>
      </c>
      <c r="D145" s="17">
        <f>SUM(D143:D144)</f>
        <v>1</v>
      </c>
      <c r="E145" s="17">
        <f>SUM(E143:E144)</f>
        <v>6.0012280000000001E-2</v>
      </c>
      <c r="F145" s="17">
        <f>SUM(F141:F144)</f>
        <v>43113.708636523173</v>
      </c>
      <c r="G145" s="17">
        <f>SUM(G143:G144)</f>
        <v>1</v>
      </c>
    </row>
    <row r="147" spans="2:21" x14ac:dyDescent="0.2">
      <c r="B147" s="3" t="s">
        <v>523</v>
      </c>
      <c r="C147" s="3">
        <f>C145+C140</f>
        <v>1292.56993077671</v>
      </c>
    </row>
    <row r="150" spans="2:21" ht="17" x14ac:dyDescent="0.25">
      <c r="B150" s="172" t="s">
        <v>117</v>
      </c>
      <c r="C150" s="202" t="s">
        <v>424</v>
      </c>
      <c r="E150" s="202" t="s">
        <v>424</v>
      </c>
      <c r="G150" s="172" t="s">
        <v>118</v>
      </c>
      <c r="H150" s="202" t="s">
        <v>424</v>
      </c>
      <c r="J150" s="202" t="s">
        <v>424</v>
      </c>
    </row>
    <row r="151" spans="2:21" ht="16" x14ac:dyDescent="0.2">
      <c r="C151" s="13" t="s">
        <v>44</v>
      </c>
      <c r="D151" s="1"/>
      <c r="E151" s="13" t="s">
        <v>44</v>
      </c>
      <c r="H151" s="13" t="s">
        <v>44</v>
      </c>
      <c r="I151" s="1"/>
      <c r="J151" s="13" t="s">
        <v>44</v>
      </c>
    </row>
    <row r="152" spans="2:21" ht="16" x14ac:dyDescent="0.2">
      <c r="B152" s="61" t="s">
        <v>19</v>
      </c>
      <c r="C152" s="1">
        <f>F137</f>
        <v>1165.1175310558663</v>
      </c>
      <c r="D152" s="19" t="s">
        <v>186</v>
      </c>
      <c r="E152" s="1">
        <f>2*E153</f>
        <v>31788.018058373855</v>
      </c>
      <c r="G152" s="13" t="s">
        <v>19</v>
      </c>
      <c r="H152" s="1">
        <f>H153</f>
        <v>1165.1175310558663</v>
      </c>
      <c r="I152" s="19" t="s">
        <v>186</v>
      </c>
      <c r="J152" s="1">
        <f>2*J153</f>
        <v>31788.018058373855</v>
      </c>
    </row>
    <row r="153" spans="2:21" ht="18" x14ac:dyDescent="0.25">
      <c r="B153" s="61" t="s">
        <v>480</v>
      </c>
      <c r="C153" s="1">
        <f>F137</f>
        <v>1165.1175310558663</v>
      </c>
      <c r="D153" s="61" t="s">
        <v>481</v>
      </c>
      <c r="E153" s="1">
        <f>F136+(2*F137)</f>
        <v>15894.009029186927</v>
      </c>
      <c r="G153" s="349" t="s">
        <v>67</v>
      </c>
      <c r="H153" s="1">
        <f>P137</f>
        <v>1165.1175310558663</v>
      </c>
      <c r="I153" s="13" t="s">
        <v>71</v>
      </c>
      <c r="J153" s="1">
        <f>P136</f>
        <v>15894.009029186927</v>
      </c>
    </row>
    <row r="155" spans="2:21" x14ac:dyDescent="0.2">
      <c r="B155" s="13" t="s">
        <v>31</v>
      </c>
      <c r="C155" s="3">
        <f>H155+J155</f>
        <v>18224.24409129866</v>
      </c>
      <c r="G155" s="13" t="s">
        <v>31</v>
      </c>
      <c r="H155" s="3">
        <f>2*H156</f>
        <v>2330.2350621117325</v>
      </c>
      <c r="I155" s="13" t="s">
        <v>31</v>
      </c>
      <c r="J155" s="3">
        <f>J156</f>
        <v>15894.009029186927</v>
      </c>
    </row>
    <row r="156" spans="2:21" ht="18" x14ac:dyDescent="0.25">
      <c r="B156" s="253" t="s">
        <v>26</v>
      </c>
      <c r="C156" s="3">
        <f>C155/2</f>
        <v>9112.1220456493302</v>
      </c>
      <c r="D156" s="20" t="s">
        <v>70</v>
      </c>
      <c r="E156" s="3">
        <f>F139+F144</f>
        <v>34089.242688702609</v>
      </c>
      <c r="G156" s="347" t="s">
        <v>67</v>
      </c>
      <c r="H156" s="3">
        <f>P137</f>
        <v>1165.1175310558663</v>
      </c>
      <c r="I156" s="13" t="s">
        <v>71</v>
      </c>
      <c r="J156" s="3">
        <f>P136</f>
        <v>15894.009029186927</v>
      </c>
    </row>
    <row r="158" spans="2:21" ht="16" thickBot="1" x14ac:dyDescent="0.25">
      <c r="B158" s="99"/>
      <c r="C158" s="99"/>
      <c r="D158" s="99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</row>
    <row r="160" spans="2:21" x14ac:dyDescent="0.2">
      <c r="B160" s="355" t="s">
        <v>500</v>
      </c>
      <c r="C160" s="355"/>
      <c r="D160" s="355"/>
      <c r="E160" s="355"/>
      <c r="F160" s="355"/>
      <c r="G160" s="355"/>
    </row>
    <row r="161" spans="2:17" x14ac:dyDescent="0.2">
      <c r="B161" s="355"/>
      <c r="C161" s="355"/>
      <c r="D161" s="355"/>
      <c r="E161" s="355"/>
      <c r="F161" s="355"/>
      <c r="G161" s="355"/>
    </row>
    <row r="162" spans="2:17" x14ac:dyDescent="0.2">
      <c r="B162" s="355"/>
      <c r="C162" s="355"/>
      <c r="D162" s="355"/>
      <c r="E162" s="355"/>
      <c r="F162" s="355"/>
      <c r="G162" s="355"/>
    </row>
    <row r="166" spans="2:17" x14ac:dyDescent="0.2">
      <c r="B166" s="172" t="s">
        <v>475</v>
      </c>
    </row>
    <row r="167" spans="2:17" x14ac:dyDescent="0.2">
      <c r="B167" s="3">
        <v>0.15</v>
      </c>
    </row>
    <row r="168" spans="2:17" ht="17" x14ac:dyDescent="0.25">
      <c r="B168" s="172" t="s">
        <v>117</v>
      </c>
      <c r="C168" s="3" t="s">
        <v>1</v>
      </c>
      <c r="D168" s="3" t="s">
        <v>49</v>
      </c>
      <c r="E168" s="3" t="s">
        <v>5</v>
      </c>
      <c r="F168" s="202" t="s">
        <v>424</v>
      </c>
      <c r="G168" s="3" t="s">
        <v>41</v>
      </c>
      <c r="L168" s="172" t="s">
        <v>118</v>
      </c>
      <c r="M168" s="3" t="s">
        <v>1</v>
      </c>
      <c r="N168" s="3" t="s">
        <v>49</v>
      </c>
      <c r="O168" s="3" t="s">
        <v>5</v>
      </c>
      <c r="P168" s="202" t="s">
        <v>424</v>
      </c>
      <c r="Q168" s="3" t="s">
        <v>41</v>
      </c>
    </row>
    <row r="169" spans="2:17" ht="18" x14ac:dyDescent="0.25">
      <c r="B169" s="13" t="s">
        <v>43</v>
      </c>
      <c r="C169" s="31" t="s">
        <v>12</v>
      </c>
      <c r="D169" s="31" t="s">
        <v>244</v>
      </c>
      <c r="E169" s="79" t="s">
        <v>88</v>
      </c>
      <c r="F169" s="31" t="s">
        <v>44</v>
      </c>
      <c r="G169" s="31" t="s">
        <v>45</v>
      </c>
      <c r="L169" s="13" t="s">
        <v>43</v>
      </c>
      <c r="M169" s="31" t="s">
        <v>12</v>
      </c>
      <c r="N169" s="31" t="s">
        <v>244</v>
      </c>
      <c r="O169" s="79" t="s">
        <v>88</v>
      </c>
      <c r="P169" s="31" t="s">
        <v>44</v>
      </c>
      <c r="Q169" s="31" t="s">
        <v>45</v>
      </c>
    </row>
    <row r="170" spans="2:17" ht="17" x14ac:dyDescent="0.25">
      <c r="B170" s="34" t="s">
        <v>69</v>
      </c>
      <c r="C170" s="24">
        <f>H2_to_coke_oven</f>
        <v>5.8592015710173317</v>
      </c>
      <c r="D170" s="3">
        <f>C170/$C$174</f>
        <v>0.56136593456908357</v>
      </c>
      <c r="E170" s="3">
        <f>MW_H*2</f>
        <v>2.0158800000000003E-3</v>
      </c>
      <c r="F170" s="3">
        <f>C170/E170</f>
        <v>2906.5229929446846</v>
      </c>
      <c r="G170" s="156">
        <f>F170/$F$174</f>
        <v>0.91544766952145873</v>
      </c>
      <c r="L170" s="34" t="s">
        <v>71</v>
      </c>
      <c r="M170" s="24">
        <f t="shared" ref="M170:M171" si="23">O170*P170</f>
        <v>61.357504924999432</v>
      </c>
      <c r="N170" s="3">
        <f>M170/M173</f>
        <v>0.22152381559059706</v>
      </c>
      <c r="O170" s="3">
        <f>MW_H2O</f>
        <v>1.8015280000000002E-2</v>
      </c>
      <c r="P170" s="3">
        <f>J184</f>
        <v>3405.8590776829128</v>
      </c>
      <c r="Q170" s="156">
        <f>P170/$AC$102</f>
        <v>0.22986860168502557</v>
      </c>
    </row>
    <row r="171" spans="2:17" ht="18" x14ac:dyDescent="0.25">
      <c r="B171" s="34" t="s">
        <v>68</v>
      </c>
      <c r="C171" s="24">
        <f>CH4_to_coke_oven</f>
        <v>4.0053644833975302</v>
      </c>
      <c r="D171" s="3">
        <f t="shared" ref="D171:D173" si="24">C171/$C$174</f>
        <v>0.3837511219334731</v>
      </c>
      <c r="E171" s="3">
        <f>MW_CH4</f>
        <v>1.604276E-2</v>
      </c>
      <c r="F171" s="3">
        <f t="shared" ref="F171:F173" si="25">C171/E171</f>
        <v>249.66804236911418</v>
      </c>
      <c r="G171" s="156">
        <f t="shared" ref="G171:G173" si="26">F171/$F$174</f>
        <v>7.8636235837663701E-2</v>
      </c>
      <c r="L171" s="349" t="s">
        <v>67</v>
      </c>
      <c r="M171" s="24">
        <f t="shared" si="23"/>
        <v>10.987840611056242</v>
      </c>
      <c r="N171" s="3">
        <f>M171/M173</f>
        <v>3.9670263323741545E-2</v>
      </c>
      <c r="O171" s="3">
        <f>MW_CO2</f>
        <v>4.4009800000000002E-2</v>
      </c>
      <c r="P171" s="3">
        <f>H184</f>
        <v>249.66804236911418</v>
      </c>
      <c r="Q171" s="156">
        <f>P171/$AC$102</f>
        <v>1.6850621965213648E-2</v>
      </c>
    </row>
    <row r="172" spans="2:17" ht="18" x14ac:dyDescent="0.25">
      <c r="B172" s="254" t="s">
        <v>26</v>
      </c>
      <c r="C172" s="24">
        <f>O2_to_coke_oven</f>
        <v>0.37452468339450529</v>
      </c>
      <c r="D172" s="3">
        <f t="shared" si="24"/>
        <v>3.5882943497443413E-2</v>
      </c>
      <c r="E172" s="3">
        <f>MW_O2</f>
        <v>3.1998800000000001E-2</v>
      </c>
      <c r="F172" s="3">
        <f t="shared" si="25"/>
        <v>11.704335268650864</v>
      </c>
      <c r="G172" s="156">
        <f t="shared" si="26"/>
        <v>3.6864344341996287E-3</v>
      </c>
      <c r="L172" s="20" t="s">
        <v>70</v>
      </c>
      <c r="M172" s="24">
        <f>O172*P172</f>
        <v>204.63392534466789</v>
      </c>
      <c r="N172" s="3">
        <f>M172/M173</f>
        <v>0.73880592108566145</v>
      </c>
      <c r="O172" s="3">
        <f>MW_N2</f>
        <v>2.801348E-2</v>
      </c>
      <c r="P172" s="3">
        <f>H191</f>
        <v>7304.8377190077026</v>
      </c>
      <c r="Q172" s="156">
        <f>P172/$AC$102</f>
        <v>0.49301888120007009</v>
      </c>
    </row>
    <row r="173" spans="2:17" ht="18" x14ac:dyDescent="0.25">
      <c r="B173" s="20" t="s">
        <v>70</v>
      </c>
      <c r="C173" s="24">
        <f>N2_to_coke_oven</f>
        <v>0.19831062591068094</v>
      </c>
      <c r="D173" s="3">
        <f t="shared" si="24"/>
        <v>1.9000000000000003E-2</v>
      </c>
      <c r="E173" s="3">
        <f>MW_N2</f>
        <v>2.801348E-2</v>
      </c>
      <c r="F173" s="3">
        <f t="shared" si="25"/>
        <v>7.0791142660847894</v>
      </c>
      <c r="G173" s="156">
        <f t="shared" si="26"/>
        <v>2.2296602066780094E-3</v>
      </c>
      <c r="L173" s="3" t="s">
        <v>20</v>
      </c>
      <c r="M173" s="17">
        <f>SUM(M170:M172)</f>
        <v>276.97927088072356</v>
      </c>
      <c r="N173" s="17">
        <f>SUM(N170:N172)</f>
        <v>1</v>
      </c>
      <c r="O173" s="17"/>
      <c r="P173" s="17">
        <f>SUM(P170:P172)</f>
        <v>10960.36483905973</v>
      </c>
      <c r="Q173" s="17">
        <f>SUM(Q169:Q172)</f>
        <v>0.73973810485030933</v>
      </c>
    </row>
    <row r="174" spans="2:17" x14ac:dyDescent="0.2">
      <c r="B174" s="3" t="s">
        <v>20</v>
      </c>
      <c r="C174" s="17">
        <f>SUM(C170:C173)</f>
        <v>10.437401363720047</v>
      </c>
      <c r="D174" s="17">
        <f>SUM(D169:D173)</f>
        <v>1</v>
      </c>
      <c r="E174" s="17"/>
      <c r="F174" s="17">
        <f>SUM(F169:F173)</f>
        <v>3174.9744848485343</v>
      </c>
      <c r="G174" s="17">
        <f>SUM(G169:G173)</f>
        <v>1</v>
      </c>
    </row>
    <row r="176" spans="2:17" ht="18" x14ac:dyDescent="0.25">
      <c r="B176" s="254" t="s">
        <v>26</v>
      </c>
      <c r="C176" s="3">
        <f>E176*F176</f>
        <v>62.106254798246304</v>
      </c>
      <c r="D176" s="3">
        <f>C176/C178</f>
        <v>0.23300750051310176</v>
      </c>
      <c r="E176" s="3">
        <f>MW_O2</f>
        <v>3.1998800000000001E-2</v>
      </c>
      <c r="F176" s="3">
        <f>C191</f>
        <v>1940.8932459419198</v>
      </c>
    </row>
    <row r="177" spans="2:10" ht="18" x14ac:dyDescent="0.25">
      <c r="B177" s="20" t="s">
        <v>70</v>
      </c>
      <c r="C177" s="3">
        <f>E177*F177</f>
        <v>204.43561471875722</v>
      </c>
      <c r="D177" s="3">
        <f>C177/C178</f>
        <v>0.76699249948689818</v>
      </c>
      <c r="E177" s="3">
        <f>MW_N2</f>
        <v>2.801348E-2</v>
      </c>
      <c r="F177" s="3">
        <f>E191</f>
        <v>7297.758604741618</v>
      </c>
    </row>
    <row r="178" spans="2:10" x14ac:dyDescent="0.2">
      <c r="C178" s="3">
        <f>SUM(C176:C177)</f>
        <v>266.54186951700353</v>
      </c>
      <c r="D178" s="3">
        <f>SUM(D176:D177)</f>
        <v>1</v>
      </c>
    </row>
    <row r="179" spans="2:10" x14ac:dyDescent="0.2">
      <c r="B179" s="3" t="s">
        <v>522</v>
      </c>
      <c r="C179" s="3">
        <f>C178+C174</f>
        <v>276.97927088072356</v>
      </c>
    </row>
    <row r="181" spans="2:10" ht="17" x14ac:dyDescent="0.25">
      <c r="B181" s="172" t="s">
        <v>117</v>
      </c>
      <c r="C181" s="202" t="s">
        <v>424</v>
      </c>
      <c r="E181" s="202" t="s">
        <v>424</v>
      </c>
      <c r="G181" s="172" t="s">
        <v>118</v>
      </c>
      <c r="H181" s="202" t="s">
        <v>424</v>
      </c>
      <c r="J181" s="202" t="s">
        <v>424</v>
      </c>
    </row>
    <row r="182" spans="2:10" ht="16" x14ac:dyDescent="0.2">
      <c r="C182" s="13" t="s">
        <v>44</v>
      </c>
      <c r="D182" s="1"/>
      <c r="E182" s="13" t="s">
        <v>44</v>
      </c>
      <c r="H182" s="13" t="s">
        <v>44</v>
      </c>
      <c r="I182" s="1"/>
      <c r="J182" s="13" t="s">
        <v>44</v>
      </c>
    </row>
    <row r="183" spans="2:10" ht="16" x14ac:dyDescent="0.2">
      <c r="B183" s="61" t="s">
        <v>19</v>
      </c>
      <c r="C183" s="1">
        <f>C184</f>
        <v>249.66804236911418</v>
      </c>
      <c r="D183" s="19" t="s">
        <v>186</v>
      </c>
      <c r="E183" s="1">
        <f>2*E184</f>
        <v>6811.7181553658256</v>
      </c>
      <c r="G183" s="13" t="s">
        <v>19</v>
      </c>
      <c r="H183" s="1">
        <f>C183</f>
        <v>249.66804236911418</v>
      </c>
      <c r="I183" s="19" t="s">
        <v>186</v>
      </c>
      <c r="J183" s="1">
        <f>E183</f>
        <v>6811.7181553658256</v>
      </c>
    </row>
    <row r="184" spans="2:10" ht="18" x14ac:dyDescent="0.25">
      <c r="B184" s="61" t="s">
        <v>480</v>
      </c>
      <c r="C184" s="1">
        <f>F171</f>
        <v>249.66804236911418</v>
      </c>
      <c r="D184" s="61" t="s">
        <v>481</v>
      </c>
      <c r="E184" s="1">
        <f>F170+(2*F171)</f>
        <v>3405.8590776829128</v>
      </c>
      <c r="G184" s="349" t="s">
        <v>67</v>
      </c>
      <c r="H184" s="1">
        <f>H183</f>
        <v>249.66804236911418</v>
      </c>
      <c r="I184" s="13" t="s">
        <v>71</v>
      </c>
      <c r="J184" s="1">
        <f>J183/2</f>
        <v>3405.8590776829128</v>
      </c>
    </row>
    <row r="186" spans="2:10" x14ac:dyDescent="0.2">
      <c r="B186" s="13" t="s">
        <v>31</v>
      </c>
      <c r="C186" s="3">
        <f>2*C187</f>
        <v>23.408670537301727</v>
      </c>
      <c r="G186" s="13" t="s">
        <v>31</v>
      </c>
      <c r="H186" s="3">
        <f>2*H187</f>
        <v>499.33608473822835</v>
      </c>
      <c r="I186" s="13" t="s">
        <v>31</v>
      </c>
      <c r="J186" s="3">
        <f>J187</f>
        <v>3405.8590776829128</v>
      </c>
    </row>
    <row r="187" spans="2:10" ht="18" x14ac:dyDescent="0.25">
      <c r="B187" s="253" t="s">
        <v>26</v>
      </c>
      <c r="C187" s="3">
        <f>F172</f>
        <v>11.704335268650864</v>
      </c>
      <c r="D187" s="20" t="s">
        <v>70</v>
      </c>
      <c r="E187" s="3">
        <f>F173</f>
        <v>7.0791142660847894</v>
      </c>
      <c r="G187" s="347" t="s">
        <v>67</v>
      </c>
      <c r="H187" s="3">
        <f>H184</f>
        <v>249.66804236911418</v>
      </c>
      <c r="I187" s="13" t="s">
        <v>71</v>
      </c>
      <c r="J187" s="3">
        <f>J184</f>
        <v>3405.8590776829128</v>
      </c>
    </row>
    <row r="190" spans="2:10" x14ac:dyDescent="0.2">
      <c r="B190" s="13" t="s">
        <v>31</v>
      </c>
      <c r="C190" s="3">
        <f>J186+H186-C186</f>
        <v>3881.7864918838395</v>
      </c>
    </row>
    <row r="191" spans="2:10" ht="18" x14ac:dyDescent="0.25">
      <c r="B191" s="253" t="s">
        <v>26</v>
      </c>
      <c r="C191" s="3">
        <f>C190/2</f>
        <v>1940.8932459419198</v>
      </c>
      <c r="D191" s="20" t="s">
        <v>70</v>
      </c>
      <c r="E191" s="3">
        <f>3.76*C191</f>
        <v>7297.758604741618</v>
      </c>
      <c r="G191" s="20" t="s">
        <v>70</v>
      </c>
      <c r="H191" s="3">
        <f>E187+E191</f>
        <v>7304.8377190077026</v>
      </c>
    </row>
  </sheetData>
  <mergeCells count="45">
    <mergeCell ref="C131:G132"/>
    <mergeCell ref="B160:G162"/>
    <mergeCell ref="V17:AB17"/>
    <mergeCell ref="O18:Q18"/>
    <mergeCell ref="R18:S18"/>
    <mergeCell ref="T18:U18"/>
    <mergeCell ref="V18:AB19"/>
    <mergeCell ref="V15:AB15"/>
    <mergeCell ref="V10:AB10"/>
    <mergeCell ref="V11:AB11"/>
    <mergeCell ref="V12:AB12"/>
    <mergeCell ref="V13:AB13"/>
    <mergeCell ref="V14:AB14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0:U10"/>
    <mergeCell ref="O11:Q11"/>
    <mergeCell ref="T11:U11"/>
    <mergeCell ref="O12:Q12"/>
    <mergeCell ref="T12:U12"/>
    <mergeCell ref="B44:C44"/>
    <mergeCell ref="B35:B36"/>
    <mergeCell ref="C47:F48"/>
    <mergeCell ref="O14:Q14"/>
    <mergeCell ref="T14:U14"/>
    <mergeCell ref="B19:B21"/>
    <mergeCell ref="B22:B23"/>
    <mergeCell ref="O17:U17"/>
    <mergeCell ref="B25:B26"/>
    <mergeCell ref="B29:B30"/>
    <mergeCell ref="B31:B32"/>
    <mergeCell ref="B37:B39"/>
    <mergeCell ref="B41:B42"/>
    <mergeCell ref="B69:G70"/>
    <mergeCell ref="H48:M48"/>
    <mergeCell ref="H49:J49"/>
    <mergeCell ref="L49:M49"/>
    <mergeCell ref="H51:M52"/>
  </mergeCells>
  <conditionalFormatting sqref="I135">
    <cfRule type="cellIs" dxfId="20" priority="1" operator="notEqual">
      <formula>0</formula>
    </cfRule>
  </conditionalFormatting>
  <hyperlinks>
    <hyperlink ref="A2" r:id="rId1" xr:uid="{06BDC9B5-4B0A-4C45-943E-2ED9BE99B31A}"/>
    <hyperlink ref="M109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E228"/>
  <sheetViews>
    <sheetView tabSelected="1" topLeftCell="AR80" zoomScale="50" zoomScaleNormal="40" workbookViewId="0">
      <selection activeCell="BW182" sqref="BW182"/>
    </sheetView>
  </sheetViews>
  <sheetFormatPr baseColWidth="10" defaultColWidth="8.83203125" defaultRowHeight="15" x14ac:dyDescent="0.2"/>
  <cols>
    <col min="1" max="1" width="8.83203125" style="3"/>
    <col min="2" max="2" width="9.1640625" style="3" bestFit="1" customWidth="1"/>
    <col min="3" max="3" width="13.33203125" style="3" customWidth="1"/>
    <col min="4" max="4" width="10.1640625" style="3" bestFit="1" customWidth="1"/>
    <col min="5" max="6" width="9.33203125" style="3" bestFit="1" customWidth="1"/>
    <col min="7" max="7" width="14.5" style="3" bestFit="1" customWidth="1"/>
    <col min="8" max="8" width="9.33203125" style="3" bestFit="1" customWidth="1"/>
    <col min="9" max="9" width="13.5" style="3" bestFit="1" customWidth="1"/>
    <col min="10" max="11" width="13.1640625" style="3" bestFit="1" customWidth="1"/>
    <col min="12" max="12" width="9.33203125" style="3" bestFit="1" customWidth="1"/>
    <col min="13" max="13" width="13.1640625" style="3" bestFit="1" customWidth="1"/>
    <col min="14" max="14" width="13.6640625" style="3" bestFit="1" customWidth="1"/>
    <col min="15" max="15" width="9.1640625" style="3" bestFit="1" customWidth="1"/>
    <col min="16" max="16" width="13.5" style="3" customWidth="1"/>
    <col min="17" max="19" width="11.83203125" style="3" bestFit="1" customWidth="1"/>
    <col min="20" max="20" width="9.33203125" style="3" bestFit="1" customWidth="1"/>
    <col min="21" max="21" width="11.83203125" style="3" bestFit="1" customWidth="1"/>
    <col min="22" max="22" width="9.33203125" style="3" bestFit="1" customWidth="1"/>
    <col min="23" max="24" width="9.5" style="3" bestFit="1" customWidth="1"/>
    <col min="25" max="25" width="11.83203125" style="3" bestFit="1" customWidth="1"/>
    <col min="26" max="26" width="13.5" style="3" bestFit="1" customWidth="1"/>
    <col min="27" max="27" width="13.33203125" style="3" bestFit="1" customWidth="1"/>
    <col min="28" max="28" width="9.6640625" style="3" bestFit="1" customWidth="1"/>
    <col min="29" max="29" width="14.33203125" style="3" bestFit="1" customWidth="1"/>
    <col min="30" max="30" width="13.1640625" style="3" bestFit="1" customWidth="1"/>
    <col min="31" max="31" width="14" style="3" bestFit="1" customWidth="1"/>
    <col min="32" max="32" width="13.6640625" style="3" bestFit="1" customWidth="1"/>
    <col min="33" max="33" width="13.5" style="3" bestFit="1" customWidth="1"/>
    <col min="34" max="34" width="12.83203125" style="3" bestFit="1" customWidth="1"/>
    <col min="35" max="35" width="9.6640625" style="3" bestFit="1" customWidth="1"/>
    <col min="36" max="36" width="9" style="3" customWidth="1"/>
    <col min="37" max="37" width="9.6640625" style="3" bestFit="1" customWidth="1"/>
    <col min="38" max="38" width="14.5" style="3" customWidth="1"/>
    <col min="39" max="39" width="12.6640625" style="3" bestFit="1" customWidth="1"/>
    <col min="40" max="40" width="29.6640625" style="3" customWidth="1"/>
    <col min="41" max="43" width="10.33203125" style="3" bestFit="1" customWidth="1"/>
    <col min="44" max="44" width="14.6640625" style="3" bestFit="1" customWidth="1"/>
    <col min="45" max="45" width="10.33203125" style="3" bestFit="1" customWidth="1"/>
    <col min="46" max="46" width="15.6640625" style="3" customWidth="1"/>
    <col min="47" max="47" width="13.6640625" style="3" customWidth="1"/>
    <col min="48" max="48" width="14.6640625" style="3" bestFit="1" customWidth="1"/>
    <col min="49" max="49" width="11.33203125" style="3" customWidth="1"/>
    <col min="50" max="50" width="13.33203125" style="3" bestFit="1" customWidth="1"/>
    <col min="51" max="51" width="15" style="3" bestFit="1" customWidth="1"/>
    <col min="52" max="52" width="10.33203125" style="3" bestFit="1" customWidth="1"/>
    <col min="53" max="53" width="9" style="3" customWidth="1"/>
    <col min="54" max="54" width="10.33203125" style="3" bestFit="1" customWidth="1"/>
    <col min="55" max="55" width="11.5" style="3" bestFit="1" customWidth="1"/>
    <col min="56" max="56" width="10.83203125" style="3" customWidth="1"/>
    <col min="57" max="58" width="10" style="3" bestFit="1" customWidth="1"/>
    <col min="59" max="61" width="10.33203125" style="3" bestFit="1" customWidth="1"/>
    <col min="62" max="62" width="11.83203125" style="3" bestFit="1" customWidth="1"/>
    <col min="63" max="63" width="14.33203125" style="3" customWidth="1"/>
    <col min="64" max="64" width="14.5" style="3" customWidth="1"/>
    <col min="65" max="65" width="12" style="3" customWidth="1"/>
    <col min="66" max="66" width="13.1640625" style="3" bestFit="1" customWidth="1"/>
    <col min="67" max="67" width="13" style="3" bestFit="1" customWidth="1"/>
    <col min="68" max="68" width="14.33203125" style="3" bestFit="1" customWidth="1"/>
    <col min="69" max="69" width="10.83203125" style="3" customWidth="1"/>
    <col min="70" max="70" width="13.1640625" style="3" customWidth="1"/>
    <col min="71" max="71" width="11.5" style="3" customWidth="1"/>
    <col min="72" max="72" width="12.5" style="3" customWidth="1"/>
    <col min="73" max="73" width="9.33203125" style="3" bestFit="1" customWidth="1"/>
    <col min="74" max="74" width="12.33203125" style="3" bestFit="1" customWidth="1"/>
    <col min="75" max="75" width="9" style="3" bestFit="1" customWidth="1"/>
    <col min="76" max="76" width="13.6640625" style="3" bestFit="1" customWidth="1"/>
    <col min="77" max="77" width="18.5" style="3" customWidth="1"/>
    <col min="78" max="78" width="11.33203125" style="3" bestFit="1" customWidth="1"/>
    <col min="79" max="79" width="15" style="3" bestFit="1" customWidth="1"/>
    <col min="80" max="80" width="10" style="3" bestFit="1" customWidth="1"/>
    <col min="81" max="81" width="9.83203125" style="3" bestFit="1" customWidth="1"/>
    <col min="82" max="82" width="11.83203125" style="3" bestFit="1" customWidth="1"/>
    <col min="83" max="83" width="12.1640625" style="3" bestFit="1" customWidth="1"/>
    <col min="84" max="84" width="9.83203125" style="3" bestFit="1" customWidth="1"/>
    <col min="85" max="85" width="13.6640625" style="3" customWidth="1"/>
    <col min="86" max="86" width="12.1640625" style="3" bestFit="1" customWidth="1"/>
    <col min="87" max="87" width="13.33203125" style="3" bestFit="1" customWidth="1"/>
    <col min="88" max="88" width="9.5" style="3" bestFit="1" customWidth="1"/>
    <col min="89" max="89" width="11.83203125" style="3" bestFit="1" customWidth="1"/>
    <col min="90" max="90" width="9.33203125" style="3" bestFit="1" customWidth="1"/>
    <col min="91" max="94" width="9" style="3" bestFit="1" customWidth="1"/>
    <col min="95" max="95" width="8.83203125" style="3"/>
    <col min="96" max="106" width="9" style="3" bestFit="1" customWidth="1"/>
    <col min="107" max="109" width="8.83203125" style="3"/>
    <col min="110" max="110" width="10.6640625" style="3" bestFit="1" customWidth="1"/>
    <col min="111" max="111" width="9.1640625" style="3" bestFit="1" customWidth="1"/>
    <col min="112" max="112" width="9.33203125" style="3" bestFit="1" customWidth="1"/>
    <col min="113" max="113" width="10.33203125" style="3" bestFit="1" customWidth="1"/>
    <col min="114" max="114" width="9.33203125" style="3" bestFit="1" customWidth="1"/>
    <col min="115" max="115" width="8.83203125" style="3"/>
    <col min="116" max="116" width="9.33203125" style="3" bestFit="1" customWidth="1"/>
    <col min="117" max="117" width="9.83203125" style="3" bestFit="1" customWidth="1"/>
    <col min="118" max="118" width="9.33203125" style="3" customWidth="1"/>
    <col min="119" max="119" width="11.83203125" style="3" bestFit="1" customWidth="1"/>
    <col min="120" max="120" width="10.33203125" style="3" bestFit="1" customWidth="1"/>
    <col min="121" max="121" width="13" style="3" bestFit="1" customWidth="1"/>
    <col min="122" max="122" width="10.83203125" style="3" bestFit="1" customWidth="1"/>
    <col min="123" max="124" width="14.5" style="3" bestFit="1" customWidth="1"/>
    <col min="125" max="125" width="11.33203125" style="3" bestFit="1" customWidth="1"/>
    <col min="126" max="126" width="15.1640625" style="3" bestFit="1" customWidth="1"/>
    <col min="127" max="127" width="9.5" style="3" bestFit="1" customWidth="1"/>
    <col min="128" max="128" width="10.1640625" style="3" bestFit="1" customWidth="1"/>
    <col min="129" max="129" width="12.83203125" style="3" bestFit="1" customWidth="1"/>
    <col min="130" max="130" width="13.33203125" style="3" bestFit="1" customWidth="1"/>
    <col min="131" max="132" width="11.6640625" style="3" bestFit="1" customWidth="1"/>
    <col min="133" max="133" width="9.33203125" style="3" bestFit="1" customWidth="1"/>
    <col min="134" max="134" width="11.5" style="3" bestFit="1" customWidth="1"/>
    <col min="135" max="137" width="9" style="3" bestFit="1" customWidth="1"/>
    <col min="138" max="140" width="8.83203125" style="3"/>
    <col min="141" max="142" width="9" style="3" bestFit="1" customWidth="1"/>
    <col min="143" max="143" width="10.6640625" style="3" bestFit="1" customWidth="1"/>
    <col min="144" max="149" width="9.1640625" style="3" bestFit="1" customWidth="1"/>
    <col min="150" max="150" width="13.5" style="3" bestFit="1" customWidth="1"/>
    <col min="151" max="153" width="9" style="3" bestFit="1" customWidth="1"/>
    <col min="154" max="16384" width="8.83203125" style="3"/>
  </cols>
  <sheetData>
    <row r="1" spans="12:12" x14ac:dyDescent="0.2">
      <c r="L1" s="16"/>
    </row>
    <row r="2" spans="12:12" x14ac:dyDescent="0.2">
      <c r="L2" s="16"/>
    </row>
    <row r="3" spans="12:12" x14ac:dyDescent="0.2">
      <c r="L3" s="16"/>
    </row>
    <row r="6" spans="12:12" x14ac:dyDescent="0.2">
      <c r="L6" s="16"/>
    </row>
    <row r="7" spans="12:12" x14ac:dyDescent="0.2">
      <c r="L7" s="16"/>
    </row>
    <row r="8" spans="12:12" x14ac:dyDescent="0.2">
      <c r="L8" s="16"/>
    </row>
    <row r="9" spans="12:12" x14ac:dyDescent="0.2">
      <c r="L9" s="16"/>
    </row>
    <row r="11" spans="12:12" x14ac:dyDescent="0.2">
      <c r="L11" s="16"/>
    </row>
    <row r="12" spans="12:12" x14ac:dyDescent="0.2">
      <c r="L12" s="16"/>
    </row>
    <row r="13" spans="12:12" x14ac:dyDescent="0.2">
      <c r="L13" s="16"/>
    </row>
    <row r="22" spans="7:56" x14ac:dyDescent="0.2">
      <c r="AF22" s="16" t="s">
        <v>197</v>
      </c>
      <c r="AG22" s="3" t="s">
        <v>199</v>
      </c>
      <c r="AH22" s="3" t="s">
        <v>198</v>
      </c>
    </row>
    <row r="23" spans="7:56" x14ac:dyDescent="0.2">
      <c r="G23" s="292" t="s">
        <v>377</v>
      </c>
      <c r="H23" s="292"/>
      <c r="I23" s="292"/>
      <c r="O23" s="16" t="s">
        <v>195</v>
      </c>
      <c r="P23" s="3" t="s">
        <v>193</v>
      </c>
      <c r="Q23" s="3" t="s">
        <v>200</v>
      </c>
      <c r="R23" s="3" t="s">
        <v>194</v>
      </c>
      <c r="AW23" s="16" t="s">
        <v>195</v>
      </c>
      <c r="AX23" s="3" t="s">
        <v>304</v>
      </c>
      <c r="AY23" s="3" t="s">
        <v>305</v>
      </c>
    </row>
    <row r="24" spans="7:56" ht="16" thickBot="1" x14ac:dyDescent="0.25">
      <c r="G24" s="293"/>
      <c r="H24" s="293"/>
      <c r="I24" s="293"/>
    </row>
    <row r="25" spans="7:56" ht="18" x14ac:dyDescent="0.25">
      <c r="G25" s="101" t="s">
        <v>85</v>
      </c>
      <c r="H25" s="281" t="s">
        <v>356</v>
      </c>
      <c r="I25" s="139" t="s">
        <v>321</v>
      </c>
      <c r="O25" s="286" t="s">
        <v>456</v>
      </c>
      <c r="P25" s="286"/>
      <c r="Q25" s="286"/>
      <c r="R25" s="286"/>
      <c r="S25" s="286"/>
      <c r="T25" s="286"/>
      <c r="U25" s="286"/>
      <c r="AF25" s="286" t="s">
        <v>457</v>
      </c>
      <c r="AG25" s="286"/>
      <c r="AH25" s="286"/>
      <c r="AI25" s="286"/>
      <c r="AJ25" s="286"/>
      <c r="AK25" s="286"/>
      <c r="AL25" s="286"/>
      <c r="AX25" s="286" t="s">
        <v>461</v>
      </c>
      <c r="AY25" s="286"/>
      <c r="AZ25" s="286"/>
      <c r="BA25" s="286"/>
      <c r="BB25" s="286"/>
      <c r="BC25" s="286"/>
      <c r="BD25" s="286"/>
    </row>
    <row r="26" spans="7:56" ht="16" x14ac:dyDescent="0.2">
      <c r="G26" s="75" t="s">
        <v>50</v>
      </c>
      <c r="H26" s="282"/>
      <c r="I26" s="137" t="s">
        <v>50</v>
      </c>
      <c r="O26" s="13" t="s">
        <v>268</v>
      </c>
      <c r="P26" s="13" t="s">
        <v>270</v>
      </c>
      <c r="Q26" s="13" t="s">
        <v>239</v>
      </c>
      <c r="R26" s="13" t="s">
        <v>239</v>
      </c>
      <c r="S26" s="13" t="s">
        <v>239</v>
      </c>
      <c r="T26" s="106" t="s">
        <v>326</v>
      </c>
      <c r="U26" s="13" t="s">
        <v>320</v>
      </c>
      <c r="AF26" s="13" t="s">
        <v>293</v>
      </c>
      <c r="AG26" s="13" t="s">
        <v>270</v>
      </c>
      <c r="AH26" s="13" t="s">
        <v>239</v>
      </c>
      <c r="AI26" s="13" t="s">
        <v>38</v>
      </c>
      <c r="AJ26" s="13" t="s">
        <v>239</v>
      </c>
      <c r="AK26" s="106" t="s">
        <v>326</v>
      </c>
      <c r="AL26" s="13" t="s">
        <v>320</v>
      </c>
      <c r="AX26" s="13" t="s">
        <v>268</v>
      </c>
      <c r="AY26" s="13" t="s">
        <v>270</v>
      </c>
      <c r="AZ26" s="13" t="s">
        <v>239</v>
      </c>
      <c r="BA26" s="13" t="s">
        <v>239</v>
      </c>
      <c r="BB26" s="13" t="s">
        <v>239</v>
      </c>
      <c r="BC26" s="106" t="s">
        <v>326</v>
      </c>
      <c r="BD26" s="13" t="s">
        <v>320</v>
      </c>
    </row>
    <row r="27" spans="7:56" ht="18" thickBot="1" x14ac:dyDescent="0.3">
      <c r="G27" s="102">
        <f>$U$35+$N$42-$AF$42</f>
        <v>93450.296319059766</v>
      </c>
      <c r="H27" s="140" t="s">
        <v>353</v>
      </c>
      <c r="I27" s="137">
        <f>(($Y$46*($AE$46-0))/$U$35)</f>
        <v>0.71020207646031153</v>
      </c>
      <c r="O27" s="13" t="s">
        <v>102</v>
      </c>
      <c r="P27" s="13" t="s">
        <v>102</v>
      </c>
      <c r="Q27" s="13" t="s">
        <v>235</v>
      </c>
      <c r="R27" s="13" t="s">
        <v>238</v>
      </c>
      <c r="S27" s="13" t="s">
        <v>50</v>
      </c>
      <c r="T27" s="34" t="s">
        <v>102</v>
      </c>
      <c r="U27" s="13" t="s">
        <v>50</v>
      </c>
      <c r="AF27" s="13" t="s">
        <v>102</v>
      </c>
      <c r="AG27" s="13" t="s">
        <v>102</v>
      </c>
      <c r="AH27" s="13" t="s">
        <v>241</v>
      </c>
      <c r="AI27" s="13" t="s">
        <v>240</v>
      </c>
      <c r="AJ27" s="13" t="s">
        <v>50</v>
      </c>
      <c r="AK27" s="34" t="s">
        <v>102</v>
      </c>
      <c r="AL27" s="13" t="s">
        <v>50</v>
      </c>
      <c r="AX27" s="13" t="s">
        <v>102</v>
      </c>
      <c r="AY27" s="13" t="s">
        <v>102</v>
      </c>
      <c r="AZ27" s="13" t="s">
        <v>235</v>
      </c>
      <c r="BA27" s="13" t="s">
        <v>238</v>
      </c>
      <c r="BB27" s="13" t="s">
        <v>50</v>
      </c>
      <c r="BC27" s="34" t="s">
        <v>102</v>
      </c>
      <c r="BD27" s="13" t="s">
        <v>50</v>
      </c>
    </row>
    <row r="28" spans="7:56" x14ac:dyDescent="0.2">
      <c r="G28" s="4"/>
      <c r="H28" s="140" t="s">
        <v>354</v>
      </c>
      <c r="I28" s="137">
        <f>$AF$42/($U$35)</f>
        <v>1.1688963753547168</v>
      </c>
      <c r="O28" s="13" t="s">
        <v>282</v>
      </c>
      <c r="P28" s="61" t="s">
        <v>256</v>
      </c>
      <c r="Q28" s="61">
        <f>22700+23200+793+793+2420</f>
        <v>49906</v>
      </c>
      <c r="R28" s="61">
        <f t="shared" ref="R28:R34" si="0">Q28*Btu_to_kJ</f>
        <v>52653.824360000006</v>
      </c>
      <c r="S28" s="61">
        <f>R28*($V$52/1000)</f>
        <v>53273.426448026592</v>
      </c>
      <c r="T28" s="3">
        <v>1.06</v>
      </c>
      <c r="U28" s="13">
        <f>S28*T28</f>
        <v>56469.832034908191</v>
      </c>
      <c r="AF28" s="13" t="s">
        <v>269</v>
      </c>
      <c r="AG28" s="13" t="s">
        <v>297</v>
      </c>
      <c r="AH28" s="13">
        <v>700</v>
      </c>
      <c r="AI28" s="13">
        <v>861</v>
      </c>
      <c r="AJ28" s="61">
        <f>AH28*AI28*(V52/1000)</f>
        <v>609792.2517593482</v>
      </c>
      <c r="AK28" s="34">
        <v>1</v>
      </c>
      <c r="AL28" s="13">
        <f>AJ28*AK28</f>
        <v>609792.2517593482</v>
      </c>
      <c r="AX28" s="13" t="s">
        <v>269</v>
      </c>
      <c r="AY28" s="13" t="s">
        <v>298</v>
      </c>
      <c r="AZ28" s="13">
        <v>3870</v>
      </c>
      <c r="BA28" s="13">
        <f t="shared" ref="BA28:BA34" si="1">AZ28*Btu_to_kJ</f>
        <v>4083.0822000000003</v>
      </c>
      <c r="BB28" s="61">
        <f t="shared" ref="BB28:BB34" si="2">BA28*($AN$52/1000)</f>
        <v>4131.1297309714846</v>
      </c>
      <c r="BC28" s="13">
        <v>1</v>
      </c>
      <c r="BD28" s="13">
        <f>BB28*BC28</f>
        <v>4131.1297309714846</v>
      </c>
    </row>
    <row r="29" spans="7:56" ht="16" thickBot="1" x14ac:dyDescent="0.25">
      <c r="G29" s="4"/>
      <c r="H29" s="141" t="s">
        <v>355</v>
      </c>
      <c r="I29" s="138">
        <f>$AF$46/($U$35)</f>
        <v>0.98147717979234761</v>
      </c>
      <c r="O29" s="13" t="s">
        <v>282</v>
      </c>
      <c r="P29" s="61" t="s">
        <v>276</v>
      </c>
      <c r="Q29" s="61">
        <v>19100</v>
      </c>
      <c r="R29" s="61">
        <f t="shared" si="0"/>
        <v>20151.646000000001</v>
      </c>
      <c r="S29" s="61">
        <f t="shared" ref="S29:S34" si="3">R29*($V$52/1000)</f>
        <v>20388.779809187428</v>
      </c>
      <c r="T29" s="107">
        <v>1.06</v>
      </c>
      <c r="U29" s="13">
        <f t="shared" ref="U29:U34" si="4">S29*T29</f>
        <v>21612.106597738675</v>
      </c>
      <c r="AX29" s="13" t="s">
        <v>269</v>
      </c>
      <c r="AY29" s="13" t="s">
        <v>299</v>
      </c>
      <c r="AZ29" s="13">
        <f>2580+1940+1550</f>
        <v>6070</v>
      </c>
      <c r="BA29" s="13">
        <f t="shared" si="1"/>
        <v>6404.2142000000003</v>
      </c>
      <c r="BB29" s="61">
        <f t="shared" si="2"/>
        <v>6479.5755728674185</v>
      </c>
      <c r="BC29" s="13">
        <v>1</v>
      </c>
      <c r="BD29" s="13">
        <f t="shared" ref="BD29:BD34" si="5">BB29*BC29</f>
        <v>6479.5755728674185</v>
      </c>
    </row>
    <row r="30" spans="7:56" x14ac:dyDescent="0.2">
      <c r="O30" s="13" t="s">
        <v>282</v>
      </c>
      <c r="P30" s="61" t="s">
        <v>257</v>
      </c>
      <c r="Q30" s="61">
        <v>5800</v>
      </c>
      <c r="R30" s="61">
        <f t="shared" si="0"/>
        <v>6119.3480000000009</v>
      </c>
      <c r="S30" s="61">
        <f t="shared" si="3"/>
        <v>6191.3572195438273</v>
      </c>
      <c r="T30" s="107">
        <v>1.06</v>
      </c>
      <c r="U30" s="13">
        <f t="shared" si="4"/>
        <v>6562.8386527164575</v>
      </c>
      <c r="AX30" s="13" t="s">
        <v>269</v>
      </c>
      <c r="AY30" s="13" t="s">
        <v>300</v>
      </c>
      <c r="AZ30" s="13">
        <v>1550</v>
      </c>
      <c r="BA30" s="13">
        <f t="shared" si="1"/>
        <v>1635.3430000000001</v>
      </c>
      <c r="BB30" s="61">
        <f t="shared" si="2"/>
        <v>1654.5868431539536</v>
      </c>
      <c r="BC30" s="13">
        <v>1</v>
      </c>
      <c r="BD30" s="13">
        <f t="shared" si="5"/>
        <v>1654.5868431539536</v>
      </c>
    </row>
    <row r="31" spans="7:56" x14ac:dyDescent="0.2">
      <c r="O31" s="13" t="s">
        <v>282</v>
      </c>
      <c r="P31" s="61" t="s">
        <v>294</v>
      </c>
      <c r="Q31" s="61">
        <v>5530</v>
      </c>
      <c r="R31" s="61">
        <f t="shared" si="0"/>
        <v>5834.4818000000005</v>
      </c>
      <c r="S31" s="61">
        <f t="shared" si="3"/>
        <v>5903.1388662202344</v>
      </c>
      <c r="T31" s="107">
        <v>1.06</v>
      </c>
      <c r="U31" s="13">
        <f t="shared" si="4"/>
        <v>6257.3271981934486</v>
      </c>
      <c r="AX31" s="13" t="s">
        <v>269</v>
      </c>
      <c r="AY31" s="13" t="s">
        <v>253</v>
      </c>
      <c r="AZ31" s="13">
        <v>205</v>
      </c>
      <c r="BA31" s="13">
        <f t="shared" si="1"/>
        <v>216.28730000000002</v>
      </c>
      <c r="BB31" s="61">
        <f t="shared" si="2"/>
        <v>218.83245344939388</v>
      </c>
      <c r="BC31" s="13">
        <v>1</v>
      </c>
      <c r="BD31" s="13">
        <f t="shared" si="5"/>
        <v>218.83245344939388</v>
      </c>
    </row>
    <row r="32" spans="7:56" x14ac:dyDescent="0.2">
      <c r="O32" s="13" t="s">
        <v>282</v>
      </c>
      <c r="P32" s="61" t="s">
        <v>295</v>
      </c>
      <c r="Q32" s="61">
        <v>213</v>
      </c>
      <c r="R32" s="61">
        <f t="shared" si="0"/>
        <v>224.72778000000002</v>
      </c>
      <c r="S32" s="61">
        <f t="shared" si="3"/>
        <v>227.37225651083364</v>
      </c>
      <c r="T32" s="107">
        <v>1.06</v>
      </c>
      <c r="U32" s="13">
        <f t="shared" si="4"/>
        <v>241.01459190148367</v>
      </c>
      <c r="AX32" s="13" t="s">
        <v>269</v>
      </c>
      <c r="AY32" s="13" t="s">
        <v>301</v>
      </c>
      <c r="AZ32" s="13">
        <v>76</v>
      </c>
      <c r="BA32" s="13">
        <f t="shared" si="1"/>
        <v>80.184560000000005</v>
      </c>
      <c r="BB32" s="61">
        <f t="shared" si="2"/>
        <v>81.128129083677734</v>
      </c>
      <c r="BC32" s="13">
        <v>1</v>
      </c>
      <c r="BD32" s="13">
        <f t="shared" si="5"/>
        <v>81.128129083677734</v>
      </c>
    </row>
    <row r="33" spans="1:69" x14ac:dyDescent="0.2">
      <c r="L33" s="4"/>
      <c r="M33" s="4"/>
      <c r="N33" s="4"/>
      <c r="O33" s="13" t="s">
        <v>282</v>
      </c>
      <c r="P33" s="61" t="s">
        <v>296</v>
      </c>
      <c r="Q33" s="61">
        <v>1200</v>
      </c>
      <c r="R33" s="61">
        <f t="shared" si="0"/>
        <v>1266.0720000000001</v>
      </c>
      <c r="S33" s="61">
        <f t="shared" si="3"/>
        <v>1280.9704592159642</v>
      </c>
      <c r="T33" s="107">
        <v>1.06</v>
      </c>
      <c r="U33" s="13">
        <f t="shared" si="4"/>
        <v>1357.8286867689221</v>
      </c>
      <c r="AX33" s="13" t="s">
        <v>269</v>
      </c>
      <c r="AY33" s="13" t="s">
        <v>302</v>
      </c>
      <c r="AZ33" s="13">
        <v>38</v>
      </c>
      <c r="BA33" s="13">
        <f t="shared" si="1"/>
        <v>40.092280000000002</v>
      </c>
      <c r="BB33" s="61">
        <f t="shared" si="2"/>
        <v>40.564064541838867</v>
      </c>
      <c r="BC33" s="13">
        <v>1</v>
      </c>
      <c r="BD33" s="13">
        <f t="shared" si="5"/>
        <v>40.564064541838867</v>
      </c>
    </row>
    <row r="34" spans="1:69" x14ac:dyDescent="0.2">
      <c r="O34" s="13" t="s">
        <v>282</v>
      </c>
      <c r="P34" s="61" t="s">
        <v>280</v>
      </c>
      <c r="Q34" s="61">
        <v>839</v>
      </c>
      <c r="R34" s="61">
        <f t="shared" si="0"/>
        <v>885.1953400000001</v>
      </c>
      <c r="S34" s="61">
        <f t="shared" si="3"/>
        <v>895.61184606849497</v>
      </c>
      <c r="T34" s="107">
        <v>1.06</v>
      </c>
      <c r="U34" s="13">
        <f t="shared" si="4"/>
        <v>949.34855683260469</v>
      </c>
      <c r="AX34" s="13" t="s">
        <v>269</v>
      </c>
      <c r="AY34" s="13" t="s">
        <v>303</v>
      </c>
      <c r="AZ34" s="13">
        <v>19</v>
      </c>
      <c r="BA34" s="13">
        <f t="shared" si="1"/>
        <v>20.046140000000001</v>
      </c>
      <c r="BB34" s="61">
        <f t="shared" si="2"/>
        <v>20.282032270919434</v>
      </c>
      <c r="BC34" s="13">
        <v>1</v>
      </c>
      <c r="BD34" s="13">
        <f t="shared" si="5"/>
        <v>20.282032270919434</v>
      </c>
    </row>
    <row r="35" spans="1:69" x14ac:dyDescent="0.2">
      <c r="O35" s="13"/>
      <c r="P35" s="61" t="s">
        <v>20</v>
      </c>
      <c r="Q35" s="13">
        <f>SUM(Q28:Q34)</f>
        <v>82588</v>
      </c>
      <c r="R35" s="13">
        <f>SUM(R28:R34)</f>
        <v>87135.295280000006</v>
      </c>
      <c r="S35" s="13">
        <f>SUM(S28:S34)</f>
        <v>88160.656904773379</v>
      </c>
      <c r="T35" s="34"/>
      <c r="U35" s="13">
        <f>SUM(U28:U34)</f>
        <v>93450.29631905978</v>
      </c>
      <c r="AX35" s="13"/>
      <c r="AY35" s="13" t="s">
        <v>20</v>
      </c>
      <c r="AZ35" s="13">
        <f>SUM(AY28:AY34)</f>
        <v>0</v>
      </c>
      <c r="BA35" s="13">
        <f>SUM(AZ28:AZ34)</f>
        <v>11828</v>
      </c>
      <c r="BB35" s="13">
        <f>SUM(BA28:BA34)</f>
        <v>12479.249680000003</v>
      </c>
      <c r="BC35" s="13"/>
      <c r="BD35" s="13">
        <f>SUM(BD28:BD34)</f>
        <v>12626.098826338684</v>
      </c>
    </row>
    <row r="36" spans="1:69" x14ac:dyDescent="0.2">
      <c r="Q36" s="3" t="s">
        <v>323</v>
      </c>
      <c r="R36" s="3" t="s">
        <v>324</v>
      </c>
    </row>
    <row r="39" spans="1:69" ht="16" thickBot="1" x14ac:dyDescent="0.25"/>
    <row r="40" spans="1:69" x14ac:dyDescent="0.2">
      <c r="M40" s="63" t="s">
        <v>1</v>
      </c>
      <c r="N40" s="58" t="s">
        <v>0</v>
      </c>
      <c r="AE40" s="63" t="s">
        <v>1</v>
      </c>
      <c r="AF40" s="58" t="s">
        <v>0</v>
      </c>
      <c r="AW40" s="63" t="s">
        <v>1</v>
      </c>
      <c r="AX40" s="58" t="s">
        <v>0</v>
      </c>
      <c r="BO40" s="63" t="s">
        <v>1</v>
      </c>
      <c r="BP40" s="58" t="s">
        <v>0</v>
      </c>
    </row>
    <row r="41" spans="1:69" ht="18" x14ac:dyDescent="0.25">
      <c r="C41" s="4"/>
      <c r="D41" s="4"/>
      <c r="G41" s="4"/>
      <c r="H41" s="376" t="s">
        <v>441</v>
      </c>
      <c r="I41" s="376"/>
      <c r="J41" s="376"/>
      <c r="K41" s="4"/>
      <c r="L41" s="4"/>
      <c r="M41" s="65" t="s">
        <v>93</v>
      </c>
      <c r="N41" s="64" t="s">
        <v>97</v>
      </c>
      <c r="O41" s="4"/>
      <c r="P41" s="4"/>
      <c r="Q41" s="4" t="s">
        <v>179</v>
      </c>
      <c r="R41" s="4"/>
      <c r="S41" s="4"/>
      <c r="T41" s="4"/>
      <c r="U41" s="4"/>
      <c r="V41" s="4"/>
      <c r="Y41" s="4"/>
      <c r="Z41" s="4"/>
      <c r="AA41" s="4"/>
      <c r="AB41" s="4"/>
      <c r="AC41" s="4"/>
      <c r="AD41" s="4"/>
      <c r="AE41" s="65" t="s">
        <v>93</v>
      </c>
      <c r="AF41" s="64" t="s">
        <v>97</v>
      </c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65" t="s">
        <v>93</v>
      </c>
      <c r="AX41" s="64" t="s">
        <v>97</v>
      </c>
      <c r="AY41" s="4"/>
      <c r="BO41" s="65" t="s">
        <v>93</v>
      </c>
      <c r="BP41" s="64" t="s">
        <v>97</v>
      </c>
    </row>
    <row r="42" spans="1:69" ht="16" customHeight="1" thickBot="1" x14ac:dyDescent="0.25">
      <c r="C42" s="4"/>
      <c r="D42" s="4"/>
      <c r="E42" s="4"/>
      <c r="F42" s="4"/>
      <c r="G42" s="4"/>
      <c r="H42" s="376"/>
      <c r="I42" s="376"/>
      <c r="J42" s="376"/>
      <c r="K42" s="4"/>
      <c r="L42" s="4"/>
      <c r="M42" s="50">
        <f>D52</f>
        <v>1011.7674660019052</v>
      </c>
      <c r="N42" s="48">
        <f>N52</f>
        <v>109233.7126431732</v>
      </c>
      <c r="O42" s="291" t="s">
        <v>431</v>
      </c>
      <c r="P42" s="291"/>
      <c r="Q42" s="291"/>
      <c r="R42" s="291"/>
      <c r="S42" s="291"/>
      <c r="T42" s="4"/>
      <c r="U42" s="4"/>
      <c r="V42" s="4"/>
      <c r="W42" s="4"/>
      <c r="X42" s="4"/>
      <c r="Y42" s="4"/>
      <c r="Z42" s="98"/>
      <c r="AA42" s="4"/>
      <c r="AB42" s="4"/>
      <c r="AC42" s="4"/>
      <c r="AD42" s="4"/>
      <c r="AE42" s="50">
        <f>V52</f>
        <v>1011.7674660019052</v>
      </c>
      <c r="AF42" s="48">
        <f>AF52</f>
        <v>109233.7126431732</v>
      </c>
      <c r="AG42" s="291" t="s">
        <v>180</v>
      </c>
      <c r="AH42" s="291"/>
      <c r="AI42" s="291"/>
      <c r="AJ42" s="291"/>
      <c r="AK42" s="291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50">
        <f>AN52</f>
        <v>1011.7674660019052</v>
      </c>
      <c r="AX42" s="48">
        <f>AX52</f>
        <v>109233.7126431732</v>
      </c>
      <c r="AY42" s="291" t="s">
        <v>462</v>
      </c>
      <c r="AZ42" s="291"/>
      <c r="BA42" s="291"/>
      <c r="BB42" s="291"/>
      <c r="BC42" s="291"/>
      <c r="BO42" s="50">
        <f>BF48</f>
        <v>1000.0000000000001</v>
      </c>
      <c r="BP42" s="48">
        <f>BP48</f>
        <v>88965.799815334409</v>
      </c>
    </row>
    <row r="43" spans="1:69" ht="16" customHeight="1" thickBot="1" x14ac:dyDescent="0.25">
      <c r="A43" s="3" t="s">
        <v>440</v>
      </c>
      <c r="C43" s="4"/>
      <c r="D43" s="4"/>
      <c r="E43" s="4"/>
      <c r="F43" s="4"/>
      <c r="G43" s="4"/>
      <c r="H43" s="4"/>
      <c r="I43" s="4"/>
      <c r="J43" s="4"/>
      <c r="K43" s="4"/>
      <c r="O43" s="379"/>
      <c r="P43" s="379"/>
      <c r="Q43" s="379"/>
      <c r="R43" s="379"/>
      <c r="S43" s="379"/>
      <c r="T43" s="4"/>
      <c r="U43" s="4"/>
      <c r="V43" s="4"/>
      <c r="W43" s="4"/>
      <c r="X43" s="4"/>
      <c r="Y43" s="4"/>
      <c r="Z43" s="4"/>
      <c r="AA43" s="4"/>
      <c r="AB43" s="4"/>
      <c r="AC43" s="4"/>
      <c r="AG43" s="291"/>
      <c r="AH43" s="291"/>
      <c r="AI43" s="291"/>
      <c r="AJ43" s="291"/>
      <c r="AK43" s="291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291"/>
      <c r="AZ43" s="291"/>
      <c r="BA43" s="291"/>
      <c r="BB43" s="291"/>
      <c r="BC43" s="291"/>
    </row>
    <row r="44" spans="1:69" ht="19.25" customHeight="1" x14ac:dyDescent="0.25">
      <c r="C44" s="4"/>
      <c r="D44" s="1" t="s">
        <v>135</v>
      </c>
      <c r="E44" s="1" t="s">
        <v>286</v>
      </c>
      <c r="F44" s="1" t="s">
        <v>5</v>
      </c>
      <c r="G44" s="1" t="s">
        <v>134</v>
      </c>
      <c r="H44" s="1" t="s">
        <v>136</v>
      </c>
      <c r="I44" s="1" t="s">
        <v>133</v>
      </c>
      <c r="J44" s="1" t="s">
        <v>9</v>
      </c>
      <c r="K44" s="1" t="s">
        <v>137</v>
      </c>
      <c r="L44" s="1" t="s">
        <v>138</v>
      </c>
      <c r="M44" s="1" t="s">
        <v>139</v>
      </c>
      <c r="N44" s="1" t="s">
        <v>140</v>
      </c>
      <c r="O44" s="22" t="s">
        <v>449</v>
      </c>
      <c r="P44" s="101" t="s">
        <v>521</v>
      </c>
      <c r="Q44" s="193" t="s">
        <v>349</v>
      </c>
      <c r="R44" s="298" t="s">
        <v>356</v>
      </c>
      <c r="S44" s="139" t="s">
        <v>321</v>
      </c>
      <c r="T44" s="4"/>
      <c r="U44" s="4"/>
      <c r="V44" s="1" t="s">
        <v>135</v>
      </c>
      <c r="W44" s="1" t="s">
        <v>286</v>
      </c>
      <c r="X44" s="1" t="s">
        <v>5</v>
      </c>
      <c r="Y44" s="1" t="s">
        <v>134</v>
      </c>
      <c r="Z44" s="1" t="s">
        <v>136</v>
      </c>
      <c r="AA44" s="1" t="s">
        <v>133</v>
      </c>
      <c r="AB44" s="1" t="s">
        <v>9</v>
      </c>
      <c r="AC44" s="1" t="s">
        <v>137</v>
      </c>
      <c r="AD44" s="1" t="s">
        <v>138</v>
      </c>
      <c r="AE44" s="1" t="s">
        <v>139</v>
      </c>
      <c r="AF44" s="1" t="s">
        <v>140</v>
      </c>
      <c r="AG44" s="22" t="s">
        <v>449</v>
      </c>
      <c r="AH44" s="22" t="s">
        <v>521</v>
      </c>
      <c r="AI44" s="162" t="s">
        <v>349</v>
      </c>
      <c r="AJ44" s="281" t="s">
        <v>356</v>
      </c>
      <c r="AK44" s="139" t="s">
        <v>321</v>
      </c>
      <c r="AL44" s="4"/>
      <c r="AM44" s="4"/>
      <c r="AN44" s="1" t="s">
        <v>135</v>
      </c>
      <c r="AO44" s="1" t="s">
        <v>286</v>
      </c>
      <c r="AP44" s="1" t="s">
        <v>5</v>
      </c>
      <c r="AQ44" s="1" t="s">
        <v>134</v>
      </c>
      <c r="AR44" s="1" t="s">
        <v>136</v>
      </c>
      <c r="AS44" s="1" t="s">
        <v>133</v>
      </c>
      <c r="AT44" s="1" t="s">
        <v>9</v>
      </c>
      <c r="AU44" s="1" t="s">
        <v>137</v>
      </c>
      <c r="AV44" s="1" t="s">
        <v>138</v>
      </c>
      <c r="AW44" s="1" t="s">
        <v>139</v>
      </c>
      <c r="AX44" s="1" t="s">
        <v>140</v>
      </c>
      <c r="AY44" s="22" t="s">
        <v>449</v>
      </c>
      <c r="AZ44" s="101" t="s">
        <v>521</v>
      </c>
      <c r="BA44" s="129" t="s">
        <v>349</v>
      </c>
      <c r="BB44" s="281" t="s">
        <v>356</v>
      </c>
      <c r="BC44" s="139" t="s">
        <v>321</v>
      </c>
      <c r="BD44" s="1"/>
      <c r="BE44" s="4"/>
      <c r="BF44" s="3" t="s">
        <v>1</v>
      </c>
      <c r="BG44" s="3" t="s">
        <v>49</v>
      </c>
      <c r="BH44" s="3" t="s">
        <v>5</v>
      </c>
      <c r="BI44" s="3" t="s">
        <v>376</v>
      </c>
      <c r="BJ44" s="1" t="s">
        <v>136</v>
      </c>
      <c r="BK44" s="1" t="s">
        <v>133</v>
      </c>
      <c r="BL44" s="1" t="s">
        <v>9</v>
      </c>
      <c r="BM44" s="1" t="s">
        <v>137</v>
      </c>
      <c r="BN44" s="1" t="s">
        <v>138</v>
      </c>
      <c r="BO44" s="1" t="s">
        <v>139</v>
      </c>
      <c r="BP44" s="1" t="s">
        <v>140</v>
      </c>
      <c r="BQ44" s="1"/>
    </row>
    <row r="45" spans="1:69" ht="18" x14ac:dyDescent="0.25">
      <c r="C45" s="4"/>
      <c r="D45" s="1" t="s">
        <v>92</v>
      </c>
      <c r="E45" s="4" t="s">
        <v>287</v>
      </c>
      <c r="F45" s="1" t="s">
        <v>94</v>
      </c>
      <c r="G45" s="1" t="s">
        <v>90</v>
      </c>
      <c r="H45" s="1" t="s">
        <v>99</v>
      </c>
      <c r="I45" s="1" t="s">
        <v>27</v>
      </c>
      <c r="J45" s="1" t="s">
        <v>102</v>
      </c>
      <c r="K45" s="1" t="s">
        <v>99</v>
      </c>
      <c r="L45" s="1" t="s">
        <v>99</v>
      </c>
      <c r="M45" s="1" t="s">
        <v>98</v>
      </c>
      <c r="N45" s="1" t="s">
        <v>96</v>
      </c>
      <c r="O45" s="214" t="s">
        <v>50</v>
      </c>
      <c r="P45" s="75" t="s">
        <v>50</v>
      </c>
      <c r="Q45" s="194" t="s">
        <v>93</v>
      </c>
      <c r="R45" s="299"/>
      <c r="S45" s="137" t="s">
        <v>86</v>
      </c>
      <c r="T45" s="4"/>
      <c r="U45" s="4"/>
      <c r="V45" s="1" t="s">
        <v>92</v>
      </c>
      <c r="W45" s="4" t="s">
        <v>287</v>
      </c>
      <c r="X45" s="1" t="s">
        <v>94</v>
      </c>
      <c r="Y45" s="1" t="s">
        <v>90</v>
      </c>
      <c r="Z45" s="1" t="s">
        <v>99</v>
      </c>
      <c r="AA45" s="1" t="s">
        <v>27</v>
      </c>
      <c r="AB45" s="1" t="s">
        <v>102</v>
      </c>
      <c r="AC45" s="1" t="s">
        <v>99</v>
      </c>
      <c r="AD45" s="1" t="s">
        <v>99</v>
      </c>
      <c r="AE45" s="1" t="s">
        <v>98</v>
      </c>
      <c r="AF45" s="1" t="s">
        <v>96</v>
      </c>
      <c r="AG45" s="214" t="s">
        <v>50</v>
      </c>
      <c r="AH45" s="9" t="s">
        <v>50</v>
      </c>
      <c r="AI45" s="1" t="s">
        <v>93</v>
      </c>
      <c r="AJ45" s="282"/>
      <c r="AK45" s="137" t="s">
        <v>86</v>
      </c>
      <c r="AL45" s="4"/>
      <c r="AM45" s="4"/>
      <c r="AN45" s="1" t="s">
        <v>92</v>
      </c>
      <c r="AO45" s="4" t="s">
        <v>287</v>
      </c>
      <c r="AP45" s="1" t="s">
        <v>94</v>
      </c>
      <c r="AQ45" s="1" t="s">
        <v>90</v>
      </c>
      <c r="AR45" s="1" t="s">
        <v>99</v>
      </c>
      <c r="AS45" s="1" t="s">
        <v>27</v>
      </c>
      <c r="AT45" s="1" t="s">
        <v>102</v>
      </c>
      <c r="AU45" s="1" t="s">
        <v>99</v>
      </c>
      <c r="AV45" s="1" t="s">
        <v>99</v>
      </c>
      <c r="AW45" s="1" t="s">
        <v>98</v>
      </c>
      <c r="AX45" s="1" t="s">
        <v>96</v>
      </c>
      <c r="AY45" s="214" t="s">
        <v>50</v>
      </c>
      <c r="AZ45" s="9" t="s">
        <v>50</v>
      </c>
      <c r="BA45" s="1" t="s">
        <v>93</v>
      </c>
      <c r="BB45" s="282"/>
      <c r="BC45" s="137" t="s">
        <v>86</v>
      </c>
      <c r="BD45" s="4"/>
      <c r="BE45" s="4" t="s">
        <v>43</v>
      </c>
      <c r="BF45" s="1" t="s">
        <v>92</v>
      </c>
      <c r="BG45" s="4" t="s">
        <v>287</v>
      </c>
      <c r="BH45" s="2" t="s">
        <v>94</v>
      </c>
      <c r="BI45" s="2" t="s">
        <v>90</v>
      </c>
      <c r="BJ45" s="2" t="s">
        <v>99</v>
      </c>
      <c r="BK45" s="2" t="s">
        <v>27</v>
      </c>
      <c r="BL45" s="2" t="s">
        <v>102</v>
      </c>
      <c r="BM45" s="2" t="s">
        <v>99</v>
      </c>
      <c r="BN45" s="2" t="s">
        <v>99</v>
      </c>
      <c r="BO45" s="2" t="s">
        <v>98</v>
      </c>
      <c r="BP45" s="2" t="s">
        <v>96</v>
      </c>
      <c r="BQ45" s="1"/>
    </row>
    <row r="46" spans="1:69" ht="19" thickBot="1" x14ac:dyDescent="0.3">
      <c r="B46" s="385" t="s">
        <v>4</v>
      </c>
      <c r="C46" s="8" t="s">
        <v>16</v>
      </c>
      <c r="D46" s="62">
        <f>V46</f>
        <v>881.06000000000006</v>
      </c>
      <c r="E46" s="62">
        <f>D46/$D$52</f>
        <v>0.87081274068002201</v>
      </c>
      <c r="F46" s="62">
        <f>MW_Fe2O3</f>
        <v>0.1596882</v>
      </c>
      <c r="G46" s="62">
        <f>D46/F46</f>
        <v>5517.3769884061567</v>
      </c>
      <c r="H46" s="62">
        <f>b_ch_Fe2O3</f>
        <v>17.358400000000074</v>
      </c>
      <c r="I46" s="62">
        <f t="shared" ref="I46:I51" si="6">G46/$AQ$52</f>
        <v>0.72360528709446914</v>
      </c>
      <c r="J46" s="62">
        <f>LN(I46)</f>
        <v>-0.3235092188341952</v>
      </c>
      <c r="K46" s="62">
        <f t="shared" ref="K46:K51" si="7">RT0*J46</f>
        <v>-0.73467943953759529</v>
      </c>
      <c r="L46" s="62">
        <f>K46+H46</f>
        <v>16.62372056046248</v>
      </c>
      <c r="M46" s="62">
        <f>I46*L46</f>
        <v>12.029012088731683</v>
      </c>
      <c r="N46" s="62">
        <f t="shared" ref="N46:N51" si="8">M46*$AQ$52</f>
        <v>91719.333281989995</v>
      </c>
      <c r="O46" s="105">
        <f>0</f>
        <v>0</v>
      </c>
      <c r="P46" s="102">
        <v>1848355.14</v>
      </c>
      <c r="Q46" s="195">
        <f>AE42-M42</f>
        <v>0</v>
      </c>
      <c r="R46" s="192" t="s">
        <v>353</v>
      </c>
      <c r="S46" s="137">
        <f>(($Y$46*($AE$46-$M$46))/$U$35)</f>
        <v>0</v>
      </c>
      <c r="T46" s="385" t="s">
        <v>4</v>
      </c>
      <c r="U46" s="8" t="s">
        <v>16</v>
      </c>
      <c r="V46" s="62">
        <f>AN46</f>
        <v>881.06000000000006</v>
      </c>
      <c r="W46" s="62">
        <f t="shared" ref="W46:W51" si="9">V46/$AN$52</f>
        <v>0.87081274068002201</v>
      </c>
      <c r="X46" s="62">
        <f>MW_Fe2O3</f>
        <v>0.1596882</v>
      </c>
      <c r="Y46" s="62">
        <f>V46/X46</f>
        <v>5517.3769884061567</v>
      </c>
      <c r="Z46" s="62">
        <f>b_ch_Fe2O3</f>
        <v>17.358400000000074</v>
      </c>
      <c r="AA46" s="62">
        <f t="shared" ref="AA46:AA51" si="10">Y46/$AQ$52</f>
        <v>0.72360528709446914</v>
      </c>
      <c r="AB46" s="62">
        <f>LN(AA46)</f>
        <v>-0.3235092188341952</v>
      </c>
      <c r="AC46" s="62">
        <f t="shared" ref="AC46:AC51" si="11">RT0*AB46</f>
        <v>-0.73467943953759529</v>
      </c>
      <c r="AD46" s="62">
        <f>AC46+Z46</f>
        <v>16.62372056046248</v>
      </c>
      <c r="AE46" s="62">
        <f>AA46*AD46</f>
        <v>12.029012088731683</v>
      </c>
      <c r="AF46" s="62">
        <f t="shared" ref="AF46:AF51" si="12">AE46*$AQ$52</f>
        <v>91719.333281989995</v>
      </c>
      <c r="AG46" s="105">
        <f>0</f>
        <v>0</v>
      </c>
      <c r="AH46" s="100">
        <f>(AF42+AL28)-AX42</f>
        <v>609792.2517593482</v>
      </c>
      <c r="AI46" s="142">
        <f>AW42-AE42</f>
        <v>0</v>
      </c>
      <c r="AJ46" s="140" t="s">
        <v>353</v>
      </c>
      <c r="AK46" s="137">
        <f>((AQ46*(AW46-AE46))/AL28)</f>
        <v>0</v>
      </c>
      <c r="AL46" s="385" t="s">
        <v>4</v>
      </c>
      <c r="AM46" s="8" t="s">
        <v>16</v>
      </c>
      <c r="AN46" s="62">
        <f>BF46</f>
        <v>881.06000000000006</v>
      </c>
      <c r="AO46" s="62">
        <f t="shared" ref="AO46:AO51" si="13">AN46/$AN$52</f>
        <v>0.87081274068002201</v>
      </c>
      <c r="AP46" s="62">
        <f>MW_Fe2O3</f>
        <v>0.1596882</v>
      </c>
      <c r="AQ46" s="62">
        <f>AN46/AP46</f>
        <v>5517.3769884061567</v>
      </c>
      <c r="AR46" s="62">
        <f>b_ch_Fe2O3</f>
        <v>17.358400000000074</v>
      </c>
      <c r="AS46" s="62">
        <f t="shared" ref="AS46:AS51" si="14">AQ46/$AQ$52</f>
        <v>0.72360528709446914</v>
      </c>
      <c r="AT46" s="62">
        <f>LN(AS46)</f>
        <v>-0.3235092188341952</v>
      </c>
      <c r="AU46" s="62">
        <f t="shared" ref="AU46:AU51" si="15">RT0*AT46</f>
        <v>-0.73467943953759529</v>
      </c>
      <c r="AV46" s="62">
        <f>AU46+AR46</f>
        <v>16.62372056046248</v>
      </c>
      <c r="AW46" s="62">
        <f>AS46*AV46</f>
        <v>12.029012088731683</v>
      </c>
      <c r="AX46" s="62">
        <f t="shared" ref="AX46:AX51" si="16">AW46*$AQ$52</f>
        <v>91719.333281989995</v>
      </c>
      <c r="AY46" s="105">
        <f>BP55</f>
        <v>21743.416787545681</v>
      </c>
      <c r="AZ46" s="105">
        <f>AX42+BD35-BP42-BP55</f>
        <v>11150.594866631796</v>
      </c>
      <c r="BA46" s="13">
        <f>BO42+BO55-AW42</f>
        <v>0</v>
      </c>
      <c r="BB46" s="140" t="s">
        <v>353</v>
      </c>
      <c r="BC46" s="137">
        <f>((BI46*(BO46-AW46))/BD35)</f>
        <v>0.10204303400670409</v>
      </c>
      <c r="BD46" s="385" t="s">
        <v>4</v>
      </c>
      <c r="BE46" s="1" t="s">
        <v>16</v>
      </c>
      <c r="BF46" s="17">
        <f>DP118</f>
        <v>881.06000000000006</v>
      </c>
      <c r="BG46" s="17">
        <f>BF46/$BF$48</f>
        <v>0.88105999999999995</v>
      </c>
      <c r="BH46" s="3">
        <f>MW_Fe2O3</f>
        <v>0.1596882</v>
      </c>
      <c r="BI46" s="3">
        <f>BF46/BH46</f>
        <v>5517.3769884061567</v>
      </c>
      <c r="BJ46" s="3">
        <f>b_ch_Fe2O3</f>
        <v>17.358400000000074</v>
      </c>
      <c r="BK46" s="3">
        <f>BI46/$BI$48</f>
        <v>0.73595160775903645</v>
      </c>
      <c r="BL46" s="3">
        <f>LN(BK46)</f>
        <v>-0.30659091274230449</v>
      </c>
      <c r="BM46" s="3">
        <f>RT0*BL46</f>
        <v>-0.69625848917856969</v>
      </c>
      <c r="BN46" s="3">
        <f>BM46+BJ46</f>
        <v>16.662141510821506</v>
      </c>
      <c r="BO46" s="3">
        <f>BN46*BK46</f>
        <v>12.262529833597668</v>
      </c>
      <c r="BP46" s="3">
        <f>BO46*$BI$48</f>
        <v>91931.316149373568</v>
      </c>
    </row>
    <row r="47" spans="1:69" ht="18" x14ac:dyDescent="0.25">
      <c r="B47" s="385"/>
      <c r="C47" s="1" t="s">
        <v>18</v>
      </c>
      <c r="D47" s="4">
        <f t="shared" ref="D47:D51" si="17">V47</f>
        <v>118.94000000000001</v>
      </c>
      <c r="E47" s="4">
        <f t="shared" ref="E47:E51" si="18">D47/$D$52</f>
        <v>0.11755665604667312</v>
      </c>
      <c r="F47" s="4">
        <f>MW_SIO2</f>
        <v>6.00843E-2</v>
      </c>
      <c r="G47" s="4">
        <f t="shared" ref="G47:G51" si="19">D47/F47</f>
        <v>1979.5520626852608</v>
      </c>
      <c r="H47" s="4">
        <f>b_ch_SiO2</f>
        <v>1.5260000000000673</v>
      </c>
      <c r="I47" s="4">
        <f t="shared" si="6"/>
        <v>0.25961871767105915</v>
      </c>
      <c r="J47" s="4">
        <f t="shared" ref="J47:J51" si="20">LN(I47)</f>
        <v>-1.3485411947827832</v>
      </c>
      <c r="K47" s="4">
        <f t="shared" si="7"/>
        <v>-3.0624953834287818</v>
      </c>
      <c r="L47" s="4">
        <f t="shared" ref="L47:L51" si="21">K47+H47</f>
        <v>-1.5364953834287145</v>
      </c>
      <c r="M47" s="4">
        <f t="shared" ref="M47:M51" si="22">I47*L47</f>
        <v>-0.39890296115326523</v>
      </c>
      <c r="N47" s="4">
        <f t="shared" si="8"/>
        <v>-3041.5726055726927</v>
      </c>
      <c r="P47" s="4"/>
      <c r="Q47" s="4"/>
      <c r="R47" s="140" t="s">
        <v>354</v>
      </c>
      <c r="S47" s="137">
        <f>$AF$42/($U$35+$N$42)</f>
        <v>0.53893601770787558</v>
      </c>
      <c r="T47" s="385"/>
      <c r="U47" s="1" t="s">
        <v>18</v>
      </c>
      <c r="V47" s="4">
        <f>AN47</f>
        <v>118.94000000000001</v>
      </c>
      <c r="W47" s="4">
        <f t="shared" si="9"/>
        <v>0.11755665604667312</v>
      </c>
      <c r="X47" s="4">
        <f>MW_SIO2</f>
        <v>6.00843E-2</v>
      </c>
      <c r="Y47" s="4">
        <f t="shared" ref="Y47:Y51" si="23">V47/X47</f>
        <v>1979.5520626852608</v>
      </c>
      <c r="Z47" s="4">
        <f>b_ch_SiO2</f>
        <v>1.5260000000000673</v>
      </c>
      <c r="AA47" s="4">
        <f t="shared" si="10"/>
        <v>0.25961871767105915</v>
      </c>
      <c r="AB47" s="4">
        <f t="shared" ref="AB47:AB51" si="24">LN(AA47)</f>
        <v>-1.3485411947827832</v>
      </c>
      <c r="AC47" s="4">
        <f t="shared" si="11"/>
        <v>-3.0624953834287818</v>
      </c>
      <c r="AD47" s="4">
        <f t="shared" ref="AD47:AD51" si="25">AC47+Z47</f>
        <v>-1.5364953834287145</v>
      </c>
      <c r="AE47" s="4">
        <f t="shared" ref="AE47:AE51" si="26">AA47*AD47</f>
        <v>-0.39890296115326523</v>
      </c>
      <c r="AF47" s="4">
        <f t="shared" si="12"/>
        <v>-3041.5726055726927</v>
      </c>
      <c r="AG47" s="4"/>
      <c r="AH47" s="4"/>
      <c r="AI47" s="4"/>
      <c r="AJ47" s="140" t="s">
        <v>354</v>
      </c>
      <c r="AK47" s="137">
        <f>AX42/(AL28+AF42)</f>
        <v>0.15191900995389168</v>
      </c>
      <c r="AL47" s="385"/>
      <c r="AM47" s="1" t="s">
        <v>18</v>
      </c>
      <c r="AN47" s="4">
        <f>BF47</f>
        <v>118.94000000000001</v>
      </c>
      <c r="AO47" s="4">
        <f t="shared" si="13"/>
        <v>0.11755665604667312</v>
      </c>
      <c r="AP47" s="4">
        <f>MW_SIO2</f>
        <v>6.00843E-2</v>
      </c>
      <c r="AQ47" s="4">
        <f t="shared" ref="AQ47:AQ51" si="27">AN47/AP47</f>
        <v>1979.5520626852608</v>
      </c>
      <c r="AR47" s="4">
        <f>b_ch_SiO2</f>
        <v>1.5260000000000673</v>
      </c>
      <c r="AS47" s="4">
        <f t="shared" si="14"/>
        <v>0.25961871767105915</v>
      </c>
      <c r="AT47" s="4">
        <f t="shared" ref="AT47:AT51" si="28">LN(AS47)</f>
        <v>-1.3485411947827832</v>
      </c>
      <c r="AU47" s="4">
        <f t="shared" si="15"/>
        <v>-3.0624953834287818</v>
      </c>
      <c r="AV47" s="4">
        <f t="shared" ref="AV47:AV51" si="29">AU47+AR47</f>
        <v>-1.5364953834287145</v>
      </c>
      <c r="AW47" s="4">
        <f t="shared" ref="AW47:AW51" si="30">AS47*AV47</f>
        <v>-0.39890296115326523</v>
      </c>
      <c r="AX47" s="4">
        <f t="shared" si="16"/>
        <v>-3041.5726055726927</v>
      </c>
      <c r="AY47" s="4"/>
      <c r="BB47" s="140" t="s">
        <v>354</v>
      </c>
      <c r="BC47" s="137">
        <f>(BP42+BP55)/(BD35+AX42)</f>
        <v>0.9084965360427989</v>
      </c>
      <c r="BD47" s="385"/>
      <c r="BE47" s="1" t="s">
        <v>18</v>
      </c>
      <c r="BF47" s="28">
        <f>DP119</f>
        <v>118.94000000000001</v>
      </c>
      <c r="BG47" s="28">
        <f>BF47/$BF$48</f>
        <v>0.11894</v>
      </c>
      <c r="BH47" s="28">
        <f>MW_SIO2</f>
        <v>6.00843E-2</v>
      </c>
      <c r="BI47" s="28">
        <f>BF47/BH47</f>
        <v>1979.5520626852608</v>
      </c>
      <c r="BJ47" s="28">
        <f>b_ch_SiO2</f>
        <v>1.5260000000000673</v>
      </c>
      <c r="BK47" s="28">
        <f>BI47/$BI$48</f>
        <v>0.26404839224096349</v>
      </c>
      <c r="BL47" s="28">
        <f>LN(BK47)</f>
        <v>-1.3316228886908923</v>
      </c>
      <c r="BM47" s="28">
        <f>RT0*BL47</f>
        <v>-3.0240744330697558</v>
      </c>
      <c r="BN47" s="28">
        <f>BM47+BJ47</f>
        <v>-1.4980744330696885</v>
      </c>
      <c r="BO47" s="28">
        <f>BN47*BK47</f>
        <v>-0.3955641455093441</v>
      </c>
      <c r="BP47" s="28">
        <f>BO47*$BI$48</f>
        <v>-2965.5163340391546</v>
      </c>
    </row>
    <row r="48" spans="1:69" ht="18" thickBot="1" x14ac:dyDescent="0.3">
      <c r="B48" s="348" t="s">
        <v>436</v>
      </c>
      <c r="C48" s="4" t="s">
        <v>319</v>
      </c>
      <c r="D48" s="4">
        <f t="shared" si="17"/>
        <v>1.249958452402667</v>
      </c>
      <c r="E48" s="4">
        <f t="shared" si="18"/>
        <v>1.2354206815346574E-3</v>
      </c>
      <c r="F48" s="4">
        <f>MW_K2O</f>
        <v>9.4196000000000002E-2</v>
      </c>
      <c r="G48" s="4">
        <f t="shared" si="19"/>
        <v>13.269761480345949</v>
      </c>
      <c r="H48" s="4">
        <f>b_ch_K2O</f>
        <v>412.83199999999999</v>
      </c>
      <c r="I48" s="4">
        <f t="shared" si="6"/>
        <v>1.7403323328889792E-3</v>
      </c>
      <c r="J48" s="4">
        <f t="shared" si="20"/>
        <v>-6.35367918807989</v>
      </c>
      <c r="K48" s="4">
        <f t="shared" si="7"/>
        <v>-14.429009107442518</v>
      </c>
      <c r="L48" s="4">
        <f t="shared" si="21"/>
        <v>398.40299089255745</v>
      </c>
      <c r="M48" s="4">
        <f t="shared" si="22"/>
        <v>0.69335360656999123</v>
      </c>
      <c r="N48" s="4">
        <f t="shared" si="8"/>
        <v>5286.7126622006763</v>
      </c>
      <c r="P48" s="4"/>
      <c r="Q48" s="4"/>
      <c r="R48" s="141" t="s">
        <v>421</v>
      </c>
      <c r="S48" s="138">
        <f>$AF$46/($U$35+$N$42)</f>
        <v>0.45252377704390323</v>
      </c>
      <c r="T48" s="348" t="s">
        <v>436</v>
      </c>
      <c r="U48" s="4" t="s">
        <v>319</v>
      </c>
      <c r="V48" s="4">
        <v>1.249958452402667</v>
      </c>
      <c r="W48" s="4">
        <f t="shared" si="9"/>
        <v>1.2354206815346574E-3</v>
      </c>
      <c r="X48" s="4">
        <f>MW_K2O</f>
        <v>9.4196000000000002E-2</v>
      </c>
      <c r="Y48" s="4">
        <f t="shared" si="23"/>
        <v>13.269761480345949</v>
      </c>
      <c r="Z48" s="4">
        <f>b_ch_K2O</f>
        <v>412.83199999999999</v>
      </c>
      <c r="AA48" s="4">
        <f t="shared" si="10"/>
        <v>1.7403323328889792E-3</v>
      </c>
      <c r="AB48" s="4">
        <f t="shared" si="24"/>
        <v>-6.35367918807989</v>
      </c>
      <c r="AC48" s="4">
        <f t="shared" si="11"/>
        <v>-14.429009107442518</v>
      </c>
      <c r="AD48" s="4">
        <f t="shared" si="25"/>
        <v>398.40299089255745</v>
      </c>
      <c r="AE48" s="4">
        <f t="shared" si="26"/>
        <v>0.69335360656999123</v>
      </c>
      <c r="AF48" s="4">
        <f t="shared" si="12"/>
        <v>5286.7126622006763</v>
      </c>
      <c r="AG48" s="4"/>
      <c r="AH48" s="4"/>
      <c r="AI48" s="4"/>
      <c r="AJ48" s="141" t="s">
        <v>421</v>
      </c>
      <c r="AK48" s="138">
        <f>AX46/(AL28+AF42)</f>
        <v>0.12756053024900801</v>
      </c>
      <c r="AL48" s="348" t="s">
        <v>436</v>
      </c>
      <c r="AM48" s="4" t="s">
        <v>319</v>
      </c>
      <c r="AN48" s="4">
        <f>V48</f>
        <v>1.249958452402667</v>
      </c>
      <c r="AO48" s="4">
        <f t="shared" si="13"/>
        <v>1.2354206815346574E-3</v>
      </c>
      <c r="AP48" s="4">
        <f>MW_K2O</f>
        <v>9.4196000000000002E-2</v>
      </c>
      <c r="AQ48" s="4">
        <f t="shared" si="27"/>
        <v>13.269761480345949</v>
      </c>
      <c r="AR48" s="4">
        <f>b_ch_K2O</f>
        <v>412.83199999999999</v>
      </c>
      <c r="AS48" s="4">
        <f t="shared" si="14"/>
        <v>1.7403323328889792E-3</v>
      </c>
      <c r="AT48" s="4">
        <f t="shared" si="28"/>
        <v>-6.35367918807989</v>
      </c>
      <c r="AU48" s="4">
        <f t="shared" si="15"/>
        <v>-14.429009107442518</v>
      </c>
      <c r="AV48" s="4">
        <f t="shared" si="29"/>
        <v>398.40299089255745</v>
      </c>
      <c r="AW48" s="4">
        <f t="shared" si="30"/>
        <v>0.69335360656999123</v>
      </c>
      <c r="AX48" s="4">
        <f t="shared" si="16"/>
        <v>5286.7126622006763</v>
      </c>
      <c r="AY48" s="4"/>
      <c r="BB48" s="141" t="s">
        <v>421</v>
      </c>
      <c r="BC48" s="138">
        <f>BP46/(BD35+AX42)</f>
        <v>0.75440225157720575</v>
      </c>
      <c r="BD48" s="4"/>
      <c r="BE48" s="17"/>
      <c r="BF48" s="3">
        <f>SUM(BF46:BF47)</f>
        <v>1000.0000000000001</v>
      </c>
      <c r="BH48" s="3">
        <f>SUM(BH46:BH47)</f>
        <v>0.21977250000000001</v>
      </c>
      <c r="BI48" s="3">
        <f>SUM(BI46:BI47)</f>
        <v>7496.9290510914179</v>
      </c>
      <c r="BO48" s="3">
        <f>SUM(BO46:BO47)</f>
        <v>11.866965688088325</v>
      </c>
      <c r="BP48" s="3">
        <f>SUM(BP46:BP47)</f>
        <v>88965.799815334409</v>
      </c>
    </row>
    <row r="49" spans="2:75" ht="18" x14ac:dyDescent="0.25">
      <c r="B49" s="348"/>
      <c r="C49" s="4" t="s">
        <v>311</v>
      </c>
      <c r="D49" s="4">
        <f t="shared" si="17"/>
        <v>9.9996676192213361</v>
      </c>
      <c r="E49" s="4">
        <f t="shared" si="18"/>
        <v>9.8833654522772589E-3</v>
      </c>
      <c r="F49" s="4">
        <f>MW_Al2O3</f>
        <v>0.10196127799999999</v>
      </c>
      <c r="G49" s="4">
        <f t="shared" si="19"/>
        <v>98.073188325683176</v>
      </c>
      <c r="H49" s="4">
        <f>b_ch_Al2O3</f>
        <v>31.875999999999976</v>
      </c>
      <c r="I49" s="4">
        <f t="shared" si="6"/>
        <v>1.2862321669119157E-2</v>
      </c>
      <c r="J49" s="4">
        <f t="shared" si="20"/>
        <v>-4.3534530423208677</v>
      </c>
      <c r="K49" s="4">
        <f t="shared" si="7"/>
        <v>-9.8865573374116824</v>
      </c>
      <c r="L49" s="4">
        <f t="shared" si="21"/>
        <v>21.989442662588296</v>
      </c>
      <c r="M49" s="4">
        <f t="shared" si="22"/>
        <v>0.28283528485086268</v>
      </c>
      <c r="N49" s="4">
        <f t="shared" si="8"/>
        <v>2156.5747514248337</v>
      </c>
      <c r="P49" s="4"/>
      <c r="Q49" s="4"/>
      <c r="R49" s="4"/>
      <c r="S49" s="4"/>
      <c r="T49" s="348"/>
      <c r="U49" s="4" t="s">
        <v>311</v>
      </c>
      <c r="V49" s="4">
        <v>9.9996676192213361</v>
      </c>
      <c r="W49" s="4">
        <f t="shared" si="9"/>
        <v>9.8833654522772589E-3</v>
      </c>
      <c r="X49" s="4">
        <f>MW_Al2O3</f>
        <v>0.10196127799999999</v>
      </c>
      <c r="Y49" s="4">
        <f t="shared" si="23"/>
        <v>98.073188325683176</v>
      </c>
      <c r="Z49" s="4">
        <f>b_ch_Al2O3</f>
        <v>31.875999999999976</v>
      </c>
      <c r="AA49" s="4">
        <f t="shared" si="10"/>
        <v>1.2862321669119157E-2</v>
      </c>
      <c r="AB49" s="4">
        <f t="shared" si="24"/>
        <v>-4.3534530423208677</v>
      </c>
      <c r="AC49" s="4">
        <f t="shared" si="11"/>
        <v>-9.8865573374116824</v>
      </c>
      <c r="AD49" s="4">
        <f t="shared" si="25"/>
        <v>21.989442662588296</v>
      </c>
      <c r="AE49" s="4">
        <f t="shared" si="26"/>
        <v>0.28283528485086268</v>
      </c>
      <c r="AF49" s="4">
        <f t="shared" si="12"/>
        <v>2156.5747514248337</v>
      </c>
      <c r="AG49" s="4"/>
      <c r="AH49" s="4"/>
      <c r="AI49" s="4"/>
      <c r="AJ49" s="4"/>
      <c r="AK49" s="4"/>
      <c r="AL49" s="348"/>
      <c r="AM49" s="4" t="s">
        <v>311</v>
      </c>
      <c r="AN49" s="4">
        <f>V49</f>
        <v>9.9996676192213361</v>
      </c>
      <c r="AO49" s="4">
        <f t="shared" si="13"/>
        <v>9.8833654522772589E-3</v>
      </c>
      <c r="AP49" s="4">
        <f>MW_Al2O3</f>
        <v>0.10196127799999999</v>
      </c>
      <c r="AQ49" s="4">
        <f t="shared" si="27"/>
        <v>98.073188325683176</v>
      </c>
      <c r="AR49" s="4">
        <f>b_ch_Al2O3</f>
        <v>31.875999999999976</v>
      </c>
      <c r="AS49" s="4">
        <f t="shared" si="14"/>
        <v>1.2862321669119157E-2</v>
      </c>
      <c r="AT49" s="4">
        <f t="shared" si="28"/>
        <v>-4.3534530423208677</v>
      </c>
      <c r="AU49" s="4">
        <f t="shared" si="15"/>
        <v>-9.8865573374116824</v>
      </c>
      <c r="AV49" s="4">
        <f t="shared" si="29"/>
        <v>21.989442662588296</v>
      </c>
      <c r="AW49" s="4">
        <f t="shared" si="30"/>
        <v>0.28283528485086268</v>
      </c>
      <c r="AX49" s="4">
        <f t="shared" si="16"/>
        <v>2156.5747514248337</v>
      </c>
      <c r="AY49" s="4"/>
      <c r="BF49" s="1" t="s">
        <v>93</v>
      </c>
      <c r="BH49" s="3" t="s">
        <v>95</v>
      </c>
      <c r="BI49" s="3" t="s">
        <v>91</v>
      </c>
      <c r="BJ49" s="4"/>
      <c r="BK49" s="4"/>
      <c r="BO49" s="3" t="s">
        <v>100</v>
      </c>
      <c r="BP49" s="1" t="s">
        <v>97</v>
      </c>
    </row>
    <row r="50" spans="2:75" x14ac:dyDescent="0.2">
      <c r="B50" s="348"/>
      <c r="C50" s="4" t="s">
        <v>185</v>
      </c>
      <c r="D50" s="4">
        <f t="shared" si="17"/>
        <v>0.38391581038081912</v>
      </c>
      <c r="E50" s="4">
        <f t="shared" si="18"/>
        <v>3.7945063789993045E-4</v>
      </c>
      <c r="F50" s="4">
        <f>MW_P</f>
        <v>3.0973762000000002E-2</v>
      </c>
      <c r="G50" s="4">
        <f t="shared" si="19"/>
        <v>12.394871839617645</v>
      </c>
      <c r="H50" s="4">
        <f>b_ch_P</f>
        <v>873.60807999999997</v>
      </c>
      <c r="I50" s="4">
        <f t="shared" si="6"/>
        <v>1.6255903511491995E-3</v>
      </c>
      <c r="J50" s="4">
        <f t="shared" si="20"/>
        <v>-6.4218842361604729</v>
      </c>
      <c r="K50" s="4">
        <f t="shared" si="7"/>
        <v>-14.583900664097536</v>
      </c>
      <c r="L50" s="4">
        <f t="shared" si="21"/>
        <v>859.02417933590243</v>
      </c>
      <c r="M50" s="4">
        <f t="shared" si="22"/>
        <v>1.3964214173323026</v>
      </c>
      <c r="N50" s="4">
        <f t="shared" si="8"/>
        <v>10647.494610001237</v>
      </c>
      <c r="P50" s="4"/>
      <c r="Q50" s="4"/>
      <c r="R50" s="4"/>
      <c r="S50" s="4"/>
      <c r="T50" s="348"/>
      <c r="U50" s="4" t="s">
        <v>185</v>
      </c>
      <c r="V50" s="4">
        <v>0.38391581038081912</v>
      </c>
      <c r="W50" s="4">
        <f t="shared" si="9"/>
        <v>3.7945063789993045E-4</v>
      </c>
      <c r="X50" s="4">
        <f>MW_P</f>
        <v>3.0973762000000002E-2</v>
      </c>
      <c r="Y50" s="4">
        <f t="shared" si="23"/>
        <v>12.394871839617645</v>
      </c>
      <c r="Z50" s="4">
        <f>b_ch_P</f>
        <v>873.60807999999997</v>
      </c>
      <c r="AA50" s="4">
        <f t="shared" si="10"/>
        <v>1.6255903511491995E-3</v>
      </c>
      <c r="AB50" s="4">
        <f t="shared" si="24"/>
        <v>-6.4218842361604729</v>
      </c>
      <c r="AC50" s="4">
        <f t="shared" si="11"/>
        <v>-14.583900664097536</v>
      </c>
      <c r="AD50" s="4">
        <f t="shared" si="25"/>
        <v>859.02417933590243</v>
      </c>
      <c r="AE50" s="4">
        <f t="shared" si="26"/>
        <v>1.3964214173323026</v>
      </c>
      <c r="AF50" s="4">
        <f t="shared" si="12"/>
        <v>10647.494610001237</v>
      </c>
      <c r="AG50" s="4"/>
      <c r="AH50" s="4"/>
      <c r="AI50" s="4"/>
      <c r="AJ50" s="4"/>
      <c r="AK50" s="4"/>
      <c r="AL50" s="348"/>
      <c r="AM50" s="4" t="s">
        <v>185</v>
      </c>
      <c r="AN50" s="4">
        <f>V50</f>
        <v>0.38391581038081912</v>
      </c>
      <c r="AO50" s="4">
        <f t="shared" si="13"/>
        <v>3.7945063789993045E-4</v>
      </c>
      <c r="AP50" s="4">
        <f>MW_P</f>
        <v>3.0973762000000002E-2</v>
      </c>
      <c r="AQ50" s="4">
        <f t="shared" si="27"/>
        <v>12.394871839617645</v>
      </c>
      <c r="AR50" s="4">
        <f>b_ch_P</f>
        <v>873.60807999999997</v>
      </c>
      <c r="AS50" s="4">
        <f t="shared" si="14"/>
        <v>1.6255903511491995E-3</v>
      </c>
      <c r="AT50" s="4">
        <f t="shared" si="28"/>
        <v>-6.4218842361604729</v>
      </c>
      <c r="AU50" s="4">
        <f t="shared" si="15"/>
        <v>-14.583900664097536</v>
      </c>
      <c r="AV50" s="4">
        <f t="shared" si="29"/>
        <v>859.02417933590243</v>
      </c>
      <c r="AW50" s="4">
        <f t="shared" si="30"/>
        <v>1.3964214173323026</v>
      </c>
      <c r="AX50" s="4">
        <f t="shared" si="16"/>
        <v>10647.494610001237</v>
      </c>
      <c r="AY50" s="4"/>
    </row>
    <row r="51" spans="2:75" x14ac:dyDescent="0.2">
      <c r="B51" s="348"/>
      <c r="C51" s="4" t="s">
        <v>184</v>
      </c>
      <c r="D51" s="4">
        <f t="shared" si="17"/>
        <v>0.13392411990028574</v>
      </c>
      <c r="E51" s="4">
        <f t="shared" si="18"/>
        <v>1.3236650159299899E-4</v>
      </c>
      <c r="F51" s="4">
        <f>MW_S</f>
        <v>3.2066000000000004E-2</v>
      </c>
      <c r="G51" s="4">
        <f t="shared" si="19"/>
        <v>4.1765146853454036</v>
      </c>
      <c r="H51" s="4">
        <f>b_ch_S</f>
        <v>607.29999999999995</v>
      </c>
      <c r="I51" s="4">
        <f t="shared" si="6"/>
        <v>5.4775088131446613E-4</v>
      </c>
      <c r="J51" s="4">
        <f t="shared" si="20"/>
        <v>-7.5096899705178952</v>
      </c>
      <c r="K51" s="4">
        <f t="shared" si="7"/>
        <v>-17.054273873626048</v>
      </c>
      <c r="L51" s="4">
        <f t="shared" si="21"/>
        <v>590.24572612637394</v>
      </c>
      <c r="M51" s="4">
        <f t="shared" si="22"/>
        <v>0.32330761667781832</v>
      </c>
      <c r="N51" s="4">
        <f t="shared" si="8"/>
        <v>2465.1699431291622</v>
      </c>
      <c r="P51" s="4"/>
      <c r="Q51" s="4"/>
      <c r="R51" s="4"/>
      <c r="S51" s="4"/>
      <c r="T51" s="348"/>
      <c r="U51" s="4" t="s">
        <v>184</v>
      </c>
      <c r="V51" s="4">
        <v>0.13392411990028574</v>
      </c>
      <c r="W51" s="4">
        <f t="shared" si="9"/>
        <v>1.3236650159299899E-4</v>
      </c>
      <c r="X51" s="4">
        <f>MW_S</f>
        <v>3.2066000000000004E-2</v>
      </c>
      <c r="Y51" s="4">
        <f t="shared" si="23"/>
        <v>4.1765146853454036</v>
      </c>
      <c r="Z51" s="4">
        <f>b_ch_S</f>
        <v>607.29999999999995</v>
      </c>
      <c r="AA51" s="4">
        <f t="shared" si="10"/>
        <v>5.4775088131446613E-4</v>
      </c>
      <c r="AB51" s="4">
        <f t="shared" si="24"/>
        <v>-7.5096899705178952</v>
      </c>
      <c r="AC51" s="4">
        <f t="shared" si="11"/>
        <v>-17.054273873626048</v>
      </c>
      <c r="AD51" s="4">
        <f t="shared" si="25"/>
        <v>590.24572612637394</v>
      </c>
      <c r="AE51" s="4">
        <f t="shared" si="26"/>
        <v>0.32330761667781832</v>
      </c>
      <c r="AF51" s="4">
        <f t="shared" si="12"/>
        <v>2465.1699431291622</v>
      </c>
      <c r="AG51" s="4"/>
      <c r="AH51" s="4"/>
      <c r="AI51" s="4"/>
      <c r="AJ51" s="4"/>
      <c r="AK51" s="4"/>
      <c r="AL51" s="348"/>
      <c r="AM51" s="4" t="s">
        <v>184</v>
      </c>
      <c r="AN51" s="4">
        <f>V51</f>
        <v>0.13392411990028574</v>
      </c>
      <c r="AO51" s="4">
        <f t="shared" si="13"/>
        <v>1.3236650159299899E-4</v>
      </c>
      <c r="AP51" s="4">
        <f>MW_S</f>
        <v>3.2066000000000004E-2</v>
      </c>
      <c r="AQ51" s="4">
        <f t="shared" si="27"/>
        <v>4.1765146853454036</v>
      </c>
      <c r="AR51" s="4">
        <f>b_ch_S</f>
        <v>607.29999999999995</v>
      </c>
      <c r="AS51" s="4">
        <f t="shared" si="14"/>
        <v>5.4775088131446613E-4</v>
      </c>
      <c r="AT51" s="4">
        <f t="shared" si="28"/>
        <v>-7.5096899705178952</v>
      </c>
      <c r="AU51" s="4">
        <f t="shared" si="15"/>
        <v>-17.054273873626048</v>
      </c>
      <c r="AV51" s="4">
        <f t="shared" si="29"/>
        <v>590.24572612637394</v>
      </c>
      <c r="AW51" s="4">
        <f t="shared" si="30"/>
        <v>0.32330761667781832</v>
      </c>
      <c r="AX51" s="4">
        <f t="shared" si="16"/>
        <v>2465.1699431291622</v>
      </c>
      <c r="AY51" s="4"/>
    </row>
    <row r="52" spans="2:75" ht="16" thickBot="1" x14ac:dyDescent="0.25">
      <c r="C52" s="62" t="s">
        <v>20</v>
      </c>
      <c r="D52" s="62">
        <f>SUM(D46:D51)</f>
        <v>1011.7674660019052</v>
      </c>
      <c r="E52" s="62">
        <f>SUM(E46:E51)</f>
        <v>1</v>
      </c>
      <c r="F52" s="62">
        <f>SUM(F46:F51)</f>
        <v>0.47896953999999997</v>
      </c>
      <c r="G52" s="62">
        <f>SUM(G46:G51)</f>
        <v>7624.8433874224093</v>
      </c>
      <c r="H52" s="62"/>
      <c r="I52" s="62"/>
      <c r="J52" s="62"/>
      <c r="K52" s="62"/>
      <c r="L52" s="62"/>
      <c r="M52" s="62">
        <f>SUM(M46:M51)</f>
        <v>14.326027053009392</v>
      </c>
      <c r="N52" s="62">
        <f>SUM(N46:N51)</f>
        <v>109233.7126431732</v>
      </c>
      <c r="P52" s="4"/>
      <c r="Q52" s="4"/>
      <c r="R52" s="4"/>
      <c r="S52" s="4"/>
      <c r="T52" s="4"/>
      <c r="U52" s="62" t="s">
        <v>20</v>
      </c>
      <c r="V52" s="62">
        <f>SUM(V46:V51)</f>
        <v>1011.7674660019052</v>
      </c>
      <c r="W52" s="62">
        <f>SUM(W46:W51)</f>
        <v>1</v>
      </c>
      <c r="X52" s="62">
        <f>SUM(X46:X51)</f>
        <v>0.47896953999999997</v>
      </c>
      <c r="Y52" s="62">
        <f>SUM(Y46:Y51)</f>
        <v>7624.8433874224093</v>
      </c>
      <c r="Z52" s="62"/>
      <c r="AA52" s="62"/>
      <c r="AB52" s="62"/>
      <c r="AC52" s="62"/>
      <c r="AD52" s="62"/>
      <c r="AE52" s="62">
        <f>SUM(AE46:AE51)</f>
        <v>14.326027053009392</v>
      </c>
      <c r="AF52" s="62">
        <f>SUM(AF46:AF51)</f>
        <v>109233.7126431732</v>
      </c>
      <c r="AG52" s="4"/>
      <c r="AH52" s="4"/>
      <c r="AI52" s="4"/>
      <c r="AJ52" s="4"/>
      <c r="AK52" s="4"/>
      <c r="AL52" s="4"/>
      <c r="AM52" s="62" t="s">
        <v>20</v>
      </c>
      <c r="AN52" s="62">
        <f>SUM(AN46:AN51)</f>
        <v>1011.7674660019052</v>
      </c>
      <c r="AO52" s="62">
        <f>SUM(AO46:AO51)</f>
        <v>1</v>
      </c>
      <c r="AP52" s="62">
        <f>SUM(AP46:AP51)</f>
        <v>0.47896953999999997</v>
      </c>
      <c r="AQ52" s="62">
        <f>SUM(AQ46:AQ51)</f>
        <v>7624.8433874224093</v>
      </c>
      <c r="AR52" s="62"/>
      <c r="AS52" s="62"/>
      <c r="AT52" s="62"/>
      <c r="AU52" s="62"/>
      <c r="AV52" s="62"/>
      <c r="AW52" s="62">
        <f>SUM(AW46:AW51)</f>
        <v>14.326027053009392</v>
      </c>
      <c r="AX52" s="62">
        <f>SUM(AX46:AX51)</f>
        <v>109233.7126431732</v>
      </c>
      <c r="AY52" s="4"/>
    </row>
    <row r="53" spans="2:75" ht="18" x14ac:dyDescent="0.25">
      <c r="C53" s="4"/>
      <c r="D53" s="1" t="s">
        <v>93</v>
      </c>
      <c r="E53" s="4"/>
      <c r="F53" s="3" t="s">
        <v>95</v>
      </c>
      <c r="G53" s="3" t="s">
        <v>91</v>
      </c>
      <c r="H53" s="4"/>
      <c r="I53" s="4"/>
      <c r="J53" s="4"/>
      <c r="K53" s="4"/>
      <c r="L53" s="4"/>
      <c r="M53" s="3" t="s">
        <v>100</v>
      </c>
      <c r="N53" s="1" t="s">
        <v>97</v>
      </c>
      <c r="P53" s="4"/>
      <c r="Q53" s="4"/>
      <c r="R53" s="4"/>
      <c r="S53" s="4"/>
      <c r="T53" s="4"/>
      <c r="U53" s="4"/>
      <c r="V53" s="1" t="s">
        <v>93</v>
      </c>
      <c r="W53" s="4"/>
      <c r="X53" s="3" t="s">
        <v>95</v>
      </c>
      <c r="Y53" s="3" t="s">
        <v>91</v>
      </c>
      <c r="Z53" s="4"/>
      <c r="AA53" s="4"/>
      <c r="AB53" s="4"/>
      <c r="AC53" s="4"/>
      <c r="AD53" s="4"/>
      <c r="AE53" s="3" t="s">
        <v>100</v>
      </c>
      <c r="AF53" s="1" t="s">
        <v>97</v>
      </c>
      <c r="AG53" s="4"/>
      <c r="AH53" s="4"/>
      <c r="AI53" s="4"/>
      <c r="AJ53" s="4"/>
      <c r="AK53" s="4"/>
      <c r="AL53" s="4"/>
      <c r="AM53" s="4"/>
      <c r="AN53" s="1" t="s">
        <v>93</v>
      </c>
      <c r="AO53" s="4"/>
      <c r="AP53" s="3" t="s">
        <v>95</v>
      </c>
      <c r="AQ53" s="3" t="s">
        <v>91</v>
      </c>
      <c r="AR53" s="4"/>
      <c r="AS53" s="4"/>
      <c r="AT53" s="4"/>
      <c r="AU53" s="4"/>
      <c r="AV53" s="4"/>
      <c r="AW53" s="3" t="s">
        <v>100</v>
      </c>
      <c r="AX53" s="1" t="s">
        <v>97</v>
      </c>
      <c r="AY53" s="4"/>
      <c r="BO53" s="63" t="s">
        <v>1</v>
      </c>
      <c r="BP53" s="58" t="s">
        <v>0</v>
      </c>
    </row>
    <row r="54" spans="2:75" ht="18" x14ac:dyDescent="0.25">
      <c r="L54" s="4"/>
      <c r="P54" s="4"/>
      <c r="Q54" s="4"/>
      <c r="R54" s="4"/>
      <c r="S54" s="4"/>
      <c r="T54" s="4"/>
      <c r="U54" s="4"/>
      <c r="V54" s="1"/>
      <c r="W54" s="4"/>
      <c r="Z54" s="4"/>
      <c r="AA54" s="4"/>
      <c r="AB54" s="4"/>
      <c r="AC54" s="4"/>
      <c r="AD54" s="4"/>
      <c r="AF54" s="1"/>
      <c r="AG54" s="4"/>
      <c r="AH54" s="4"/>
      <c r="AI54" s="4"/>
      <c r="AJ54" s="4"/>
      <c r="AK54" s="4"/>
      <c r="AL54" s="4"/>
      <c r="AM54" s="4"/>
      <c r="AN54" s="1"/>
      <c r="AO54" s="4"/>
      <c r="AR54" s="4"/>
      <c r="AS54" s="4"/>
      <c r="AT54" s="4"/>
      <c r="AU54" s="4"/>
      <c r="AV54" s="4"/>
      <c r="AX54" s="1"/>
      <c r="AY54" s="4"/>
      <c r="BO54" s="65" t="s">
        <v>93</v>
      </c>
      <c r="BP54" s="64" t="s">
        <v>97</v>
      </c>
    </row>
    <row r="55" spans="2:75" ht="17" thickBot="1" x14ac:dyDescent="0.25">
      <c r="L55" s="4"/>
      <c r="P55" s="4"/>
      <c r="Q55" s="4"/>
      <c r="R55" s="4"/>
      <c r="S55" s="4"/>
      <c r="T55" s="4"/>
      <c r="U55" s="4"/>
      <c r="V55" s="1"/>
      <c r="W55" s="4"/>
      <c r="Z55" s="4"/>
      <c r="AA55" s="4"/>
      <c r="AB55" s="4"/>
      <c r="AC55" s="4"/>
      <c r="AD55" s="4"/>
      <c r="AF55" s="1"/>
      <c r="AG55" s="4"/>
      <c r="AH55" s="4"/>
      <c r="AI55" s="4"/>
      <c r="AJ55" s="4"/>
      <c r="AK55" s="4"/>
      <c r="AL55" s="4"/>
      <c r="AM55" s="4"/>
      <c r="AN55" s="1"/>
      <c r="AO55" s="4"/>
      <c r="AR55" s="4"/>
      <c r="AS55" s="4"/>
      <c r="AT55" s="4"/>
      <c r="AU55" s="4"/>
      <c r="AV55" s="4"/>
      <c r="AX55" s="1"/>
      <c r="AY55" s="4"/>
      <c r="BO55" s="50">
        <f>BF63</f>
        <v>11.767466001905108</v>
      </c>
      <c r="BP55" s="48">
        <f>BP63</f>
        <v>21743.416787545681</v>
      </c>
    </row>
    <row r="56" spans="2:75" ht="16" x14ac:dyDescent="0.2">
      <c r="L56" s="4"/>
      <c r="P56" s="4"/>
      <c r="Q56" s="4"/>
      <c r="R56" s="4"/>
      <c r="S56" s="4"/>
      <c r="T56" s="4"/>
      <c r="U56" s="4"/>
      <c r="V56" s="1"/>
      <c r="W56" s="4"/>
      <c r="Z56" s="4"/>
      <c r="AA56" s="4"/>
      <c r="AB56" s="4"/>
      <c r="AC56" s="4"/>
      <c r="AD56" s="4"/>
      <c r="AF56" s="1"/>
      <c r="AG56" s="4"/>
      <c r="AH56" s="4"/>
      <c r="AI56" s="4"/>
      <c r="AJ56" s="4"/>
      <c r="AK56" s="4"/>
      <c r="AL56" s="4"/>
      <c r="AM56" s="4"/>
      <c r="AN56" s="1"/>
      <c r="AO56" s="4"/>
      <c r="AR56" s="4"/>
      <c r="AS56" s="4"/>
      <c r="AT56" s="4"/>
      <c r="AU56" s="4"/>
      <c r="AV56" s="4"/>
      <c r="AX56" s="1"/>
      <c r="AY56" s="4"/>
    </row>
    <row r="57" spans="2:75" ht="18" x14ac:dyDescent="0.25">
      <c r="L57" s="4"/>
      <c r="P57" s="4"/>
      <c r="Q57" s="4"/>
      <c r="R57" s="4"/>
      <c r="S57" s="4"/>
      <c r="T57" s="4"/>
      <c r="U57" s="4"/>
      <c r="V57" s="1"/>
      <c r="W57" s="4"/>
      <c r="Z57" s="4"/>
      <c r="AA57" s="4"/>
      <c r="AB57" s="4"/>
      <c r="AC57" s="4"/>
      <c r="AD57" s="4"/>
      <c r="AF57" s="1"/>
      <c r="AG57" s="4"/>
      <c r="AH57" s="4"/>
      <c r="AI57" s="4"/>
      <c r="AJ57" s="4"/>
      <c r="AK57" s="4"/>
      <c r="AL57" s="4"/>
      <c r="AM57" s="4"/>
      <c r="AN57" s="1"/>
      <c r="AO57" s="4"/>
      <c r="AR57" s="4"/>
      <c r="AS57" s="4"/>
      <c r="AT57" s="4"/>
      <c r="AU57" s="4"/>
      <c r="AV57" s="4"/>
      <c r="AW57" s="4"/>
      <c r="AX57" s="1"/>
      <c r="AY57" s="4"/>
      <c r="BE57" s="4"/>
      <c r="BF57" s="3" t="s">
        <v>1</v>
      </c>
      <c r="BG57" s="3" t="s">
        <v>49</v>
      </c>
      <c r="BH57" s="3" t="s">
        <v>5</v>
      </c>
      <c r="BI57" s="3" t="s">
        <v>376</v>
      </c>
      <c r="BJ57" s="1" t="s">
        <v>136</v>
      </c>
      <c r="BK57" s="1" t="s">
        <v>133</v>
      </c>
      <c r="BL57" s="1" t="s">
        <v>9</v>
      </c>
      <c r="BM57" s="1" t="s">
        <v>137</v>
      </c>
      <c r="BN57" s="1" t="s">
        <v>138</v>
      </c>
      <c r="BO57" s="1" t="s">
        <v>139</v>
      </c>
      <c r="BP57" s="1" t="s">
        <v>140</v>
      </c>
      <c r="BV57" s="133"/>
      <c r="BW57" s="133"/>
    </row>
    <row r="58" spans="2:75" ht="18" customHeight="1" x14ac:dyDescent="0.25">
      <c r="L58" s="4"/>
      <c r="P58" s="4"/>
      <c r="Q58" s="4"/>
      <c r="R58" s="4"/>
      <c r="S58" s="4"/>
      <c r="T58" s="4"/>
      <c r="U58" s="4"/>
      <c r="V58" s="1"/>
      <c r="W58" s="4"/>
      <c r="Z58" s="4"/>
      <c r="AA58" s="4"/>
      <c r="AB58" s="4"/>
      <c r="AC58" s="4"/>
      <c r="AD58" s="4"/>
      <c r="AF58" s="1"/>
      <c r="AG58" s="4"/>
      <c r="AH58" s="4"/>
      <c r="AI58" s="4"/>
      <c r="AJ58" s="4"/>
      <c r="AK58" s="4"/>
      <c r="AL58" s="4"/>
      <c r="AM58" s="4"/>
      <c r="AN58" s="1"/>
      <c r="AO58" s="4"/>
      <c r="AR58" s="4"/>
      <c r="AS58" s="4"/>
      <c r="AT58" s="4"/>
      <c r="AU58" s="4"/>
      <c r="AV58" s="4"/>
      <c r="AW58" s="4"/>
      <c r="AX58" s="1"/>
      <c r="AY58" s="4"/>
      <c r="BD58" s="368"/>
      <c r="BE58" s="4" t="s">
        <v>43</v>
      </c>
      <c r="BF58" s="1" t="s">
        <v>92</v>
      </c>
      <c r="BG58" s="4" t="s">
        <v>287</v>
      </c>
      <c r="BH58" s="2" t="s">
        <v>94</v>
      </c>
      <c r="BI58" s="2" t="s">
        <v>90</v>
      </c>
      <c r="BJ58" s="2" t="s">
        <v>99</v>
      </c>
      <c r="BK58" s="2" t="s">
        <v>27</v>
      </c>
      <c r="BL58" s="2" t="s">
        <v>102</v>
      </c>
      <c r="BM58" s="2" t="s">
        <v>99</v>
      </c>
      <c r="BN58" s="2" t="s">
        <v>99</v>
      </c>
      <c r="BO58" s="2" t="s">
        <v>98</v>
      </c>
      <c r="BP58" s="2" t="s">
        <v>96</v>
      </c>
    </row>
    <row r="59" spans="2:75" ht="24" customHeight="1" x14ac:dyDescent="0.25">
      <c r="L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C59" s="4"/>
      <c r="BD59" s="389" t="s">
        <v>493</v>
      </c>
      <c r="BE59" s="62" t="s">
        <v>319</v>
      </c>
      <c r="BF59" s="62">
        <f>AN48</f>
        <v>1.249958452402667</v>
      </c>
      <c r="BG59" s="62">
        <f>BF59/$BF$63</f>
        <v>0.10622154779969652</v>
      </c>
      <c r="BH59" s="4">
        <f>MW_K2O</f>
        <v>9.4196000000000002E-2</v>
      </c>
      <c r="BI59" s="4">
        <f>BF59/BH59</f>
        <v>13.269761480345949</v>
      </c>
      <c r="BJ59" s="4">
        <f>b_ch_K2O</f>
        <v>412.83199999999999</v>
      </c>
      <c r="BK59" s="4">
        <f>BI59/$BI$63</f>
        <v>0.10373943891644018</v>
      </c>
      <c r="BL59" s="4">
        <f t="shared" ref="BL59:BL62" si="31">LN(BK59)</f>
        <v>-2.2658729186291273</v>
      </c>
      <c r="BM59" s="4">
        <f t="shared" ref="BM59:BM62" si="32">RT0*BL59</f>
        <v>-5.1457273827335621</v>
      </c>
      <c r="BN59" s="4">
        <f t="shared" ref="BN59:BN62" si="33">BM59+BJ59</f>
        <v>407.68627261726641</v>
      </c>
      <c r="BO59" s="4">
        <f>BK59*BN59</f>
        <v>42.293145175250089</v>
      </c>
      <c r="BP59" s="4">
        <f>BO59*$BI$63</f>
        <v>5409.8995964424194</v>
      </c>
    </row>
    <row r="60" spans="2:75" ht="17" x14ac:dyDescent="0.25">
      <c r="L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389"/>
      <c r="BE60" s="4" t="s">
        <v>311</v>
      </c>
      <c r="BF60" s="4">
        <f>AN49</f>
        <v>9.9996676192213361</v>
      </c>
      <c r="BG60" s="4">
        <f>BF60/$BF$63</f>
        <v>0.84977238239757213</v>
      </c>
      <c r="BH60" s="4">
        <f>MW_Al2O3</f>
        <v>0.10196127799999999</v>
      </c>
      <c r="BI60" s="4">
        <f t="shared" ref="BI60:BI62" si="34">BF60/BH60</f>
        <v>98.073188325683176</v>
      </c>
      <c r="BJ60" s="4">
        <f>b_ch_Al2O3</f>
        <v>31.875999999999976</v>
      </c>
      <c r="BK60" s="4">
        <f>BI60/$BI$63</f>
        <v>0.7667099024139733</v>
      </c>
      <c r="BL60" s="4">
        <f t="shared" si="31"/>
        <v>-0.26564677287010441</v>
      </c>
      <c r="BM60" s="4">
        <f t="shared" si="32"/>
        <v>-0.60327561270272534</v>
      </c>
      <c r="BN60" s="4">
        <f t="shared" si="33"/>
        <v>31.272724387297252</v>
      </c>
      <c r="BO60" s="4">
        <f t="shared" ref="BO60:BO62" si="35">BK60*BN60</f>
        <v>23.977107463203758</v>
      </c>
      <c r="BP60" s="4">
        <f>BO60*$BI$63</f>
        <v>3067.0157882925882</v>
      </c>
    </row>
    <row r="61" spans="2:75" x14ac:dyDescent="0.2">
      <c r="L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389"/>
      <c r="BE61" s="4" t="s">
        <v>185</v>
      </c>
      <c r="BF61" s="4">
        <f>AN50</f>
        <v>0.38391581038081912</v>
      </c>
      <c r="BG61" s="4">
        <f>BF61/$BF$63</f>
        <v>3.2625189681335355E-2</v>
      </c>
      <c r="BH61" s="4">
        <f>MW_P</f>
        <v>3.0973762000000002E-2</v>
      </c>
      <c r="BI61" s="4">
        <f t="shared" si="34"/>
        <v>12.394871839617645</v>
      </c>
      <c r="BJ61" s="4">
        <f>b_ch_P</f>
        <v>873.60807999999997</v>
      </c>
      <c r="BK61" s="4">
        <f>BI61/$BI$63</f>
        <v>9.6899786178341829E-2</v>
      </c>
      <c r="BL61" s="4">
        <f t="shared" si="31"/>
        <v>-2.3340779667097102</v>
      </c>
      <c r="BM61" s="4">
        <f t="shared" si="32"/>
        <v>-5.3006189393885803</v>
      </c>
      <c r="BN61" s="4">
        <f t="shared" si="33"/>
        <v>868.30746106061144</v>
      </c>
      <c r="BO61" s="4">
        <f t="shared" si="35"/>
        <v>84.138807313832118</v>
      </c>
      <c r="BP61" s="4">
        <f>BO61*$BI$63</f>
        <v>10762.559697230066</v>
      </c>
    </row>
    <row r="62" spans="2:75" x14ac:dyDescent="0.2">
      <c r="L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389"/>
      <c r="BE62" s="4" t="s">
        <v>184</v>
      </c>
      <c r="BF62" s="4">
        <f>AN51</f>
        <v>0.13392411990028574</v>
      </c>
      <c r="BG62" s="4">
        <f>BF62/$BF$63</f>
        <v>1.1380880121396054E-2</v>
      </c>
      <c r="BH62" s="4">
        <f>MW_S</f>
        <v>3.2066000000000004E-2</v>
      </c>
      <c r="BI62" s="4">
        <f t="shared" si="34"/>
        <v>4.1765146853454036</v>
      </c>
      <c r="BJ62" s="4">
        <f>b_ch_S</f>
        <v>607.29999999999995</v>
      </c>
      <c r="BK62" s="4">
        <f>BI62/$BI$63</f>
        <v>3.2650872491244612E-2</v>
      </c>
      <c r="BL62" s="4">
        <f t="shared" si="31"/>
        <v>-3.4218837010671326</v>
      </c>
      <c r="BM62" s="4">
        <f t="shared" si="32"/>
        <v>-7.7709921489170943</v>
      </c>
      <c r="BN62" s="4">
        <f t="shared" si="33"/>
        <v>599.52900785108284</v>
      </c>
      <c r="BO62" s="4">
        <f t="shared" si="35"/>
        <v>19.575145190148096</v>
      </c>
      <c r="BP62" s="4">
        <f>BO62*$BI$63</f>
        <v>2503.9417055806075</v>
      </c>
    </row>
    <row r="63" spans="2:75" x14ac:dyDescent="0.2">
      <c r="L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368"/>
      <c r="BE63" s="62" t="s">
        <v>20</v>
      </c>
      <c r="BF63" s="62">
        <f>SUM(BF57:BF62)</f>
        <v>11.767466001905108</v>
      </c>
      <c r="BG63" s="62">
        <f>SUM(BG57:BG62)</f>
        <v>1</v>
      </c>
      <c r="BH63" s="62">
        <f>SUM(BH57:BH62)</f>
        <v>0.25919703999999999</v>
      </c>
      <c r="BI63" s="62">
        <f>SUM(BI57:BI62)</f>
        <v>127.91433633099219</v>
      </c>
      <c r="BJ63" s="62"/>
      <c r="BK63" s="62"/>
      <c r="BL63" s="62"/>
      <c r="BM63" s="62"/>
      <c r="BN63" s="62"/>
      <c r="BO63" s="62">
        <f>SUM(BO57:BO62)</f>
        <v>169.98420514243409</v>
      </c>
      <c r="BP63" s="62">
        <f>SUM(BP57:BP62)</f>
        <v>21743.416787545681</v>
      </c>
    </row>
    <row r="64" spans="2:75" ht="18" x14ac:dyDescent="0.25">
      <c r="L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1" t="s">
        <v>93</v>
      </c>
      <c r="BG64" s="4"/>
      <c r="BH64" s="3" t="s">
        <v>95</v>
      </c>
      <c r="BI64" s="3" t="s">
        <v>91</v>
      </c>
      <c r="BJ64" s="4"/>
      <c r="BK64" s="4"/>
      <c r="BL64" s="4"/>
      <c r="BM64" s="4"/>
      <c r="BN64" s="4"/>
      <c r="BO64" s="3" t="s">
        <v>100</v>
      </c>
      <c r="BP64" s="1" t="s">
        <v>97</v>
      </c>
    </row>
    <row r="65" spans="1:94" x14ac:dyDescent="0.2">
      <c r="L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</row>
    <row r="66" spans="1:94" ht="16" x14ac:dyDescent="0.2"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1"/>
      <c r="BF66" s="4"/>
      <c r="BI66" s="4"/>
      <c r="BJ66" s="4"/>
      <c r="BK66" s="4"/>
      <c r="BL66" s="4"/>
      <c r="BM66" s="4"/>
      <c r="BO66" s="1"/>
    </row>
    <row r="67" spans="1:94" x14ac:dyDescent="0.2"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L67" s="4"/>
      <c r="BM67" s="4"/>
    </row>
    <row r="68" spans="1:94" x14ac:dyDescent="0.2"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M68" s="4"/>
      <c r="BN68" s="4"/>
    </row>
    <row r="69" spans="1:94" ht="16" thickBot="1" x14ac:dyDescent="0.25">
      <c r="A69" s="99"/>
      <c r="B69" s="99"/>
      <c r="C69" s="99"/>
      <c r="D69" s="99"/>
      <c r="E69" s="99"/>
      <c r="F69" s="99"/>
      <c r="G69" s="99"/>
      <c r="H69" s="99"/>
      <c r="I69" s="99"/>
      <c r="J69" s="99"/>
      <c r="K69" s="99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  <c r="BA69" s="91"/>
      <c r="BB69" s="91"/>
      <c r="BC69" s="91"/>
      <c r="BD69" s="91"/>
      <c r="BE69" s="91"/>
      <c r="BF69" s="91"/>
      <c r="BG69" s="91"/>
      <c r="BH69" s="91"/>
      <c r="BI69" s="91"/>
      <c r="BJ69" s="99"/>
      <c r="BK69" s="99"/>
      <c r="BL69" s="91"/>
      <c r="BM69" s="91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</row>
    <row r="70" spans="1:94" x14ac:dyDescent="0.2"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L70" s="4"/>
      <c r="BM70" s="4"/>
    </row>
    <row r="71" spans="1:94" x14ac:dyDescent="0.2"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L71" s="4" t="s">
        <v>351</v>
      </c>
      <c r="BM71" s="4"/>
    </row>
    <row r="72" spans="1:94" x14ac:dyDescent="0.2"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L72" s="4"/>
      <c r="BM72" s="4"/>
    </row>
    <row r="73" spans="1:94" x14ac:dyDescent="0.2"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L73" s="4"/>
      <c r="BM73" s="4"/>
    </row>
    <row r="74" spans="1:94" x14ac:dyDescent="0.2"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L74" s="4"/>
      <c r="BM74" s="4"/>
    </row>
    <row r="75" spans="1:94" x14ac:dyDescent="0.2"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L75" s="4"/>
      <c r="BM75" s="4"/>
    </row>
    <row r="76" spans="1:94" x14ac:dyDescent="0.2"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L76" s="4"/>
      <c r="BM76" s="4"/>
    </row>
    <row r="77" spans="1:94" x14ac:dyDescent="0.2"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L77" s="4"/>
      <c r="BM77" s="4"/>
    </row>
    <row r="78" spans="1:94" x14ac:dyDescent="0.2"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L78" s="4"/>
      <c r="BM78" s="4"/>
    </row>
    <row r="79" spans="1:94" x14ac:dyDescent="0.2"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L79" s="4"/>
      <c r="BM79" s="4"/>
    </row>
    <row r="80" spans="1:94" x14ac:dyDescent="0.2"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L80" s="4"/>
      <c r="BM80" s="4"/>
    </row>
    <row r="81" spans="12:153" ht="19.75" customHeight="1" x14ac:dyDescent="0.2"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L81" s="4"/>
      <c r="BM81" s="4"/>
    </row>
    <row r="82" spans="12:153" x14ac:dyDescent="0.2"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L82" s="4"/>
      <c r="BM82" s="4"/>
    </row>
    <row r="83" spans="12:153" x14ac:dyDescent="0.2"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L83" s="4"/>
      <c r="BM83" s="4"/>
    </row>
    <row r="84" spans="12:153" ht="19.25" customHeight="1" x14ac:dyDescent="0.2"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L84" s="4"/>
      <c r="BM84" s="4"/>
    </row>
    <row r="85" spans="12:153" x14ac:dyDescent="0.2"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L85" s="4"/>
      <c r="BM85" s="4"/>
    </row>
    <row r="86" spans="12:153" ht="19.25" customHeight="1" x14ac:dyDescent="0.2"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L86" s="4"/>
      <c r="BM86" s="4"/>
    </row>
    <row r="87" spans="12:153" x14ac:dyDescent="0.2"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L87" s="4"/>
      <c r="BM87" s="4"/>
      <c r="BO87" s="3" t="s">
        <v>418</v>
      </c>
    </row>
    <row r="88" spans="12:153" x14ac:dyDescent="0.2"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L88" s="4"/>
      <c r="BM88" s="4"/>
    </row>
    <row r="89" spans="12:153" ht="19.25" customHeight="1" thickBot="1" x14ac:dyDescent="0.25"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L89" s="4"/>
      <c r="BM89" s="4"/>
    </row>
    <row r="90" spans="12:153" ht="39" x14ac:dyDescent="0.45"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191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EN90" s="1"/>
      <c r="EO90" s="1"/>
      <c r="EP90" s="1"/>
      <c r="EQ90" s="1"/>
      <c r="ER90" s="1"/>
      <c r="ES90" s="1"/>
      <c r="EV90" s="63" t="s">
        <v>1</v>
      </c>
      <c r="EW90" s="58" t="s">
        <v>0</v>
      </c>
    </row>
    <row r="91" spans="12:153" ht="18" x14ac:dyDescent="0.25"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EM91" s="1"/>
      <c r="EN91" s="1"/>
      <c r="EO91" s="1"/>
      <c r="EP91" s="1"/>
      <c r="EQ91" s="1"/>
      <c r="ER91" s="1"/>
      <c r="EV91" s="65" t="s">
        <v>93</v>
      </c>
      <c r="EW91" s="64" t="s">
        <v>97</v>
      </c>
    </row>
    <row r="92" spans="12:153" ht="17" thickBot="1" x14ac:dyDescent="0.25"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16" t="s">
        <v>283</v>
      </c>
      <c r="AZ92" s="4" t="s">
        <v>288</v>
      </c>
      <c r="BA92" s="4"/>
      <c r="BB92" s="4" t="s">
        <v>289</v>
      </c>
      <c r="BC92" s="4"/>
      <c r="BD92" s="4"/>
      <c r="BE92" s="4"/>
      <c r="BF92" s="4"/>
      <c r="BG92" s="4"/>
      <c r="BH92" s="4"/>
      <c r="BI92" s="4"/>
      <c r="EL92" s="1"/>
      <c r="EM92" s="1"/>
      <c r="EN92" s="1"/>
      <c r="EO92" s="1"/>
      <c r="EP92" s="1"/>
      <c r="EQ92" s="1"/>
      <c r="EV92" s="50">
        <f>EN97</f>
        <v>229.94813284002646</v>
      </c>
      <c r="EW92" s="48">
        <f>EW97</f>
        <v>67875.356217847453</v>
      </c>
    </row>
    <row r="93" spans="12:153" ht="18.5" customHeight="1" x14ac:dyDescent="0.2"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EL93" s="1"/>
      <c r="EM93" s="1"/>
      <c r="EN93" s="1"/>
      <c r="EO93" s="1"/>
      <c r="EP93" s="1"/>
      <c r="EQ93" s="1"/>
    </row>
    <row r="94" spans="12:153" ht="18" customHeight="1" x14ac:dyDescent="0.25"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EM94" s="1"/>
      <c r="EN94" s="1" t="s">
        <v>1</v>
      </c>
      <c r="EO94" s="1" t="s">
        <v>5</v>
      </c>
      <c r="EP94" s="1" t="s">
        <v>6</v>
      </c>
      <c r="EQ94" s="1" t="s">
        <v>7</v>
      </c>
      <c r="ER94" s="1" t="s">
        <v>8</v>
      </c>
      <c r="ES94" s="1" t="s">
        <v>9</v>
      </c>
      <c r="ET94" s="1" t="s">
        <v>10</v>
      </c>
      <c r="EU94" s="1" t="s">
        <v>51</v>
      </c>
      <c r="EV94" s="1" t="s">
        <v>52</v>
      </c>
      <c r="EW94" s="1" t="s">
        <v>53</v>
      </c>
    </row>
    <row r="95" spans="12:153" ht="19.25" customHeight="1" x14ac:dyDescent="0.25">
      <c r="L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16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EM95" s="2" t="s">
        <v>43</v>
      </c>
      <c r="EN95" s="2" t="s">
        <v>12</v>
      </c>
      <c r="EO95" s="2" t="s">
        <v>13</v>
      </c>
      <c r="EP95" s="2" t="s">
        <v>14</v>
      </c>
      <c r="EQ95" s="2" t="s">
        <v>15</v>
      </c>
      <c r="ER95" s="2" t="s">
        <v>27</v>
      </c>
      <c r="ES95" s="2" t="s">
        <v>27</v>
      </c>
      <c r="ET95" s="2" t="s">
        <v>15</v>
      </c>
      <c r="EU95" s="2" t="s">
        <v>15</v>
      </c>
      <c r="EV95" s="2" t="s">
        <v>28</v>
      </c>
      <c r="EW95" s="1" t="s">
        <v>50</v>
      </c>
    </row>
    <row r="96" spans="12:153" ht="18" x14ac:dyDescent="0.25">
      <c r="L96" s="4"/>
      <c r="M96" s="4"/>
      <c r="N96" s="4"/>
      <c r="O96" s="16" t="s">
        <v>283</v>
      </c>
      <c r="P96" s="98" t="s">
        <v>284</v>
      </c>
      <c r="Q96" s="4" t="s">
        <v>285</v>
      </c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EL96" s="238" t="s">
        <v>22</v>
      </c>
      <c r="EM96" s="1" t="s">
        <v>24</v>
      </c>
      <c r="EN96" s="1">
        <f>Slag_BF_out</f>
        <v>229.94813284002646</v>
      </c>
      <c r="EO96" s="6">
        <f>MW_CaSiO3</f>
        <v>0.11616169999999999</v>
      </c>
      <c r="EP96" s="6">
        <f>EN96/EO96</f>
        <v>1979.552062685261</v>
      </c>
      <c r="EQ96" s="7">
        <f>b_ch_CaSiO3</f>
        <v>34.288240000000087</v>
      </c>
      <c r="ER96" s="6">
        <f>EP96/EP96</f>
        <v>1</v>
      </c>
      <c r="ES96" s="1">
        <f>LN(ER96)</f>
        <v>0</v>
      </c>
      <c r="ET96" s="1">
        <f>RT0*ES96</f>
        <v>0</v>
      </c>
      <c r="EU96" s="1">
        <f>EQ96+ET96</f>
        <v>34.288240000000087</v>
      </c>
      <c r="EV96" s="1">
        <f>EU96*ER96</f>
        <v>34.288240000000087</v>
      </c>
      <c r="EW96" s="8">
        <f>$EP$97*EV96</f>
        <v>67875.356217847453</v>
      </c>
    </row>
    <row r="97" spans="3:153" ht="16" x14ac:dyDescent="0.2">
      <c r="L97" s="16"/>
      <c r="M97" s="4"/>
      <c r="N97" s="4"/>
      <c r="O97" s="4"/>
      <c r="P97" s="4"/>
      <c r="Q97" s="4"/>
      <c r="R97" s="98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L97" s="4"/>
      <c r="EM97" s="8" t="s">
        <v>20</v>
      </c>
      <c r="EN97" s="27">
        <f>SUM(EN96)</f>
        <v>229.94813284002646</v>
      </c>
      <c r="EO97" s="27">
        <f>SUM(EO96)</f>
        <v>0.11616169999999999</v>
      </c>
      <c r="EP97" s="27">
        <f>SUM(EP96)</f>
        <v>1979.552062685261</v>
      </c>
      <c r="EQ97" s="27">
        <f>SUM(EQ96)</f>
        <v>34.288240000000087</v>
      </c>
      <c r="ER97" s="27">
        <f>SUM(ER96)</f>
        <v>1</v>
      </c>
      <c r="ES97" s="27"/>
      <c r="ET97" s="27"/>
      <c r="EU97" s="27">
        <f>SUM(EU96)</f>
        <v>34.288240000000087</v>
      </c>
      <c r="EV97" s="27">
        <f>SUM(EV96)</f>
        <v>34.288240000000087</v>
      </c>
      <c r="EW97" s="27">
        <f>SUM(EW96)</f>
        <v>67875.356217847453</v>
      </c>
    </row>
    <row r="98" spans="3:153" ht="19.25" customHeight="1" x14ac:dyDescent="0.25">
      <c r="L98" s="4"/>
      <c r="O98" s="294" t="s">
        <v>456</v>
      </c>
      <c r="P98" s="289"/>
      <c r="Q98" s="289"/>
      <c r="R98" s="289"/>
      <c r="S98" s="289"/>
      <c r="T98" s="289"/>
      <c r="U98" s="289"/>
      <c r="V98" s="6"/>
      <c r="W98" s="6"/>
      <c r="X98" s="114"/>
      <c r="Y98" s="114"/>
      <c r="Z98" s="114"/>
      <c r="AA98" s="114"/>
      <c r="AB98" s="6"/>
      <c r="AC98" s="6"/>
      <c r="AD98" s="6"/>
      <c r="AE98" s="6"/>
      <c r="AF98" s="294" t="s">
        <v>457</v>
      </c>
      <c r="AG98" s="289"/>
      <c r="AH98" s="289"/>
      <c r="AI98" s="289"/>
      <c r="AJ98" s="289"/>
      <c r="AK98" s="289"/>
      <c r="AL98" s="289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289" t="s">
        <v>461</v>
      </c>
      <c r="AX98" s="289"/>
      <c r="AY98" s="289"/>
      <c r="AZ98" s="289"/>
      <c r="BA98" s="289"/>
      <c r="BB98" s="289"/>
      <c r="BC98" s="289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4"/>
      <c r="CJ98" s="4"/>
      <c r="CK98" s="4"/>
      <c r="CL98" s="4"/>
      <c r="CM98" s="4"/>
      <c r="CP98" s="4"/>
      <c r="CQ98" s="4"/>
      <c r="EA98" s="16" t="s">
        <v>362</v>
      </c>
      <c r="EM98" s="1"/>
      <c r="EN98" s="1" t="s">
        <v>93</v>
      </c>
      <c r="EO98" s="3" t="s">
        <v>95</v>
      </c>
      <c r="EP98" s="3" t="s">
        <v>91</v>
      </c>
      <c r="EQ98" s="4"/>
      <c r="ER98" s="4"/>
      <c r="EV98" s="3" t="s">
        <v>100</v>
      </c>
      <c r="EW98" s="1" t="s">
        <v>97</v>
      </c>
    </row>
    <row r="99" spans="3:153" ht="20" customHeight="1" thickBot="1" x14ac:dyDescent="0.25">
      <c r="G99" s="296" t="s">
        <v>377</v>
      </c>
      <c r="H99" s="296"/>
      <c r="I99" s="296"/>
      <c r="L99" s="4"/>
      <c r="M99" s="4"/>
      <c r="N99" s="4"/>
      <c r="O99" s="15" t="s">
        <v>268</v>
      </c>
      <c r="P99" s="115" t="s">
        <v>267</v>
      </c>
      <c r="Q99" s="115" t="s">
        <v>239</v>
      </c>
      <c r="R99" s="115" t="s">
        <v>239</v>
      </c>
      <c r="S99" s="115" t="s">
        <v>239</v>
      </c>
      <c r="T99" s="116" t="s">
        <v>326</v>
      </c>
      <c r="U99" s="115" t="s">
        <v>320</v>
      </c>
      <c r="V99" s="6"/>
      <c r="W99" s="6"/>
      <c r="X99" s="6"/>
      <c r="Y99" s="6"/>
      <c r="Z99" s="6"/>
      <c r="AA99" s="6"/>
      <c r="AB99" s="114"/>
      <c r="AC99" s="114"/>
      <c r="AD99" s="114"/>
      <c r="AE99" s="114"/>
      <c r="AF99" s="15" t="s">
        <v>268</v>
      </c>
      <c r="AG99" s="115" t="s">
        <v>267</v>
      </c>
      <c r="AH99" s="115" t="s">
        <v>239</v>
      </c>
      <c r="AI99" s="115" t="s">
        <v>38</v>
      </c>
      <c r="AJ99" s="115" t="s">
        <v>239</v>
      </c>
      <c r="AK99" s="116" t="s">
        <v>326</v>
      </c>
      <c r="AL99" s="115" t="s">
        <v>320</v>
      </c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15" t="s">
        <v>268</v>
      </c>
      <c r="AX99" s="115" t="s">
        <v>267</v>
      </c>
      <c r="AY99" s="115" t="s">
        <v>239</v>
      </c>
      <c r="AZ99" s="115" t="s">
        <v>239</v>
      </c>
      <c r="BA99" s="115" t="s">
        <v>239</v>
      </c>
      <c r="BB99" s="116" t="s">
        <v>326</v>
      </c>
      <c r="BC99" s="115" t="s">
        <v>320</v>
      </c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Y99" s="6"/>
      <c r="BZ99" s="6"/>
      <c r="CA99" s="6"/>
      <c r="CB99" s="6"/>
      <c r="CC99" s="6"/>
      <c r="CD99" s="6"/>
      <c r="CE99" s="6"/>
      <c r="CF99" s="6"/>
      <c r="CG99" s="6"/>
      <c r="CH99" s="4"/>
      <c r="CI99" s="4"/>
      <c r="CJ99" s="4"/>
      <c r="CK99" s="4"/>
      <c r="CN99" s="4"/>
      <c r="CO99" s="4"/>
      <c r="EH99" s="1"/>
      <c r="EI99" s="1"/>
      <c r="EJ99" s="1"/>
      <c r="EK99" s="1"/>
      <c r="EL99" s="1"/>
    </row>
    <row r="100" spans="3:153" ht="19" thickBot="1" x14ac:dyDescent="0.3">
      <c r="G100" s="297"/>
      <c r="H100" s="297"/>
      <c r="I100" s="297"/>
      <c r="L100" s="4"/>
      <c r="M100" s="4"/>
      <c r="N100" s="4"/>
      <c r="O100" s="15" t="s">
        <v>102</v>
      </c>
      <c r="P100" s="15" t="s">
        <v>102</v>
      </c>
      <c r="Q100" s="115" t="s">
        <v>339</v>
      </c>
      <c r="R100" s="115" t="s">
        <v>340</v>
      </c>
      <c r="S100" s="115" t="s">
        <v>50</v>
      </c>
      <c r="T100" s="116" t="s">
        <v>102</v>
      </c>
      <c r="U100" s="115" t="s">
        <v>50</v>
      </c>
      <c r="V100" s="6"/>
      <c r="W100" s="6"/>
      <c r="X100" s="6"/>
      <c r="Y100" s="6"/>
      <c r="Z100" s="6"/>
      <c r="AA100" s="6"/>
      <c r="AB100" s="114"/>
      <c r="AC100" s="114"/>
      <c r="AD100" s="114"/>
      <c r="AE100" s="114"/>
      <c r="AF100" s="15" t="s">
        <v>102</v>
      </c>
      <c r="AG100" s="15" t="s">
        <v>102</v>
      </c>
      <c r="AH100" s="115" t="s">
        <v>241</v>
      </c>
      <c r="AI100" s="115" t="s">
        <v>240</v>
      </c>
      <c r="AJ100" s="115" t="s">
        <v>50</v>
      </c>
      <c r="AK100" s="116" t="s">
        <v>102</v>
      </c>
      <c r="AL100" s="115" t="s">
        <v>50</v>
      </c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15" t="s">
        <v>102</v>
      </c>
      <c r="AX100" s="15" t="s">
        <v>102</v>
      </c>
      <c r="AY100" s="115" t="s">
        <v>234</v>
      </c>
      <c r="AZ100" s="115" t="s">
        <v>340</v>
      </c>
      <c r="BA100" s="115" t="s">
        <v>50</v>
      </c>
      <c r="BB100" s="116" t="s">
        <v>102</v>
      </c>
      <c r="BC100" s="115" t="s">
        <v>50</v>
      </c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X100" s="6"/>
      <c r="BY100" s="6"/>
      <c r="BZ100" s="6"/>
      <c r="CA100" s="6"/>
      <c r="CB100" s="6"/>
      <c r="CC100" s="6"/>
      <c r="CD100" s="114"/>
      <c r="CE100" s="114"/>
      <c r="CF100" s="114"/>
      <c r="CG100" s="114"/>
      <c r="CH100" s="114"/>
      <c r="CI100" s="6"/>
      <c r="CJ100" s="119" t="s">
        <v>1</v>
      </c>
      <c r="CK100" s="120" t="s">
        <v>0</v>
      </c>
      <c r="CL100" s="199"/>
      <c r="CM100" s="4"/>
      <c r="CN100" s="4"/>
      <c r="CO100" s="4"/>
      <c r="CR100" s="4"/>
      <c r="CS100" s="4"/>
      <c r="EA100" s="289" t="s">
        <v>463</v>
      </c>
      <c r="EB100" s="289"/>
      <c r="EC100" s="289"/>
      <c r="ED100" s="289"/>
      <c r="EE100" s="289"/>
      <c r="EF100" s="289"/>
      <c r="EG100" s="289"/>
    </row>
    <row r="101" spans="3:153" ht="18" x14ac:dyDescent="0.25">
      <c r="G101" s="110" t="s">
        <v>330</v>
      </c>
      <c r="H101" s="281" t="s">
        <v>356</v>
      </c>
      <c r="I101" s="139" t="s">
        <v>321</v>
      </c>
      <c r="L101" s="4"/>
      <c r="M101" s="4"/>
      <c r="N101" s="4"/>
      <c r="O101" s="15" t="s">
        <v>282</v>
      </c>
      <c r="P101" s="115" t="s">
        <v>274</v>
      </c>
      <c r="Q101" s="15">
        <v>5570</v>
      </c>
      <c r="R101" s="115">
        <f t="shared" ref="R101:R109" si="36">Q101*Btu_to_kJ</f>
        <v>5876.6842000000006</v>
      </c>
      <c r="S101" s="115">
        <f t="shared" ref="S101:S109" si="37">R101*($W$119/1000)</f>
        <v>61.28077095942907</v>
      </c>
      <c r="T101" s="115">
        <v>1.06</v>
      </c>
      <c r="U101" s="115">
        <f>S101*T101</f>
        <v>64.957617216994819</v>
      </c>
      <c r="V101" s="6"/>
      <c r="W101" s="6"/>
      <c r="X101" s="6"/>
      <c r="Y101" s="6"/>
      <c r="Z101" s="6"/>
      <c r="AA101" s="6"/>
      <c r="AB101" s="114"/>
      <c r="AC101" s="114"/>
      <c r="AD101" s="114"/>
      <c r="AE101" s="114"/>
      <c r="AF101" s="115" t="s">
        <v>269</v>
      </c>
      <c r="AG101" s="115" t="s">
        <v>306</v>
      </c>
      <c r="AH101" s="115">
        <v>700</v>
      </c>
      <c r="AI101" s="115">
        <v>387</v>
      </c>
      <c r="AJ101" s="15">
        <f>AI101*AH101*(W119/1000)</f>
        <v>2824.8856477449194</v>
      </c>
      <c r="AK101" s="15">
        <v>1</v>
      </c>
      <c r="AL101" s="15">
        <f>AJ101*AK101</f>
        <v>2824.8856477449194</v>
      </c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15" t="s">
        <v>269</v>
      </c>
      <c r="AX101" s="115" t="s">
        <v>181</v>
      </c>
      <c r="AY101" s="115">
        <f>1660+995</f>
        <v>2655</v>
      </c>
      <c r="AZ101" s="15">
        <f>AY101*Btu_to_kJ</f>
        <v>2801.1843000000003</v>
      </c>
      <c r="BA101" s="15">
        <f>AZ101*($AO$119/1000)</f>
        <v>29.210134092869691</v>
      </c>
      <c r="BB101" s="15">
        <v>1</v>
      </c>
      <c r="BC101" s="15">
        <f>BA101*BB101</f>
        <v>29.210134092869691</v>
      </c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117" t="s">
        <v>325</v>
      </c>
      <c r="BX101" s="6"/>
      <c r="BY101" s="6"/>
      <c r="BZ101" s="6"/>
      <c r="CA101" s="6"/>
      <c r="CB101" s="6"/>
      <c r="CC101" s="6"/>
      <c r="CD101" s="6"/>
      <c r="CE101" s="6"/>
      <c r="CF101" s="114"/>
      <c r="CG101" s="114"/>
      <c r="CH101" s="114"/>
      <c r="CI101" s="6"/>
      <c r="CJ101" s="108" t="s">
        <v>328</v>
      </c>
      <c r="CK101" s="109" t="s">
        <v>329</v>
      </c>
      <c r="CL101" s="6"/>
      <c r="CM101" s="4"/>
      <c r="CN101" s="4"/>
      <c r="CO101" s="4"/>
      <c r="CR101" s="4"/>
      <c r="CS101" s="4"/>
      <c r="EA101" s="15" t="s">
        <v>268</v>
      </c>
      <c r="EB101" s="115" t="s">
        <v>267</v>
      </c>
      <c r="EC101" s="115" t="s">
        <v>239</v>
      </c>
      <c r="ED101" s="115" t="s">
        <v>239</v>
      </c>
      <c r="EE101" s="115" t="s">
        <v>239</v>
      </c>
      <c r="EF101" s="116" t="s">
        <v>326</v>
      </c>
      <c r="EG101" s="115" t="s">
        <v>320</v>
      </c>
    </row>
    <row r="102" spans="3:153" ht="19" thickBot="1" x14ac:dyDescent="0.3">
      <c r="G102" s="112" t="s">
        <v>50</v>
      </c>
      <c r="H102" s="282"/>
      <c r="I102" s="137" t="s">
        <v>50</v>
      </c>
      <c r="L102" s="4"/>
      <c r="M102" s="4"/>
      <c r="N102" s="4"/>
      <c r="O102" s="15" t="s">
        <v>282</v>
      </c>
      <c r="P102" s="15" t="s">
        <v>275</v>
      </c>
      <c r="Q102" s="15">
        <v>5140</v>
      </c>
      <c r="R102" s="115">
        <f t="shared" si="36"/>
        <v>5423.0084000000006</v>
      </c>
      <c r="S102" s="115">
        <f t="shared" si="37"/>
        <v>56.549939449096122</v>
      </c>
      <c r="T102" s="115">
        <v>1.06</v>
      </c>
      <c r="U102" s="115">
        <f t="shared" ref="U102:U109" si="38">S102*T102</f>
        <v>59.942935816041896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15" t="s">
        <v>269</v>
      </c>
      <c r="AX102" s="115" t="s">
        <v>253</v>
      </c>
      <c r="AY102" s="115">
        <v>332</v>
      </c>
      <c r="AZ102" s="15">
        <f>AY102*Btu_to_kJ</f>
        <v>350.27992000000006</v>
      </c>
      <c r="BA102" s="15">
        <f>AZ102*($AO$119/1000)</f>
        <v>3.6526420033268314</v>
      </c>
      <c r="BB102" s="15">
        <v>1</v>
      </c>
      <c r="BC102" s="15">
        <f t="shared" ref="BC102:BC103" si="39">BA102*BB102</f>
        <v>3.6526420033268314</v>
      </c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 t="s">
        <v>419</v>
      </c>
      <c r="BX102" s="6"/>
      <c r="BY102" s="6"/>
      <c r="BZ102" s="6"/>
      <c r="CA102" s="6"/>
      <c r="CB102" s="6"/>
      <c r="CC102" s="6"/>
      <c r="CD102" s="6"/>
      <c r="CE102" s="6"/>
      <c r="CF102" s="114"/>
      <c r="CG102" s="114"/>
      <c r="CH102" s="114"/>
      <c r="CI102" s="6"/>
      <c r="CJ102" s="123">
        <f>CA107</f>
        <v>4.9847525450981189</v>
      </c>
      <c r="CK102" s="124">
        <f>CK107</f>
        <v>7739.2511800711582</v>
      </c>
      <c r="CL102" s="114"/>
      <c r="CM102" s="4"/>
      <c r="CN102" s="4"/>
      <c r="CQ102" s="4"/>
      <c r="CR102" s="4"/>
      <c r="EA102" s="15" t="s">
        <v>102</v>
      </c>
      <c r="EB102" s="15" t="s">
        <v>102</v>
      </c>
      <c r="EC102" s="115" t="s">
        <v>234</v>
      </c>
      <c r="ED102" s="115" t="s">
        <v>340</v>
      </c>
      <c r="EE102" s="115" t="s">
        <v>50</v>
      </c>
      <c r="EF102" s="116" t="s">
        <v>102</v>
      </c>
      <c r="EG102" s="115" t="s">
        <v>50</v>
      </c>
    </row>
    <row r="103" spans="3:153" ht="17" thickBot="1" x14ac:dyDescent="0.25">
      <c r="G103" s="125">
        <f>N114+U110-$AG$114</f>
        <v>279.42865352522858</v>
      </c>
      <c r="H103" s="140" t="s">
        <v>353</v>
      </c>
      <c r="I103" s="137">
        <f>(($G$118*($M$118-0)))/U110</f>
        <v>74.139326198018011</v>
      </c>
      <c r="L103" s="4"/>
      <c r="M103" s="4"/>
      <c r="N103" s="4"/>
      <c r="O103" s="15" t="s">
        <v>282</v>
      </c>
      <c r="P103" s="15" t="s">
        <v>256</v>
      </c>
      <c r="Q103" s="15">
        <f>3660+2040+1020+133</f>
        <v>6853</v>
      </c>
      <c r="R103" s="115">
        <f t="shared" si="36"/>
        <v>7230.3261800000009</v>
      </c>
      <c r="S103" s="115">
        <f t="shared" si="37"/>
        <v>75.396251954213184</v>
      </c>
      <c r="T103" s="115">
        <v>1.06</v>
      </c>
      <c r="U103" s="115">
        <f t="shared" si="38"/>
        <v>79.920027071465981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15" t="s">
        <v>269</v>
      </c>
      <c r="AX103" s="115" t="s">
        <v>263</v>
      </c>
      <c r="AY103" s="115">
        <v>165</v>
      </c>
      <c r="AZ103" s="15">
        <f>AY103*Btu_to_kJ</f>
        <v>174.0849</v>
      </c>
      <c r="BA103" s="15">
        <f>AZ103*($AO$119/1000)</f>
        <v>1.8153190679184552</v>
      </c>
      <c r="BB103" s="15">
        <v>1</v>
      </c>
      <c r="BC103" s="15">
        <f t="shared" si="39"/>
        <v>1.8153190679184552</v>
      </c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X103" s="6"/>
      <c r="BY103" s="6"/>
      <c r="BZ103" s="6"/>
      <c r="CA103" s="6"/>
      <c r="CB103" s="6"/>
      <c r="CC103" s="6"/>
      <c r="CD103" s="6"/>
      <c r="CE103" s="6"/>
      <c r="CF103" s="114"/>
      <c r="CG103" s="114"/>
      <c r="CH103" s="6"/>
      <c r="CI103" s="6"/>
      <c r="CJ103" s="114"/>
      <c r="CK103" s="4"/>
      <c r="CL103" s="4"/>
      <c r="CM103" s="4"/>
      <c r="CP103" s="4"/>
      <c r="CQ103" s="4"/>
      <c r="EA103" s="15" t="s">
        <v>292</v>
      </c>
      <c r="EB103" s="115"/>
      <c r="EC103" s="115">
        <f>1.62*10^6</f>
        <v>1620000</v>
      </c>
      <c r="ED103" s="15">
        <f>EC103*Btu_to_kJ</f>
        <v>1709197.2000000002</v>
      </c>
      <c r="EE103" s="15">
        <f>ED103*($DX$114/1000)</f>
        <v>2238733.4600397157</v>
      </c>
      <c r="EF103" s="15">
        <v>1.04</v>
      </c>
      <c r="EG103" s="15">
        <f>EE103*EF103</f>
        <v>2328282.7984413044</v>
      </c>
    </row>
    <row r="104" spans="3:153" ht="19.25" customHeight="1" x14ac:dyDescent="0.25">
      <c r="G104" s="6"/>
      <c r="H104" s="140" t="s">
        <v>354</v>
      </c>
      <c r="I104" s="137">
        <f>AG114/U110</f>
        <v>90.879158583198233</v>
      </c>
      <c r="L104" s="4"/>
      <c r="M104" s="4"/>
      <c r="N104" s="4"/>
      <c r="O104" s="15" t="s">
        <v>282</v>
      </c>
      <c r="P104" s="15" t="s">
        <v>276</v>
      </c>
      <c r="Q104" s="15">
        <f>3100</f>
        <v>3100</v>
      </c>
      <c r="R104" s="115">
        <f t="shared" si="36"/>
        <v>3270.6860000000001</v>
      </c>
      <c r="S104" s="115">
        <f t="shared" si="37"/>
        <v>34.105994609377035</v>
      </c>
      <c r="T104" s="115">
        <v>1.06</v>
      </c>
      <c r="U104" s="115">
        <f t="shared" si="38"/>
        <v>36.152354285939658</v>
      </c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15"/>
      <c r="AX104" s="115" t="s">
        <v>20</v>
      </c>
      <c r="AY104" s="115">
        <f>SUM(AY101:AY103)</f>
        <v>3152</v>
      </c>
      <c r="AZ104" s="115">
        <f>SUM(AZ101:AZ103)</f>
        <v>3325.5491200000001</v>
      </c>
      <c r="BA104" s="115">
        <f>SUM(BA101:BA103)</f>
        <v>34.678095164114971</v>
      </c>
      <c r="BB104" s="115"/>
      <c r="BC104" s="115">
        <f>SUM(BC101:BC103)</f>
        <v>34.678095164114971</v>
      </c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X104" s="6"/>
      <c r="BY104" s="6"/>
      <c r="BZ104" s="6"/>
      <c r="CA104" s="3" t="s">
        <v>1</v>
      </c>
      <c r="CB104" s="3" t="s">
        <v>49</v>
      </c>
      <c r="CC104" s="3" t="s">
        <v>5</v>
      </c>
      <c r="CD104" s="3" t="s">
        <v>376</v>
      </c>
      <c r="CE104" s="1" t="s">
        <v>136</v>
      </c>
      <c r="CF104" s="1" t="s">
        <v>133</v>
      </c>
      <c r="CG104" s="1" t="s">
        <v>9</v>
      </c>
      <c r="CH104" s="1" t="s">
        <v>137</v>
      </c>
      <c r="CI104" s="1" t="s">
        <v>138</v>
      </c>
      <c r="CJ104" s="1" t="s">
        <v>139</v>
      </c>
      <c r="CK104" s="1" t="s">
        <v>140</v>
      </c>
      <c r="CL104" s="6"/>
      <c r="CM104" s="4"/>
      <c r="CP104" s="4"/>
      <c r="CQ104" s="4"/>
      <c r="EA104" s="15" t="s">
        <v>361</v>
      </c>
      <c r="EB104" s="115"/>
      <c r="EC104" s="115">
        <f>0.14*10^6</f>
        <v>140000</v>
      </c>
      <c r="ED104" s="15">
        <f>EC104*Btu_to_kJ</f>
        <v>147708.40000000002</v>
      </c>
      <c r="EE104" s="15">
        <f>ED104*($DX$114/1000)</f>
        <v>193470.79284293839</v>
      </c>
      <c r="EF104" s="15">
        <v>1.06</v>
      </c>
      <c r="EG104" s="15">
        <f t="shared" ref="EG104:EG105" si="40">EE104*EF104</f>
        <v>205079.04041351471</v>
      </c>
    </row>
    <row r="105" spans="3:153" ht="19" thickBot="1" x14ac:dyDescent="0.3">
      <c r="G105" s="6"/>
      <c r="H105" s="141" t="s">
        <v>355</v>
      </c>
      <c r="I105" s="138">
        <f>$AG$118/$U$110</f>
        <v>78.771372051220894</v>
      </c>
      <c r="L105" s="4"/>
      <c r="M105" s="4"/>
      <c r="N105" s="4"/>
      <c r="O105" s="15" t="s">
        <v>282</v>
      </c>
      <c r="P105" s="15" t="s">
        <v>277</v>
      </c>
      <c r="Q105" s="15">
        <v>1060</v>
      </c>
      <c r="R105" s="115">
        <f t="shared" si="36"/>
        <v>1118.3636000000001</v>
      </c>
      <c r="S105" s="115">
        <f t="shared" si="37"/>
        <v>11.662049769657957</v>
      </c>
      <c r="T105" s="115">
        <v>1.06</v>
      </c>
      <c r="U105" s="115">
        <f t="shared" si="38"/>
        <v>12.361772755837434</v>
      </c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X105" s="6"/>
      <c r="BY105" s="6"/>
      <c r="BZ105" s="6" t="s">
        <v>43</v>
      </c>
      <c r="CA105" s="6" t="s">
        <v>331</v>
      </c>
      <c r="CB105" s="6" t="s">
        <v>341</v>
      </c>
      <c r="CC105" s="6" t="s">
        <v>332</v>
      </c>
      <c r="CD105" s="6" t="s">
        <v>333</v>
      </c>
      <c r="CE105" s="6" t="s">
        <v>334</v>
      </c>
      <c r="CF105" s="6" t="s">
        <v>335</v>
      </c>
      <c r="CG105" s="6" t="s">
        <v>102</v>
      </c>
      <c r="CH105" s="6" t="s">
        <v>334</v>
      </c>
      <c r="CI105" s="6" t="s">
        <v>334</v>
      </c>
      <c r="CJ105" s="6" t="s">
        <v>336</v>
      </c>
      <c r="CK105" s="6" t="s">
        <v>337</v>
      </c>
      <c r="CL105" s="6"/>
      <c r="CM105" s="4"/>
      <c r="CN105" s="4"/>
      <c r="CO105" s="4"/>
      <c r="CR105" s="4"/>
      <c r="CS105" s="4"/>
      <c r="EA105" s="15" t="s">
        <v>269</v>
      </c>
      <c r="EB105" s="115"/>
      <c r="EC105" s="115">
        <f>0.23*10^6</f>
        <v>230000</v>
      </c>
      <c r="ED105" s="15">
        <f>EC105*Btu_to_kJ</f>
        <v>242663.80000000002</v>
      </c>
      <c r="EE105" s="15">
        <f>ED105*($DX$114/1000)</f>
        <v>317844.87395625591</v>
      </c>
      <c r="EF105" s="15">
        <v>1</v>
      </c>
      <c r="EG105" s="15">
        <f t="shared" si="40"/>
        <v>317844.87395625591</v>
      </c>
    </row>
    <row r="106" spans="3:153" ht="17" x14ac:dyDescent="0.2">
      <c r="L106" s="4"/>
      <c r="M106" s="4"/>
      <c r="N106" s="4"/>
      <c r="O106" s="15" t="s">
        <v>282</v>
      </c>
      <c r="P106" s="118" t="s">
        <v>278</v>
      </c>
      <c r="Q106" s="15">
        <v>60</v>
      </c>
      <c r="R106" s="115">
        <f t="shared" si="36"/>
        <v>63.303600000000003</v>
      </c>
      <c r="S106" s="115">
        <f t="shared" si="37"/>
        <v>0.6601160246976201</v>
      </c>
      <c r="T106" s="115">
        <v>1.06</v>
      </c>
      <c r="U106" s="115">
        <f t="shared" si="38"/>
        <v>0.69972298617947737</v>
      </c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K106" s="1"/>
      <c r="BL106" s="1"/>
      <c r="BM106" s="1"/>
      <c r="BX106" s="6"/>
      <c r="BY106" s="375" t="s">
        <v>520</v>
      </c>
      <c r="BZ106" s="113" t="s">
        <v>183</v>
      </c>
      <c r="CA106" s="33">
        <f>MgO_out</f>
        <v>4.9847525450981189</v>
      </c>
      <c r="CB106" s="33">
        <v>1</v>
      </c>
      <c r="CC106" s="33">
        <f>MW_MgO</f>
        <v>4.0304400000000004E-2</v>
      </c>
      <c r="CD106" s="33">
        <f>CA106/CC106</f>
        <v>123.67762688684408</v>
      </c>
      <c r="CE106" s="33">
        <f>b_ch_MgO</f>
        <v>62.576000000000022</v>
      </c>
      <c r="CF106" s="126">
        <f>CD106/CD107</f>
        <v>1</v>
      </c>
      <c r="CG106" s="126">
        <f>LN(CF106)</f>
        <v>0</v>
      </c>
      <c r="CH106" s="126">
        <f>RT0*CG106</f>
        <v>0</v>
      </c>
      <c r="CI106" s="33">
        <f>CH106+CE106</f>
        <v>62.576000000000022</v>
      </c>
      <c r="CJ106" s="33">
        <f>CI106*CF106</f>
        <v>62.576000000000022</v>
      </c>
      <c r="CK106" s="126">
        <f>CJ106*CD107</f>
        <v>7739.2511800711582</v>
      </c>
      <c r="CL106" s="114"/>
      <c r="CM106" s="4"/>
      <c r="CN106" s="4"/>
      <c r="CO106" s="4"/>
      <c r="CP106" s="4"/>
      <c r="CS106" s="4"/>
      <c r="CT106" s="4"/>
      <c r="EB106" s="115" t="s">
        <v>20</v>
      </c>
      <c r="EC106" s="115">
        <f>SUM(EC103:EC105)</f>
        <v>1990000</v>
      </c>
      <c r="ED106" s="115">
        <f>SUM(ED103:ED105)</f>
        <v>2099569.4</v>
      </c>
      <c r="EE106" s="115">
        <f>SUM(EE103:EE105)</f>
        <v>2750049.1268389104</v>
      </c>
      <c r="EF106" s="115"/>
      <c r="EG106" s="115">
        <f>SUM(EG103:EG105)</f>
        <v>2851206.7128110752</v>
      </c>
    </row>
    <row r="107" spans="3:153" ht="16" x14ac:dyDescent="0.2">
      <c r="L107" s="4"/>
      <c r="M107" s="4"/>
      <c r="N107" s="4"/>
      <c r="O107" s="15" t="s">
        <v>282</v>
      </c>
      <c r="P107" s="15" t="s">
        <v>279</v>
      </c>
      <c r="Q107" s="115">
        <v>170</v>
      </c>
      <c r="R107" s="115">
        <f t="shared" si="36"/>
        <v>179.36020000000002</v>
      </c>
      <c r="S107" s="115">
        <f t="shared" si="37"/>
        <v>1.8703287366432571</v>
      </c>
      <c r="T107" s="115">
        <v>1.06</v>
      </c>
      <c r="U107" s="115">
        <f t="shared" si="38"/>
        <v>1.9825484608418527</v>
      </c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114"/>
      <c r="AV107" s="114"/>
      <c r="AW107" s="114"/>
      <c r="AX107" s="114"/>
      <c r="AY107" s="114"/>
      <c r="AZ107" s="114"/>
      <c r="BA107" s="114"/>
      <c r="BB107" s="114"/>
      <c r="BC107" s="6"/>
      <c r="BD107" s="6"/>
      <c r="BE107" s="6"/>
      <c r="BF107" s="6"/>
      <c r="BG107" s="6"/>
      <c r="BH107" s="6"/>
      <c r="BI107" s="6"/>
      <c r="BK107" s="1"/>
      <c r="BL107" s="1"/>
      <c r="BM107" s="1"/>
      <c r="BN107" s="4"/>
      <c r="BX107" s="6"/>
      <c r="BY107" s="114"/>
      <c r="BZ107" s="6" t="s">
        <v>20</v>
      </c>
      <c r="CA107" s="6">
        <f>SUM(CA106)</f>
        <v>4.9847525450981189</v>
      </c>
      <c r="CB107" s="6"/>
      <c r="CC107" s="6">
        <f>SUM(CC106)</f>
        <v>4.0304400000000004E-2</v>
      </c>
      <c r="CD107" s="6">
        <f>SUM(CD106)</f>
        <v>123.67762688684408</v>
      </c>
      <c r="CE107" s="6"/>
      <c r="CF107" s="6"/>
      <c r="CG107" s="114"/>
      <c r="CH107" s="114"/>
      <c r="CI107" s="6"/>
      <c r="CJ107" s="6">
        <f>SUM(CJ106)</f>
        <v>62.576000000000022</v>
      </c>
      <c r="CK107" s="6">
        <f>SUM(CK106)</f>
        <v>7739.2511800711582</v>
      </c>
      <c r="CL107" s="6"/>
      <c r="CM107" s="4"/>
      <c r="CN107" s="4"/>
      <c r="CO107" s="4"/>
      <c r="CP107" s="4"/>
      <c r="CS107" s="4"/>
      <c r="CT107" s="4"/>
    </row>
    <row r="108" spans="3:153" ht="18" x14ac:dyDescent="0.25">
      <c r="L108" s="4"/>
      <c r="M108" s="4"/>
      <c r="N108" s="4"/>
      <c r="O108" s="15" t="s">
        <v>545</v>
      </c>
      <c r="P108" s="115" t="s">
        <v>280</v>
      </c>
      <c r="Q108" s="115">
        <v>2040</v>
      </c>
      <c r="R108" s="115">
        <f t="shared" si="36"/>
        <v>2152.3224</v>
      </c>
      <c r="S108" s="115">
        <f t="shared" si="37"/>
        <v>22.443944839719084</v>
      </c>
      <c r="T108" s="115">
        <v>1.04</v>
      </c>
      <c r="U108" s="115">
        <f t="shared" si="38"/>
        <v>23.341702633307847</v>
      </c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4"/>
      <c r="BM108" s="6"/>
      <c r="BN108" s="6"/>
      <c r="BX108" s="6"/>
      <c r="BY108" s="6"/>
      <c r="BZ108" s="6"/>
      <c r="CA108" s="6" t="s">
        <v>328</v>
      </c>
      <c r="CB108" s="6"/>
      <c r="CC108" s="114" t="s">
        <v>343</v>
      </c>
      <c r="CD108" s="114" t="s">
        <v>344</v>
      </c>
      <c r="CE108" s="6"/>
      <c r="CF108" s="6"/>
      <c r="CG108" s="114"/>
      <c r="CH108" s="114"/>
      <c r="CI108" s="114"/>
      <c r="CJ108" s="114" t="s">
        <v>345</v>
      </c>
      <c r="CK108" s="6" t="s">
        <v>329</v>
      </c>
      <c r="CL108" s="6"/>
      <c r="CM108" s="4"/>
      <c r="CN108" s="4"/>
      <c r="CO108" s="4"/>
      <c r="CP108" s="4"/>
      <c r="CS108" s="4"/>
      <c r="CT108" s="4"/>
    </row>
    <row r="109" spans="3:153" ht="19.25" customHeight="1" x14ac:dyDescent="0.2">
      <c r="L109" s="4"/>
      <c r="M109" s="4"/>
      <c r="N109" s="4"/>
      <c r="O109" s="15" t="s">
        <v>282</v>
      </c>
      <c r="P109" s="115" t="s">
        <v>281</v>
      </c>
      <c r="Q109" s="115">
        <v>6</v>
      </c>
      <c r="R109" s="115">
        <f t="shared" si="36"/>
        <v>6.3303600000000007</v>
      </c>
      <c r="S109" s="115">
        <f t="shared" si="37"/>
        <v>6.601160246976201E-2</v>
      </c>
      <c r="T109" s="115">
        <v>1.06</v>
      </c>
      <c r="U109" s="115">
        <f t="shared" si="38"/>
        <v>6.9972298617947737E-2</v>
      </c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4"/>
      <c r="CJ109" s="4"/>
      <c r="CK109" s="4"/>
      <c r="CL109" s="4"/>
      <c r="CM109" s="4"/>
      <c r="CP109" s="4"/>
      <c r="CQ109" s="4"/>
    </row>
    <row r="110" spans="3:153" ht="17" thickBot="1" x14ac:dyDescent="0.25">
      <c r="L110" s="4"/>
      <c r="M110" s="4"/>
      <c r="N110" s="4"/>
      <c r="O110" s="15"/>
      <c r="P110" s="115" t="s">
        <v>20</v>
      </c>
      <c r="Q110" s="115">
        <f>SUM(Q101:Q109)</f>
        <v>23999</v>
      </c>
      <c r="R110" s="115">
        <f>SUM(R101:R109)</f>
        <v>25320.384940000004</v>
      </c>
      <c r="S110" s="115">
        <f>SUM(S101:S109)</f>
        <v>264.03540794530312</v>
      </c>
      <c r="T110" s="115"/>
      <c r="U110" s="115">
        <f>SUM(U101:U109)</f>
        <v>279.42865352522688</v>
      </c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4"/>
      <c r="CJ110" s="4"/>
      <c r="CK110" s="4"/>
      <c r="CL110" s="4"/>
      <c r="CM110" s="4"/>
      <c r="CP110" s="4"/>
      <c r="CQ110" s="4"/>
    </row>
    <row r="111" spans="3:153" ht="17" thickBot="1" x14ac:dyDescent="0.25">
      <c r="M111" s="4"/>
      <c r="N111" s="4"/>
      <c r="O111" s="114"/>
      <c r="P111" s="6"/>
      <c r="Q111" s="114"/>
      <c r="R111" s="114"/>
      <c r="S111" s="114"/>
      <c r="T111" s="114"/>
      <c r="U111" s="114"/>
      <c r="V111" s="6"/>
      <c r="W111" s="6"/>
      <c r="X111" s="6"/>
      <c r="Y111" s="6"/>
      <c r="Z111" s="6"/>
      <c r="AA111" s="117" t="s">
        <v>325</v>
      </c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111" t="s">
        <v>352</v>
      </c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4"/>
      <c r="CM111" s="4"/>
      <c r="CN111" s="4"/>
      <c r="CO111" s="4"/>
      <c r="CP111" s="4"/>
      <c r="CS111" s="4"/>
      <c r="CT111" s="4"/>
      <c r="EL111" s="1"/>
      <c r="EM111" s="1"/>
      <c r="EN111" s="1"/>
      <c r="EO111" s="1"/>
      <c r="EP111" s="1"/>
      <c r="EQ111" s="1"/>
      <c r="ER111" s="1"/>
      <c r="ES111" s="1"/>
    </row>
    <row r="112" spans="3:153" ht="16" x14ac:dyDescent="0.2">
      <c r="C112" s="117"/>
      <c r="D112" s="6"/>
      <c r="E112" s="6"/>
      <c r="F112" s="6"/>
      <c r="G112" s="6"/>
      <c r="H112" s="6"/>
      <c r="I112" s="6"/>
      <c r="J112" s="6"/>
      <c r="K112" s="6"/>
      <c r="L112" s="6"/>
      <c r="M112" s="119" t="s">
        <v>1</v>
      </c>
      <c r="N112" s="120" t="s">
        <v>0</v>
      </c>
      <c r="O112" s="6"/>
      <c r="P112" s="3" t="s">
        <v>271</v>
      </c>
      <c r="Q112" s="4"/>
      <c r="R112" s="6"/>
      <c r="S112" s="6"/>
      <c r="T112" s="6"/>
      <c r="U112" s="6"/>
      <c r="V112" s="117"/>
      <c r="W112" s="6"/>
      <c r="X112" s="6"/>
      <c r="Y112" s="6"/>
      <c r="Z112" s="6"/>
      <c r="AA112" s="6"/>
      <c r="AB112" s="6"/>
      <c r="AC112" s="6"/>
      <c r="AD112" s="6"/>
      <c r="AE112" s="6"/>
      <c r="AF112" s="119" t="s">
        <v>1</v>
      </c>
      <c r="AG112" s="120" t="s">
        <v>0</v>
      </c>
      <c r="AH112" s="6"/>
      <c r="AI112" s="6"/>
      <c r="AJ112" s="6"/>
      <c r="AK112" s="6"/>
      <c r="AL112" s="6"/>
      <c r="AM112" s="6"/>
      <c r="AN112" s="117"/>
      <c r="AO112" s="6"/>
      <c r="AP112" s="6"/>
      <c r="AQ112" s="6"/>
      <c r="AR112" s="6"/>
      <c r="AS112" s="6"/>
      <c r="AT112" s="6"/>
      <c r="AU112" s="6"/>
      <c r="AV112" s="6"/>
      <c r="AW112" s="6"/>
      <c r="AX112" s="119" t="s">
        <v>1</v>
      </c>
      <c r="AY112" s="120" t="s">
        <v>0</v>
      </c>
      <c r="AZ112" s="6"/>
      <c r="BA112" s="6"/>
      <c r="BB112" s="6"/>
      <c r="BC112" s="6"/>
      <c r="BD112" s="6"/>
      <c r="BE112" s="6"/>
      <c r="BF112" s="117"/>
      <c r="BG112" s="6"/>
      <c r="BH112" s="6"/>
      <c r="BI112" s="6"/>
      <c r="BJ112" s="6"/>
      <c r="BK112" s="6"/>
      <c r="BL112" s="6"/>
      <c r="BM112" s="6"/>
      <c r="BN112" s="6"/>
      <c r="BO112" s="6"/>
      <c r="BP112" s="119" t="s">
        <v>1</v>
      </c>
      <c r="BQ112" s="120" t="s">
        <v>0</v>
      </c>
      <c r="BR112" s="114"/>
      <c r="BS112" s="114"/>
      <c r="BT112" s="134" t="s">
        <v>66</v>
      </c>
      <c r="BU112" s="114"/>
      <c r="BV112" s="114"/>
      <c r="BW112" s="114"/>
      <c r="BX112" s="114"/>
      <c r="BY112" s="114"/>
      <c r="BZ112" s="6"/>
      <c r="CA112" s="6"/>
      <c r="CB112" s="6"/>
      <c r="CC112" s="6"/>
      <c r="CD112" s="6"/>
      <c r="CE112" s="6"/>
      <c r="CF112" s="6"/>
      <c r="CG112" s="114"/>
      <c r="CH112" s="114"/>
      <c r="CI112" s="6"/>
      <c r="CJ112" s="119" t="s">
        <v>1</v>
      </c>
      <c r="CK112" s="120" t="s">
        <v>0</v>
      </c>
      <c r="DX112" s="63" t="s">
        <v>1</v>
      </c>
      <c r="DY112" s="58" t="s">
        <v>0</v>
      </c>
      <c r="EL112" s="1"/>
      <c r="EM112" s="1"/>
      <c r="EN112" s="1"/>
      <c r="EO112" s="1"/>
      <c r="EP112" s="1"/>
      <c r="EV112" s="63" t="s">
        <v>1</v>
      </c>
      <c r="EW112" s="58" t="s">
        <v>0</v>
      </c>
    </row>
    <row r="113" spans="2:161" ht="19" thickBot="1" x14ac:dyDescent="0.3">
      <c r="C113" s="6"/>
      <c r="D113" s="121"/>
      <c r="E113" s="6"/>
      <c r="F113" s="6"/>
      <c r="G113" s="6"/>
      <c r="H113" s="6"/>
      <c r="I113" s="6"/>
      <c r="J113" s="6"/>
      <c r="K113" s="6"/>
      <c r="L113" s="6"/>
      <c r="M113" s="108" t="s">
        <v>328</v>
      </c>
      <c r="N113" s="109" t="s">
        <v>329</v>
      </c>
      <c r="O113" s="6"/>
      <c r="P113" s="16" t="s">
        <v>272</v>
      </c>
      <c r="Q113" s="4" t="s">
        <v>273</v>
      </c>
      <c r="R113" s="6"/>
      <c r="S113" s="6"/>
      <c r="T113" s="6"/>
      <c r="U113" s="6"/>
      <c r="V113" s="6"/>
      <c r="W113" s="121"/>
      <c r="X113" s="6"/>
      <c r="Y113" s="6"/>
      <c r="Z113" s="6"/>
      <c r="AA113" s="6"/>
      <c r="AB113" s="6"/>
      <c r="AC113" s="6"/>
      <c r="AD113" s="6"/>
      <c r="AE113" s="6"/>
      <c r="AF113" s="108" t="s">
        <v>328</v>
      </c>
      <c r="AG113" s="109" t="s">
        <v>329</v>
      </c>
      <c r="AH113" s="6"/>
      <c r="AI113" s="6"/>
      <c r="AJ113" s="6"/>
      <c r="AK113" s="6"/>
      <c r="AL113" s="6"/>
      <c r="AM113" s="6"/>
      <c r="AN113" s="6"/>
      <c r="AO113" s="121"/>
      <c r="AP113" s="6"/>
      <c r="AQ113" s="6"/>
      <c r="AR113" s="6"/>
      <c r="AS113" s="6"/>
      <c r="AT113" s="6"/>
      <c r="AU113" s="6"/>
      <c r="AV113" s="6"/>
      <c r="AW113" s="6"/>
      <c r="AX113" s="108" t="s">
        <v>328</v>
      </c>
      <c r="AY113" s="109" t="s">
        <v>329</v>
      </c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108" t="s">
        <v>328</v>
      </c>
      <c r="BQ113" s="109" t="s">
        <v>329</v>
      </c>
      <c r="BR113" s="114"/>
      <c r="BS113" s="114"/>
      <c r="BT113" s="135">
        <v>1173.1500000000001</v>
      </c>
      <c r="BU113" s="114"/>
      <c r="BV113" s="114"/>
      <c r="BW113" s="114"/>
      <c r="BX113" s="114"/>
      <c r="BY113" s="114"/>
      <c r="BZ113" s="6"/>
      <c r="CA113" s="6"/>
      <c r="CB113" s="6"/>
      <c r="CC113" s="6"/>
      <c r="CD113" s="6"/>
      <c r="CE113" s="6"/>
      <c r="CF113" s="6"/>
      <c r="CG113" s="114"/>
      <c r="CH113" s="114"/>
      <c r="CI113" s="6"/>
      <c r="CJ113" s="108" t="s">
        <v>328</v>
      </c>
      <c r="CK113" s="109" t="s">
        <v>329</v>
      </c>
      <c r="DX113" s="65" t="s">
        <v>93</v>
      </c>
      <c r="DY113" s="64" t="s">
        <v>97</v>
      </c>
      <c r="EL113" s="1"/>
      <c r="EM113" s="1"/>
      <c r="EN113" s="1"/>
      <c r="EO113" s="1"/>
      <c r="EP113" s="1"/>
      <c r="EV113" s="65" t="s">
        <v>93</v>
      </c>
      <c r="EW113" s="64" t="s">
        <v>97</v>
      </c>
    </row>
    <row r="114" spans="2:161" ht="16.25" customHeight="1" thickBot="1" x14ac:dyDescent="0.25">
      <c r="C114" s="6"/>
      <c r="D114" s="122"/>
      <c r="E114" s="6"/>
      <c r="F114" s="6"/>
      <c r="G114" s="6"/>
      <c r="H114" s="6"/>
      <c r="I114" s="6"/>
      <c r="J114" s="6"/>
      <c r="K114" s="6"/>
      <c r="L114" s="6"/>
      <c r="M114" s="123">
        <f>D120</f>
        <v>208.55560337725498</v>
      </c>
      <c r="N114" s="124">
        <f>N120</f>
        <v>25394.240916408646</v>
      </c>
      <c r="O114" s="283" t="s">
        <v>432</v>
      </c>
      <c r="P114" s="283"/>
      <c r="Q114" s="283"/>
      <c r="R114" s="283"/>
      <c r="S114" s="283"/>
      <c r="T114" s="6"/>
      <c r="U114" s="6"/>
      <c r="V114" s="6"/>
      <c r="W114" s="122"/>
      <c r="X114" s="6"/>
      <c r="Y114" s="6"/>
      <c r="Z114" s="6"/>
      <c r="AA114" s="6"/>
      <c r="AB114" s="6"/>
      <c r="AC114" s="6"/>
      <c r="AD114" s="6"/>
      <c r="AE114" s="6"/>
      <c r="AF114" s="123">
        <f>W120</f>
        <v>208.55560337725498</v>
      </c>
      <c r="AG114" s="124">
        <f>AG120</f>
        <v>25394.240916408646</v>
      </c>
      <c r="AH114" s="283" t="s">
        <v>180</v>
      </c>
      <c r="AI114" s="283"/>
      <c r="AJ114" s="283"/>
      <c r="AK114" s="283"/>
      <c r="AL114" s="283"/>
      <c r="AM114" s="6"/>
      <c r="AN114" s="6"/>
      <c r="AO114" s="122"/>
      <c r="AP114" s="6"/>
      <c r="AQ114" s="6"/>
      <c r="AR114" s="6"/>
      <c r="AS114" s="6"/>
      <c r="AT114" s="6"/>
      <c r="AU114" s="6"/>
      <c r="AV114" s="6"/>
      <c r="AW114" s="6"/>
      <c r="AX114" s="123">
        <f>AO120</f>
        <v>208.55560337725498</v>
      </c>
      <c r="AY114" s="124">
        <f>AY120</f>
        <v>25394.240916408646</v>
      </c>
      <c r="AZ114" s="283" t="s">
        <v>459</v>
      </c>
      <c r="BA114" s="283"/>
      <c r="BB114" s="283"/>
      <c r="BC114" s="283"/>
      <c r="BD114" s="283"/>
      <c r="BE114" s="6"/>
      <c r="BF114" s="6"/>
      <c r="BG114" s="122"/>
      <c r="BH114" s="6"/>
      <c r="BI114" s="6"/>
      <c r="BJ114" s="6"/>
      <c r="BK114" s="6"/>
      <c r="BL114" s="6"/>
      <c r="BM114" s="6"/>
      <c r="BN114" s="6"/>
      <c r="BO114" s="6"/>
      <c r="BP114" s="123">
        <f>BG120</f>
        <v>208.55560337725498</v>
      </c>
      <c r="BQ114" s="124">
        <f>BQ120</f>
        <v>25394.240916408646</v>
      </c>
      <c r="BR114" s="283" t="s">
        <v>460</v>
      </c>
      <c r="BS114" s="283"/>
      <c r="BT114" s="283"/>
      <c r="BU114" s="283"/>
      <c r="BV114" s="283"/>
      <c r="BW114" s="6"/>
      <c r="BX114" s="6"/>
      <c r="BY114" s="114"/>
      <c r="BZ114" s="6"/>
      <c r="CA114" s="6"/>
      <c r="CB114" s="6"/>
      <c r="CC114" s="6"/>
      <c r="CD114" s="6"/>
      <c r="CE114" s="6"/>
      <c r="CF114" s="6"/>
      <c r="CG114" s="114"/>
      <c r="CH114" s="114"/>
      <c r="CI114" s="6"/>
      <c r="CJ114" s="123">
        <f>CA119</f>
        <v>111.00813284002646</v>
      </c>
      <c r="CK114" s="124">
        <f>CK119</f>
        <v>242016.07607977447</v>
      </c>
      <c r="DG114" s="288" t="s">
        <v>84</v>
      </c>
      <c r="DH114" s="288"/>
      <c r="DI114" s="288"/>
      <c r="DJ114" s="288"/>
      <c r="DK114" s="288"/>
      <c r="DL114" s="288"/>
      <c r="DM114" s="288"/>
      <c r="DX114" s="174">
        <f>DP122</f>
        <v>1309.8157778632656</v>
      </c>
      <c r="DY114" s="175">
        <f>DY122</f>
        <v>7072531.8830895294</v>
      </c>
      <c r="EA114" s="279" t="s">
        <v>445</v>
      </c>
      <c r="EB114" s="279"/>
      <c r="EC114" s="279"/>
      <c r="ED114" s="279"/>
      <c r="EE114" s="279"/>
      <c r="EF114" s="279"/>
      <c r="EG114" s="279"/>
      <c r="EL114" s="1"/>
      <c r="EM114" s="1"/>
      <c r="EN114" s="1"/>
      <c r="EO114" s="1"/>
      <c r="EP114" s="1"/>
      <c r="EQ114" s="1"/>
      <c r="EV114" s="50">
        <f>EN119</f>
        <v>616.23583583508366</v>
      </c>
      <c r="EW114" s="48">
        <f>EW119</f>
        <v>4157895.2984628798</v>
      </c>
      <c r="EY114" s="279" t="s">
        <v>438</v>
      </c>
      <c r="EZ114" s="279"/>
      <c r="FA114" s="279"/>
      <c r="FB114" s="279"/>
      <c r="FC114" s="279"/>
      <c r="FD114" s="279"/>
      <c r="FE114" s="279"/>
    </row>
    <row r="115" spans="2:161" ht="16.25" customHeight="1" thickBot="1" x14ac:dyDescent="0.25"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378"/>
      <c r="P115" s="378"/>
      <c r="Q115" s="378"/>
      <c r="R115" s="378"/>
      <c r="S115" s="378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283"/>
      <c r="AI115" s="283"/>
      <c r="AJ115" s="283"/>
      <c r="AK115" s="283"/>
      <c r="AL115" s="283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283"/>
      <c r="BA115" s="283"/>
      <c r="BB115" s="283"/>
      <c r="BC115" s="283"/>
      <c r="BD115" s="283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283"/>
      <c r="BS115" s="283"/>
      <c r="BT115" s="283"/>
      <c r="BU115" s="283"/>
      <c r="BV115" s="283"/>
      <c r="BW115" s="114"/>
      <c r="BX115" s="114"/>
      <c r="BY115" s="114"/>
      <c r="BZ115" s="6"/>
      <c r="CA115" s="6"/>
      <c r="CB115" s="6"/>
      <c r="CC115" s="6"/>
      <c r="CD115" s="6"/>
      <c r="CE115" s="6"/>
      <c r="CF115" s="6"/>
      <c r="CG115" s="114"/>
      <c r="CH115" s="114"/>
      <c r="CI115" s="6"/>
      <c r="CJ115" s="6"/>
      <c r="CK115" s="114"/>
      <c r="DG115" s="288"/>
      <c r="DH115" s="288"/>
      <c r="DI115" s="288"/>
      <c r="DJ115" s="288"/>
      <c r="DK115" s="288"/>
      <c r="DL115" s="288"/>
      <c r="DM115" s="288"/>
      <c r="EA115" s="279"/>
      <c r="EB115" s="279"/>
      <c r="EC115" s="279"/>
      <c r="ED115" s="279"/>
      <c r="EE115" s="279"/>
      <c r="EF115" s="279"/>
      <c r="EG115" s="279"/>
      <c r="EL115" s="1"/>
      <c r="EM115" s="1"/>
      <c r="EN115" s="1"/>
      <c r="EO115" s="1"/>
      <c r="EP115" s="1"/>
      <c r="EQ115" s="1"/>
      <c r="ER115" s="1"/>
      <c r="ES115" s="1"/>
      <c r="EY115" s="279"/>
      <c r="EZ115" s="279"/>
      <c r="FA115" s="279"/>
      <c r="FB115" s="279"/>
      <c r="FC115" s="279"/>
      <c r="FD115" s="279"/>
      <c r="FE115" s="279"/>
    </row>
    <row r="116" spans="2:161" ht="19.75" customHeight="1" thickBot="1" x14ac:dyDescent="0.3">
      <c r="C116" s="6"/>
      <c r="D116" s="3" t="s">
        <v>1</v>
      </c>
      <c r="E116" s="3" t="s">
        <v>49</v>
      </c>
      <c r="F116" s="3" t="s">
        <v>5</v>
      </c>
      <c r="G116" s="3" t="s">
        <v>376</v>
      </c>
      <c r="H116" s="1" t="s">
        <v>136</v>
      </c>
      <c r="I116" s="1" t="s">
        <v>133</v>
      </c>
      <c r="J116" s="1" t="s">
        <v>9</v>
      </c>
      <c r="K116" s="1" t="s">
        <v>137</v>
      </c>
      <c r="L116" s="1" t="s">
        <v>138</v>
      </c>
      <c r="M116" s="1" t="s">
        <v>139</v>
      </c>
      <c r="N116" s="1" t="s">
        <v>140</v>
      </c>
      <c r="O116" s="22" t="s">
        <v>449</v>
      </c>
      <c r="P116" s="101" t="s">
        <v>521</v>
      </c>
      <c r="Q116" s="136" t="s">
        <v>360</v>
      </c>
      <c r="R116" s="284" t="s">
        <v>356</v>
      </c>
      <c r="S116" s="139" t="s">
        <v>321</v>
      </c>
      <c r="T116" s="1"/>
      <c r="U116" s="6"/>
      <c r="V116" s="6"/>
      <c r="W116" s="3" t="s">
        <v>1</v>
      </c>
      <c r="X116" s="3" t="s">
        <v>49</v>
      </c>
      <c r="Y116" s="3" t="s">
        <v>5</v>
      </c>
      <c r="Z116" s="3" t="s">
        <v>376</v>
      </c>
      <c r="AA116" s="1" t="s">
        <v>136</v>
      </c>
      <c r="AB116" s="1" t="s">
        <v>133</v>
      </c>
      <c r="AC116" s="1" t="s">
        <v>9</v>
      </c>
      <c r="AD116" s="1" t="s">
        <v>137</v>
      </c>
      <c r="AE116" s="1" t="s">
        <v>138</v>
      </c>
      <c r="AF116" s="1" t="s">
        <v>139</v>
      </c>
      <c r="AG116" s="1" t="s">
        <v>140</v>
      </c>
      <c r="AH116" s="22" t="s">
        <v>449</v>
      </c>
      <c r="AI116" s="101" t="s">
        <v>521</v>
      </c>
      <c r="AJ116" s="136" t="s">
        <v>360</v>
      </c>
      <c r="AK116" s="284" t="s">
        <v>356</v>
      </c>
      <c r="AL116" s="139" t="s">
        <v>321</v>
      </c>
      <c r="AM116" s="1"/>
      <c r="AN116" s="6"/>
      <c r="AO116" s="3" t="s">
        <v>1</v>
      </c>
      <c r="AP116" s="3" t="s">
        <v>49</v>
      </c>
      <c r="AQ116" s="3" t="s">
        <v>5</v>
      </c>
      <c r="AR116" s="3" t="s">
        <v>376</v>
      </c>
      <c r="AS116" s="1" t="s">
        <v>136</v>
      </c>
      <c r="AT116" s="1" t="s">
        <v>133</v>
      </c>
      <c r="AU116" s="1" t="s">
        <v>9</v>
      </c>
      <c r="AV116" s="1" t="s">
        <v>137</v>
      </c>
      <c r="AW116" s="1" t="s">
        <v>138</v>
      </c>
      <c r="AX116" s="1" t="s">
        <v>139</v>
      </c>
      <c r="AY116" s="1" t="s">
        <v>140</v>
      </c>
      <c r="AZ116" s="22" t="s">
        <v>449</v>
      </c>
      <c r="BA116" s="101" t="s">
        <v>521</v>
      </c>
      <c r="BB116" s="136" t="s">
        <v>360</v>
      </c>
      <c r="BC116" s="284" t="s">
        <v>356</v>
      </c>
      <c r="BD116" s="139" t="s">
        <v>321</v>
      </c>
      <c r="BE116" s="1"/>
      <c r="BF116" s="6"/>
      <c r="BG116" s="3" t="s">
        <v>1</v>
      </c>
      <c r="BH116" s="3" t="s">
        <v>49</v>
      </c>
      <c r="BI116" s="3" t="s">
        <v>5</v>
      </c>
      <c r="BJ116" s="3" t="s">
        <v>376</v>
      </c>
      <c r="BK116" s="1" t="s">
        <v>136</v>
      </c>
      <c r="BL116" s="1" t="s">
        <v>133</v>
      </c>
      <c r="BM116" s="1" t="s">
        <v>9</v>
      </c>
      <c r="BN116" s="1" t="s">
        <v>137</v>
      </c>
      <c r="BO116" s="1" t="s">
        <v>138</v>
      </c>
      <c r="BP116" s="1" t="s">
        <v>139</v>
      </c>
      <c r="BQ116" s="1" t="s">
        <v>140</v>
      </c>
      <c r="BR116" s="22" t="s">
        <v>449</v>
      </c>
      <c r="BS116" s="101" t="s">
        <v>521</v>
      </c>
      <c r="BT116" s="136" t="s">
        <v>360</v>
      </c>
      <c r="BU116" s="281" t="s">
        <v>356</v>
      </c>
      <c r="BV116" s="139" t="s">
        <v>321</v>
      </c>
      <c r="BW116" s="114"/>
      <c r="BX116" s="114"/>
      <c r="BY116" s="114"/>
      <c r="BZ116" s="6"/>
      <c r="CA116" s="3" t="s">
        <v>1</v>
      </c>
      <c r="CB116" s="3" t="s">
        <v>49</v>
      </c>
      <c r="CC116" s="3" t="s">
        <v>5</v>
      </c>
      <c r="CD116" s="3" t="s">
        <v>376</v>
      </c>
      <c r="CE116" s="1" t="s">
        <v>136</v>
      </c>
      <c r="CF116" s="1" t="s">
        <v>133</v>
      </c>
      <c r="CG116" s="1" t="s">
        <v>9</v>
      </c>
      <c r="CH116" s="1" t="s">
        <v>137</v>
      </c>
      <c r="CI116" s="1" t="s">
        <v>138</v>
      </c>
      <c r="CJ116" s="1" t="s">
        <v>139</v>
      </c>
      <c r="CK116" s="1" t="s">
        <v>140</v>
      </c>
      <c r="DG116" s="288"/>
      <c r="DH116" s="288"/>
      <c r="DI116" s="288"/>
      <c r="DJ116" s="288"/>
      <c r="DK116" s="288"/>
      <c r="DL116" s="288"/>
      <c r="DM116" s="288"/>
      <c r="DO116" s="4"/>
      <c r="DP116" s="1" t="s">
        <v>135</v>
      </c>
      <c r="DQ116" s="1" t="s">
        <v>5</v>
      </c>
      <c r="DR116" s="1" t="s">
        <v>134</v>
      </c>
      <c r="DS116" s="1" t="s">
        <v>136</v>
      </c>
      <c r="DT116" s="1" t="s">
        <v>133</v>
      </c>
      <c r="DU116" s="1" t="s">
        <v>9</v>
      </c>
      <c r="DV116" s="1" t="s">
        <v>137</v>
      </c>
      <c r="DW116" s="1" t="s">
        <v>138</v>
      </c>
      <c r="DX116" s="1" t="s">
        <v>139</v>
      </c>
      <c r="DY116" s="1" t="s">
        <v>140</v>
      </c>
      <c r="EA116" s="279"/>
      <c r="EB116" s="279"/>
      <c r="EC116" s="279"/>
      <c r="ED116" s="279"/>
      <c r="EE116" s="279"/>
      <c r="EF116" s="279"/>
      <c r="EG116" s="279"/>
      <c r="EM116" s="1"/>
      <c r="EN116" s="1" t="s">
        <v>1</v>
      </c>
      <c r="EO116" s="1" t="s">
        <v>5</v>
      </c>
      <c r="EP116" s="1" t="s">
        <v>6</v>
      </c>
      <c r="EQ116" s="1" t="s">
        <v>7</v>
      </c>
      <c r="ER116" s="1" t="s">
        <v>8</v>
      </c>
      <c r="ES116" s="1" t="s">
        <v>9</v>
      </c>
      <c r="ET116" s="1" t="s">
        <v>10</v>
      </c>
      <c r="EU116" s="1" t="s">
        <v>51</v>
      </c>
      <c r="EV116" s="1" t="s">
        <v>52</v>
      </c>
      <c r="EW116" s="1" t="s">
        <v>53</v>
      </c>
      <c r="EY116" s="279"/>
      <c r="EZ116" s="279"/>
      <c r="FA116" s="279"/>
      <c r="FB116" s="279"/>
      <c r="FC116" s="279"/>
      <c r="FD116" s="279"/>
      <c r="FE116" s="279"/>
    </row>
    <row r="117" spans="2:161" ht="19.25" customHeight="1" x14ac:dyDescent="0.25">
      <c r="C117" s="6"/>
      <c r="D117" s="6" t="s">
        <v>331</v>
      </c>
      <c r="E117" s="6" t="s">
        <v>341</v>
      </c>
      <c r="F117" s="6" t="s">
        <v>332</v>
      </c>
      <c r="G117" s="6" t="s">
        <v>333</v>
      </c>
      <c r="H117" s="6" t="s">
        <v>334</v>
      </c>
      <c r="I117" s="6" t="s">
        <v>335</v>
      </c>
      <c r="J117" s="6" t="s">
        <v>102</v>
      </c>
      <c r="K117" s="6" t="s">
        <v>334</v>
      </c>
      <c r="L117" s="6" t="s">
        <v>334</v>
      </c>
      <c r="M117" s="6" t="s">
        <v>336</v>
      </c>
      <c r="N117" s="6" t="s">
        <v>337</v>
      </c>
      <c r="O117" s="214" t="s">
        <v>50</v>
      </c>
      <c r="P117" s="112" t="s">
        <v>50</v>
      </c>
      <c r="Q117" s="6" t="s">
        <v>328</v>
      </c>
      <c r="R117" s="285"/>
      <c r="S117" s="137" t="s">
        <v>86</v>
      </c>
      <c r="T117" s="4"/>
      <c r="U117" s="6"/>
      <c r="V117" s="6"/>
      <c r="W117" s="6" t="s">
        <v>331</v>
      </c>
      <c r="X117" s="6" t="s">
        <v>341</v>
      </c>
      <c r="Y117" s="6" t="s">
        <v>332</v>
      </c>
      <c r="Z117" s="6" t="s">
        <v>333</v>
      </c>
      <c r="AA117" s="6" t="s">
        <v>334</v>
      </c>
      <c r="AB117" s="6" t="s">
        <v>335</v>
      </c>
      <c r="AC117" s="6" t="s">
        <v>102</v>
      </c>
      <c r="AD117" s="6" t="s">
        <v>334</v>
      </c>
      <c r="AE117" s="6" t="s">
        <v>334</v>
      </c>
      <c r="AF117" s="6" t="s">
        <v>336</v>
      </c>
      <c r="AG117" s="6" t="s">
        <v>337</v>
      </c>
      <c r="AH117" s="214" t="s">
        <v>50</v>
      </c>
      <c r="AI117" s="112" t="s">
        <v>50</v>
      </c>
      <c r="AJ117" s="6" t="s">
        <v>328</v>
      </c>
      <c r="AK117" s="285"/>
      <c r="AL117" s="137" t="s">
        <v>86</v>
      </c>
      <c r="AM117" s="4"/>
      <c r="AN117" s="6"/>
      <c r="AO117" s="6" t="s">
        <v>331</v>
      </c>
      <c r="AP117" s="6" t="s">
        <v>341</v>
      </c>
      <c r="AQ117" s="6" t="s">
        <v>332</v>
      </c>
      <c r="AR117" s="6" t="s">
        <v>333</v>
      </c>
      <c r="AS117" s="6" t="s">
        <v>334</v>
      </c>
      <c r="AT117" s="6" t="s">
        <v>335</v>
      </c>
      <c r="AU117" s="6" t="s">
        <v>102</v>
      </c>
      <c r="AV117" s="6" t="s">
        <v>334</v>
      </c>
      <c r="AW117" s="6" t="s">
        <v>334</v>
      </c>
      <c r="AX117" s="6" t="s">
        <v>336</v>
      </c>
      <c r="AY117" s="6" t="s">
        <v>337</v>
      </c>
      <c r="AZ117" s="214" t="s">
        <v>50</v>
      </c>
      <c r="BA117" s="112" t="s">
        <v>50</v>
      </c>
      <c r="BB117" s="6" t="s">
        <v>328</v>
      </c>
      <c r="BC117" s="285"/>
      <c r="BD117" s="137" t="s">
        <v>86</v>
      </c>
      <c r="BE117" s="4"/>
      <c r="BF117" s="6"/>
      <c r="BG117" s="6" t="s">
        <v>331</v>
      </c>
      <c r="BH117" s="6" t="s">
        <v>341</v>
      </c>
      <c r="BI117" s="6" t="s">
        <v>332</v>
      </c>
      <c r="BJ117" s="6" t="s">
        <v>333</v>
      </c>
      <c r="BK117" s="6" t="s">
        <v>334</v>
      </c>
      <c r="BL117" s="6" t="s">
        <v>335</v>
      </c>
      <c r="BM117" s="6" t="s">
        <v>102</v>
      </c>
      <c r="BN117" s="6" t="s">
        <v>334</v>
      </c>
      <c r="BO117" s="6" t="s">
        <v>334</v>
      </c>
      <c r="BP117" s="6" t="s">
        <v>336</v>
      </c>
      <c r="BQ117" s="6" t="s">
        <v>337</v>
      </c>
      <c r="BR117" s="214" t="s">
        <v>50</v>
      </c>
      <c r="BS117" s="112" t="s">
        <v>50</v>
      </c>
      <c r="BT117" s="6" t="s">
        <v>328</v>
      </c>
      <c r="BU117" s="282"/>
      <c r="BV117" s="137" t="s">
        <v>86</v>
      </c>
      <c r="BW117" s="114"/>
      <c r="BX117" s="114"/>
      <c r="BZ117" s="6" t="s">
        <v>43</v>
      </c>
      <c r="CA117" s="6" t="s">
        <v>331</v>
      </c>
      <c r="CB117" s="6" t="s">
        <v>341</v>
      </c>
      <c r="CC117" s="6" t="s">
        <v>332</v>
      </c>
      <c r="CD117" s="6" t="s">
        <v>333</v>
      </c>
      <c r="CE117" s="6" t="s">
        <v>334</v>
      </c>
      <c r="CF117" s="6" t="s">
        <v>335</v>
      </c>
      <c r="CG117" s="6" t="s">
        <v>102</v>
      </c>
      <c r="CH117" s="6" t="s">
        <v>334</v>
      </c>
      <c r="CI117" s="6" t="s">
        <v>334</v>
      </c>
      <c r="CJ117" s="6" t="s">
        <v>336</v>
      </c>
      <c r="CK117" s="6" t="s">
        <v>337</v>
      </c>
      <c r="DH117" s="22" t="s">
        <v>449</v>
      </c>
      <c r="DI117" s="22" t="s">
        <v>521</v>
      </c>
      <c r="DJ117" s="162" t="s">
        <v>349</v>
      </c>
      <c r="DK117" s="281" t="s">
        <v>356</v>
      </c>
      <c r="DL117" s="103" t="s">
        <v>321</v>
      </c>
      <c r="DM117" s="1"/>
      <c r="DO117" s="4" t="s">
        <v>43</v>
      </c>
      <c r="DP117" s="1" t="s">
        <v>92</v>
      </c>
      <c r="DQ117" s="1" t="s">
        <v>94</v>
      </c>
      <c r="DR117" s="1" t="s">
        <v>90</v>
      </c>
      <c r="DS117" s="1" t="s">
        <v>99</v>
      </c>
      <c r="DT117" s="1" t="s">
        <v>27</v>
      </c>
      <c r="DU117" s="1" t="s">
        <v>102</v>
      </c>
      <c r="DV117" s="1" t="s">
        <v>99</v>
      </c>
      <c r="DW117" s="1" t="s">
        <v>99</v>
      </c>
      <c r="DX117" s="1" t="s">
        <v>98</v>
      </c>
      <c r="DY117" s="1" t="s">
        <v>96</v>
      </c>
      <c r="EB117" s="22" t="s">
        <v>449</v>
      </c>
      <c r="EC117" s="22" t="s">
        <v>521</v>
      </c>
      <c r="ED117" s="162" t="s">
        <v>349</v>
      </c>
      <c r="EE117" s="281" t="s">
        <v>356</v>
      </c>
      <c r="EF117" s="103" t="s">
        <v>321</v>
      </c>
      <c r="EM117" s="2" t="s">
        <v>43</v>
      </c>
      <c r="EN117" s="2" t="s">
        <v>12</v>
      </c>
      <c r="EO117" s="2" t="s">
        <v>13</v>
      </c>
      <c r="EP117" s="2" t="s">
        <v>14</v>
      </c>
      <c r="EQ117" s="2" t="s">
        <v>15</v>
      </c>
      <c r="ER117" s="2" t="s">
        <v>27</v>
      </c>
      <c r="ES117" s="2" t="s">
        <v>27</v>
      </c>
      <c r="ET117" s="2" t="s">
        <v>15</v>
      </c>
      <c r="EU117" s="2" t="s">
        <v>15</v>
      </c>
      <c r="EV117" s="2" t="s">
        <v>28</v>
      </c>
      <c r="EW117" s="1" t="s">
        <v>50</v>
      </c>
    </row>
    <row r="118" spans="2:161" ht="19" thickBot="1" x14ac:dyDescent="0.3">
      <c r="B118" s="295" t="s">
        <v>21</v>
      </c>
      <c r="C118" s="27" t="s">
        <v>338</v>
      </c>
      <c r="D118" s="27">
        <f>Limestone_for_BF</f>
        <v>198.12782320839224</v>
      </c>
      <c r="E118" s="27">
        <v>0.95</v>
      </c>
      <c r="F118" s="27">
        <f>MW_CaCO3</f>
        <v>0.1000872</v>
      </c>
      <c r="G118" s="27">
        <f>D118/F118</f>
        <v>1979.5520626852608</v>
      </c>
      <c r="H118" s="27">
        <f>b_ch_CaCO3</f>
        <v>11.256799999999885</v>
      </c>
      <c r="I118" s="27">
        <f>G118/G120</f>
        <v>0.94119632891260407</v>
      </c>
      <c r="J118" s="27">
        <f>LN(I118)</f>
        <v>-6.0603522569383693E-2</v>
      </c>
      <c r="K118" s="27">
        <f>RT0*J118</f>
        <v>-0.13762872710622295</v>
      </c>
      <c r="L118" s="27">
        <f>K118+H118</f>
        <v>11.119171272893661</v>
      </c>
      <c r="M118" s="27">
        <f>L118*I118</f>
        <v>10.465323182598</v>
      </c>
      <c r="N118" s="27">
        <f>M118*G120</f>
        <v>22010.978428607345</v>
      </c>
      <c r="O118" s="105">
        <f>0</f>
        <v>0</v>
      </c>
      <c r="P118" s="125">
        <f>$U$110+$N$114-$AG$114</f>
        <v>279.42865352522858</v>
      </c>
      <c r="Q118" s="13">
        <f>AF114-M114</f>
        <v>0</v>
      </c>
      <c r="R118" s="140" t="s">
        <v>353</v>
      </c>
      <c r="S118" s="137">
        <f>(($Z$118*($AF$118-M118))/$U$110)</f>
        <v>0</v>
      </c>
      <c r="T118" s="4"/>
      <c r="U118" s="295" t="s">
        <v>21</v>
      </c>
      <c r="V118" s="27" t="s">
        <v>338</v>
      </c>
      <c r="W118" s="27">
        <f>Limestone_for_BF</f>
        <v>198.12782320839224</v>
      </c>
      <c r="X118" s="27">
        <v>0.95</v>
      </c>
      <c r="Y118" s="27">
        <f>MW_CaCO3</f>
        <v>0.1000872</v>
      </c>
      <c r="Z118" s="27">
        <f>W118/Y118</f>
        <v>1979.5520626852608</v>
      </c>
      <c r="AA118" s="27">
        <f>b_ch_CaCO3</f>
        <v>11.256799999999885</v>
      </c>
      <c r="AB118" s="27">
        <f>Z118/Z120</f>
        <v>0.94119632891260407</v>
      </c>
      <c r="AC118" s="27">
        <f>LN(AB118)</f>
        <v>-6.0603522569383693E-2</v>
      </c>
      <c r="AD118" s="27">
        <f>RT0*AC118</f>
        <v>-0.13762872710622295</v>
      </c>
      <c r="AE118" s="27">
        <f>AD118+AA118</f>
        <v>11.119171272893661</v>
      </c>
      <c r="AF118" s="27">
        <f>AE118*AB118</f>
        <v>10.465323182598</v>
      </c>
      <c r="AG118" s="27">
        <f>AF118*Z120</f>
        <v>22010.978428607345</v>
      </c>
      <c r="AH118" s="105">
        <f>0</f>
        <v>0</v>
      </c>
      <c r="AI118" s="125">
        <f>AG114+AL101-AY114</f>
        <v>2824.885647744919</v>
      </c>
      <c r="AJ118" s="13">
        <f>AX114-AF114</f>
        <v>0</v>
      </c>
      <c r="AK118" s="140" t="s">
        <v>353</v>
      </c>
      <c r="AL118" s="137">
        <f>((AR118*(AX118-AF118)/AL101))</f>
        <v>0</v>
      </c>
      <c r="AM118" s="295" t="s">
        <v>21</v>
      </c>
      <c r="AN118" s="27" t="s">
        <v>338</v>
      </c>
      <c r="AO118" s="27">
        <f>Limestone_for_BF</f>
        <v>198.12782320839224</v>
      </c>
      <c r="AP118" s="27">
        <v>0.95</v>
      </c>
      <c r="AQ118" s="27">
        <f>MW_CaCO3</f>
        <v>0.1000872</v>
      </c>
      <c r="AR118" s="27">
        <f>AO118/AQ118</f>
        <v>1979.5520626852608</v>
      </c>
      <c r="AS118" s="27">
        <f>b_ch_CaCO3</f>
        <v>11.256799999999885</v>
      </c>
      <c r="AT118" s="27">
        <f>AR118/AR120</f>
        <v>0.94119632891260407</v>
      </c>
      <c r="AU118" s="27">
        <f>LN(AT118)</f>
        <v>-6.0603522569383693E-2</v>
      </c>
      <c r="AV118" s="27">
        <f>RT0*AU118</f>
        <v>-0.13762872710622295</v>
      </c>
      <c r="AW118" s="27">
        <f>AV118+AS118</f>
        <v>11.119171272893661</v>
      </c>
      <c r="AX118" s="27">
        <f>AW118*AT118</f>
        <v>10.465323182598</v>
      </c>
      <c r="AY118" s="27">
        <f>AX118*AR120</f>
        <v>22010.978428607345</v>
      </c>
      <c r="AZ118" s="105">
        <f>BS102+BS126</f>
        <v>0</v>
      </c>
      <c r="BA118" s="125">
        <f>AY114+BC104-BQ114</f>
        <v>34.678095164115803</v>
      </c>
      <c r="BB118" s="13">
        <f>BP114-AX114</f>
        <v>0</v>
      </c>
      <c r="BC118" s="140" t="s">
        <v>353</v>
      </c>
      <c r="BD118" s="137">
        <f>((BJ118*(BP118-AX118)/BC104))</f>
        <v>0</v>
      </c>
      <c r="BE118" s="295" t="s">
        <v>21</v>
      </c>
      <c r="BF118" s="27" t="s">
        <v>338</v>
      </c>
      <c r="BG118" s="27">
        <f>Limestone_for_BF</f>
        <v>198.12782320839224</v>
      </c>
      <c r="BH118" s="27">
        <v>0.95</v>
      </c>
      <c r="BI118" s="27">
        <f>MW_CaCO3</f>
        <v>0.1000872</v>
      </c>
      <c r="BJ118" s="27">
        <f>BG118/BI118</f>
        <v>1979.5520626852608</v>
      </c>
      <c r="BK118" s="27">
        <f>b_ch_CaCO3</f>
        <v>11.256799999999885</v>
      </c>
      <c r="BL118" s="27">
        <f>BJ118/BJ120</f>
        <v>0.94119632891260407</v>
      </c>
      <c r="BM118" s="27">
        <f>LN(BL118)</f>
        <v>-6.0603522569383693E-2</v>
      </c>
      <c r="BN118" s="27">
        <f>RT0*BM118</f>
        <v>-0.13762872710622295</v>
      </c>
      <c r="BO118" s="27">
        <f>BN118+BK118</f>
        <v>11.119171272893661</v>
      </c>
      <c r="BP118" s="27">
        <f>BO118*BL118</f>
        <v>10.465323182598</v>
      </c>
      <c r="BQ118" s="27">
        <f>BP118*BJ120</f>
        <v>22010.978428607345</v>
      </c>
      <c r="BR118" s="105">
        <f>CK102+CK126</f>
        <v>5019650.0970400851</v>
      </c>
      <c r="BS118" s="125">
        <f>BQ114+BQ128+BQ140+BU104-CK102-CK114-CK126</f>
        <v>1073136489.3371525</v>
      </c>
      <c r="BT118" s="13">
        <f>SUM(CJ126,CJ114,CJ102) - SUM(BP114,BP128,BP140)</f>
        <v>0</v>
      </c>
      <c r="BU118" s="140" t="s">
        <v>353</v>
      </c>
      <c r="BV118" s="137" t="s">
        <v>102</v>
      </c>
      <c r="BW118" s="114"/>
      <c r="BX118" s="114"/>
      <c r="BY118" s="238" t="s">
        <v>430</v>
      </c>
      <c r="BZ118" s="113" t="s">
        <v>127</v>
      </c>
      <c r="CA118" s="33">
        <f>Quicklime_for_BF</f>
        <v>111.00813284002646</v>
      </c>
      <c r="CB118" s="33">
        <v>1</v>
      </c>
      <c r="CC118" s="33">
        <f>MW_CaO</f>
        <v>5.6077400000000006E-2</v>
      </c>
      <c r="CD118" s="33">
        <f>CA118/CC118</f>
        <v>1979.5520626852608</v>
      </c>
      <c r="CE118" s="33">
        <f>b_ch_CaO</f>
        <v>122.25799999999992</v>
      </c>
      <c r="CF118" s="126">
        <f>CD118/CD119</f>
        <v>1</v>
      </c>
      <c r="CG118" s="126">
        <f>LN(CF118)</f>
        <v>0</v>
      </c>
      <c r="CH118" s="126">
        <f>RT0*CG118</f>
        <v>0</v>
      </c>
      <c r="CI118" s="33">
        <f>CH118+CE118</f>
        <v>122.25799999999992</v>
      </c>
      <c r="CJ118" s="33">
        <f>CI118*CF118</f>
        <v>122.25799999999992</v>
      </c>
      <c r="CK118" s="126">
        <f>CJ118*CD119</f>
        <v>242016.07607977447</v>
      </c>
      <c r="DH118" s="214" t="s">
        <v>50</v>
      </c>
      <c r="DI118" s="9" t="s">
        <v>50</v>
      </c>
      <c r="DJ118" s="1" t="s">
        <v>93</v>
      </c>
      <c r="DK118" s="282"/>
      <c r="DL118" s="137" t="s">
        <v>86</v>
      </c>
      <c r="DM118" s="4"/>
      <c r="DN118" s="369" t="s">
        <v>536</v>
      </c>
      <c r="DO118" s="8" t="s">
        <v>16</v>
      </c>
      <c r="DP118" s="176">
        <f>Fe2O3_BF_in</f>
        <v>881.06000000000006</v>
      </c>
      <c r="DQ118" s="177">
        <f>MW_Fe2O3</f>
        <v>0.1596882</v>
      </c>
      <c r="DR118" s="177">
        <f>DP118/DQ118</f>
        <v>5517.3769884061567</v>
      </c>
      <c r="DS118" s="177">
        <f>b_ch_Fe2O3</f>
        <v>17.358400000000074</v>
      </c>
      <c r="DT118" s="177">
        <f>DR118/$DR$122</f>
        <v>0.21197353787675174</v>
      </c>
      <c r="DU118" s="178">
        <f>LN(DT118)</f>
        <v>-1.5512938334370325</v>
      </c>
      <c r="DV118" s="178">
        <f>RT0*DU118</f>
        <v>-3.5229403607560474</v>
      </c>
      <c r="DW118" s="178">
        <f>DS118+DV118</f>
        <v>13.835459639244027</v>
      </c>
      <c r="DX118" s="178">
        <f>DW118*DT118</f>
        <v>2.9327513278815638</v>
      </c>
      <c r="DY118" s="178">
        <f>$DR$122*DX118</f>
        <v>76335.446637587142</v>
      </c>
      <c r="EB118" s="214" t="s">
        <v>50</v>
      </c>
      <c r="EC118" s="9" t="s">
        <v>50</v>
      </c>
      <c r="ED118" s="1" t="s">
        <v>93</v>
      </c>
      <c r="EE118" s="282"/>
      <c r="EF118" s="137" t="s">
        <v>86</v>
      </c>
      <c r="EL118" s="238" t="s">
        <v>11</v>
      </c>
      <c r="EM118" s="1" t="s">
        <v>17</v>
      </c>
      <c r="EN118" s="1">
        <f>Fe_BF_out</f>
        <v>616.23583583508366</v>
      </c>
      <c r="EO118" s="6">
        <f>MW_Fe</f>
        <v>5.5844999999999999E-2</v>
      </c>
      <c r="EP118" s="6">
        <f>EN118/EO118</f>
        <v>11034.753976812313</v>
      </c>
      <c r="EQ118" s="7">
        <f>b_ch_Fe</f>
        <v>376.8</v>
      </c>
      <c r="ER118" s="6">
        <f>EP118/EP119</f>
        <v>1</v>
      </c>
      <c r="ES118" s="1">
        <f>LN(ER118)</f>
        <v>0</v>
      </c>
      <c r="ET118" s="1">
        <f>RT0*ES118</f>
        <v>0</v>
      </c>
      <c r="EU118" s="1">
        <f>EQ118+ET118</f>
        <v>376.8</v>
      </c>
      <c r="EV118" s="1">
        <f>EU118*ER118</f>
        <v>376.8</v>
      </c>
      <c r="EW118" s="8">
        <f>EP119*EV118</f>
        <v>4157895.2984628798</v>
      </c>
    </row>
    <row r="119" spans="2:161" ht="19" thickBot="1" x14ac:dyDescent="0.3">
      <c r="B119" s="295"/>
      <c r="C119" s="6" t="s">
        <v>342</v>
      </c>
      <c r="D119" s="6">
        <f>(D118*E119)/E118</f>
        <v>10.427780168862752</v>
      </c>
      <c r="E119" s="6">
        <v>0.05</v>
      </c>
      <c r="F119" s="6">
        <f>MW_MgCO3</f>
        <v>8.4314200000000006E-2</v>
      </c>
      <c r="G119" s="6">
        <f>D119/F119</f>
        <v>123.6776268868441</v>
      </c>
      <c r="H119" s="6">
        <f>b_ch_MgCO3</f>
        <v>33.790400000000034</v>
      </c>
      <c r="I119" s="6">
        <f>G119/G120</f>
        <v>5.880367108739603E-2</v>
      </c>
      <c r="J119" s="6">
        <f>LN(I119)</f>
        <v>-2.8335509925673268</v>
      </c>
      <c r="K119" s="6">
        <f>RT0*J119</f>
        <v>-6.4349067473947281</v>
      </c>
      <c r="L119" s="6">
        <f>K119+H119</f>
        <v>27.355493252605307</v>
      </c>
      <c r="M119" s="6">
        <f>L119*I119</f>
        <v>1.6086034276596839</v>
      </c>
      <c r="N119" s="6">
        <f>M119*G120</f>
        <v>3383.2624878013007</v>
      </c>
      <c r="O119" s="6"/>
      <c r="P119" s="6"/>
      <c r="Q119" s="6"/>
      <c r="R119" s="140" t="s">
        <v>354</v>
      </c>
      <c r="S119" s="137">
        <f>$AG$114/($U$110+N114)</f>
        <v>0.9891161389000479</v>
      </c>
      <c r="T119" s="4"/>
      <c r="U119" s="295"/>
      <c r="V119" s="6" t="s">
        <v>342</v>
      </c>
      <c r="W119" s="6">
        <f>(W118*X119)/X118</f>
        <v>10.427780168862752</v>
      </c>
      <c r="X119" s="6">
        <v>0.05</v>
      </c>
      <c r="Y119" s="6">
        <f>MW_MgCO3</f>
        <v>8.4314200000000006E-2</v>
      </c>
      <c r="Z119" s="6">
        <f>W119/Y119</f>
        <v>123.6776268868441</v>
      </c>
      <c r="AA119" s="6">
        <f>b_ch_MgCO3</f>
        <v>33.790400000000034</v>
      </c>
      <c r="AB119" s="6">
        <f>Z119/Z120</f>
        <v>5.880367108739603E-2</v>
      </c>
      <c r="AC119" s="6">
        <f>LN(AB119)</f>
        <v>-2.8335509925673268</v>
      </c>
      <c r="AD119" s="6">
        <f>RT0*AC119</f>
        <v>-6.4349067473947281</v>
      </c>
      <c r="AE119" s="6">
        <f>AD119+AA119</f>
        <v>27.355493252605307</v>
      </c>
      <c r="AF119" s="6">
        <f>AE119*AB119</f>
        <v>1.6086034276596839</v>
      </c>
      <c r="AG119" s="6">
        <f>AF119*Z120</f>
        <v>3383.2624878013007</v>
      </c>
      <c r="AH119" s="6"/>
      <c r="AI119" s="6"/>
      <c r="AJ119" s="4"/>
      <c r="AK119" s="140" t="s">
        <v>354</v>
      </c>
      <c r="AL119" s="137">
        <f>AY114/(AL101+AG114)</f>
        <v>0.89989464623142024</v>
      </c>
      <c r="AM119" s="295"/>
      <c r="AN119" s="6" t="s">
        <v>342</v>
      </c>
      <c r="AO119" s="6">
        <f>(AO118*AP119)/AP118</f>
        <v>10.427780168862752</v>
      </c>
      <c r="AP119" s="6">
        <v>0.05</v>
      </c>
      <c r="AQ119" s="6">
        <f>MW_MgCO3</f>
        <v>8.4314200000000006E-2</v>
      </c>
      <c r="AR119" s="6">
        <f>AO119/AQ119</f>
        <v>123.6776268868441</v>
      </c>
      <c r="AS119" s="6">
        <f>b_ch_MgCO3</f>
        <v>33.790400000000034</v>
      </c>
      <c r="AT119" s="6">
        <f>AR119/AR120</f>
        <v>5.880367108739603E-2</v>
      </c>
      <c r="AU119" s="6">
        <f>LN(AT119)</f>
        <v>-2.8335509925673268</v>
      </c>
      <c r="AV119" s="6">
        <f>RT0*AU119</f>
        <v>-6.4349067473947281</v>
      </c>
      <c r="AW119" s="6">
        <f>AV119+AS119</f>
        <v>27.355493252605307</v>
      </c>
      <c r="AX119" s="6">
        <f>AW119*AT119</f>
        <v>1.6086034276596839</v>
      </c>
      <c r="AY119" s="6">
        <f>AX119*AR120</f>
        <v>3383.2624878013007</v>
      </c>
      <c r="AZ119" s="6"/>
      <c r="BA119" s="6"/>
      <c r="BB119" s="4"/>
      <c r="BC119" s="140" t="s">
        <v>354</v>
      </c>
      <c r="BD119" s="137">
        <f>BQ114/(BC101+AY114)</f>
        <v>0.99885105550639652</v>
      </c>
      <c r="BE119" s="295"/>
      <c r="BF119" s="6" t="s">
        <v>342</v>
      </c>
      <c r="BG119" s="6">
        <f>(BG118*BH119)/BH118</f>
        <v>10.427780168862752</v>
      </c>
      <c r="BH119" s="6">
        <v>0.05</v>
      </c>
      <c r="BI119" s="6">
        <f>MW_MgCO3</f>
        <v>8.4314200000000006E-2</v>
      </c>
      <c r="BJ119" s="6">
        <f>BG119/BI119</f>
        <v>123.6776268868441</v>
      </c>
      <c r="BK119" s="6">
        <f>b_ch_MgCO3</f>
        <v>33.790400000000034</v>
      </c>
      <c r="BL119" s="6">
        <f>BJ119/BJ120</f>
        <v>5.880367108739603E-2</v>
      </c>
      <c r="BM119" s="6">
        <f>LN(BL119)</f>
        <v>-2.8335509925673268</v>
      </c>
      <c r="BN119" s="6">
        <f>RT0*BM119</f>
        <v>-6.4349067473947281</v>
      </c>
      <c r="BO119" s="6">
        <f>BN119+BK119</f>
        <v>27.355493252605307</v>
      </c>
      <c r="BP119" s="6">
        <f>BO119*BL119</f>
        <v>1.6086034276596839</v>
      </c>
      <c r="BQ119" s="6">
        <f>BP119*BJ120</f>
        <v>3383.2624878013007</v>
      </c>
      <c r="BR119" s="114"/>
      <c r="BS119" s="6"/>
      <c r="BU119" s="140" t="s">
        <v>354</v>
      </c>
      <c r="BV119" s="137">
        <f>(CK126+CK114+CK102)/(BQ128+BQ114+BQ140)</f>
        <v>4.8791498262811513E-3</v>
      </c>
      <c r="BW119" s="114"/>
      <c r="BX119" s="114"/>
      <c r="BZ119" s="6" t="s">
        <v>20</v>
      </c>
      <c r="CA119" s="6">
        <f>SUM(CA118)</f>
        <v>111.00813284002646</v>
      </c>
      <c r="CB119" s="6"/>
      <c r="CC119" s="6">
        <f>SUM(CC118)</f>
        <v>5.6077400000000006E-2</v>
      </c>
      <c r="CD119" s="6">
        <f>SUM(CD118)</f>
        <v>1979.5520626852608</v>
      </c>
      <c r="CE119" s="6"/>
      <c r="CF119" s="6"/>
      <c r="CG119" s="114"/>
      <c r="CH119" s="114"/>
      <c r="CI119" s="6"/>
      <c r="CJ119" s="6">
        <f>SUM(CJ118)</f>
        <v>122.25799999999992</v>
      </c>
      <c r="CK119" s="6">
        <f>SUM(CK118)</f>
        <v>242016.07607977447</v>
      </c>
      <c r="DH119" s="105">
        <f>0</f>
        <v>0</v>
      </c>
      <c r="DI119" s="100">
        <f>(CK114+BP42+CI176)-(DY114)</f>
        <v>49789.327834718861</v>
      </c>
      <c r="DJ119" s="142">
        <f>DX114-CJ114-CH176-BO42</f>
        <v>0</v>
      </c>
      <c r="DK119" s="140" t="s">
        <v>353</v>
      </c>
      <c r="DL119" s="104" t="s">
        <v>102</v>
      </c>
      <c r="DM119" s="4"/>
      <c r="DN119" s="369"/>
      <c r="DO119" s="1" t="s">
        <v>18</v>
      </c>
      <c r="DP119" s="179">
        <f>SiO2_BF_in</f>
        <v>118.94000000000001</v>
      </c>
      <c r="DQ119" s="168">
        <f>MW_SIO2</f>
        <v>6.00843E-2</v>
      </c>
      <c r="DR119" s="168">
        <f>DP119/DQ119</f>
        <v>1979.5520626852608</v>
      </c>
      <c r="DS119" s="168">
        <f>b_ch_SiO2</f>
        <v>1.5260000000000673</v>
      </c>
      <c r="DT119" s="168">
        <f>DR119/$DR$122</f>
        <v>7.6052924246496442E-2</v>
      </c>
      <c r="DU119" s="180">
        <f t="shared" ref="DU119:DU121" si="41">LN(DT119)</f>
        <v>-2.5763258093856205</v>
      </c>
      <c r="DV119" s="180">
        <f>RT0*DU119</f>
        <v>-5.8507563046472342</v>
      </c>
      <c r="DW119" s="180">
        <f t="shared" ref="DW119:DW121" si="42">DS119+DV119</f>
        <v>-4.3247563046471669</v>
      </c>
      <c r="DX119" s="180">
        <f t="shared" ref="DX119:DX121" si="43">DW119*DT119</f>
        <v>-0.32891036362188886</v>
      </c>
      <c r="DY119" s="180">
        <f>$DR$122*DX119</f>
        <v>-8561.0802634753836</v>
      </c>
      <c r="EB119" s="105">
        <f>EW129+EW92</f>
        <v>420594.69405353453</v>
      </c>
      <c r="EC119" s="100">
        <f>(DY114+DY128+EG106)-(EW114+EW129+EW92)</f>
        <v>5363882.5561831472</v>
      </c>
      <c r="ED119" s="382">
        <f>(EV129+EV114+EV92)-(DX114+DX128+DX140)</f>
        <v>0</v>
      </c>
      <c r="EE119" s="140" t="s">
        <v>353</v>
      </c>
      <c r="EF119" s="104" t="s">
        <v>102</v>
      </c>
      <c r="EM119" s="8" t="s">
        <v>20</v>
      </c>
      <c r="EN119" s="8">
        <f t="shared" ref="EN119:EW119" si="44">SUM(EN118:EN118)</f>
        <v>616.23583583508366</v>
      </c>
      <c r="EO119" s="8">
        <f t="shared" si="44"/>
        <v>5.5844999999999999E-2</v>
      </c>
      <c r="EP119" s="8">
        <f t="shared" si="44"/>
        <v>11034.753976812313</v>
      </c>
      <c r="EQ119" s="8">
        <f t="shared" si="44"/>
        <v>376.8</v>
      </c>
      <c r="ER119" s="8">
        <f t="shared" si="44"/>
        <v>1</v>
      </c>
      <c r="ES119" s="8">
        <f t="shared" si="44"/>
        <v>0</v>
      </c>
      <c r="ET119" s="8">
        <f t="shared" si="44"/>
        <v>0</v>
      </c>
      <c r="EU119" s="8">
        <f t="shared" si="44"/>
        <v>376.8</v>
      </c>
      <c r="EV119" s="8">
        <f t="shared" si="44"/>
        <v>376.8</v>
      </c>
      <c r="EW119" s="8">
        <f t="shared" si="44"/>
        <v>4157895.2984628798</v>
      </c>
    </row>
    <row r="120" spans="2:161" ht="19" thickBot="1" x14ac:dyDescent="0.3">
      <c r="C120" s="27" t="s">
        <v>20</v>
      </c>
      <c r="D120" s="27">
        <f>SUM(D118:D119)</f>
        <v>208.55560337725498</v>
      </c>
      <c r="E120" s="27">
        <f>SUM(E118:E119)</f>
        <v>1</v>
      </c>
      <c r="F120" s="27">
        <f>SUM(F118:F119)</f>
        <v>0.18440139999999999</v>
      </c>
      <c r="G120" s="27">
        <f>SUM(G118:G119)</f>
        <v>2103.2296895721047</v>
      </c>
      <c r="H120" s="27"/>
      <c r="I120" s="27">
        <f>SUM(I118:I119)</f>
        <v>1</v>
      </c>
      <c r="J120" s="127"/>
      <c r="K120" s="127"/>
      <c r="L120" s="127"/>
      <c r="M120" s="27">
        <f>SUM(M118:M119)</f>
        <v>12.073926610257685</v>
      </c>
      <c r="N120" s="27">
        <f>SUM(N118:N119)</f>
        <v>25394.240916408646</v>
      </c>
      <c r="O120" s="6"/>
      <c r="P120" s="6"/>
      <c r="Q120" s="6"/>
      <c r="R120" s="141" t="s">
        <v>421</v>
      </c>
      <c r="S120" s="138">
        <f>$AG$118/($U$110+N114)</f>
        <v>0.85733667205813602</v>
      </c>
      <c r="T120" s="4"/>
      <c r="U120" s="6"/>
      <c r="V120" s="27" t="s">
        <v>20</v>
      </c>
      <c r="W120" s="27">
        <f>SUM(W118:W119)</f>
        <v>208.55560337725498</v>
      </c>
      <c r="X120" s="27">
        <f>SUM(X118:X119)</f>
        <v>1</v>
      </c>
      <c r="Y120" s="27">
        <f>SUM(Y118:Y119)</f>
        <v>0.18440139999999999</v>
      </c>
      <c r="Z120" s="27">
        <f>SUM(Z118:Z119)</f>
        <v>2103.2296895721047</v>
      </c>
      <c r="AA120" s="27"/>
      <c r="AB120" s="27">
        <f>SUM(AB118:AB119)</f>
        <v>1</v>
      </c>
      <c r="AC120" s="127"/>
      <c r="AD120" s="127"/>
      <c r="AE120" s="127"/>
      <c r="AF120" s="27">
        <f>SUM(AF118:AF119)</f>
        <v>12.073926610257685</v>
      </c>
      <c r="AG120" s="27">
        <f>SUM(AG118:AG119)</f>
        <v>25394.240916408646</v>
      </c>
      <c r="AH120" s="6"/>
      <c r="AI120" s="6"/>
      <c r="AJ120" s="4"/>
      <c r="AK120" s="141" t="s">
        <v>421</v>
      </c>
      <c r="AL120" s="138">
        <f>AY118/(AL101+AG114)</f>
        <v>0.78000211588999502</v>
      </c>
      <c r="AM120" s="4"/>
      <c r="AN120" s="27" t="s">
        <v>20</v>
      </c>
      <c r="AO120" s="27">
        <f>SUM(AO118:AO119)</f>
        <v>208.55560337725498</v>
      </c>
      <c r="AP120" s="27">
        <f>SUM(AP118:AP119)</f>
        <v>1</v>
      </c>
      <c r="AQ120" s="27">
        <f>SUM(AQ118:AQ119)</f>
        <v>0.18440139999999999</v>
      </c>
      <c r="AR120" s="27">
        <f>SUM(AR118:AR119)</f>
        <v>2103.2296895721047</v>
      </c>
      <c r="AS120" s="27"/>
      <c r="AT120" s="27">
        <f>SUM(AT118:AT119)</f>
        <v>1</v>
      </c>
      <c r="AU120" s="127"/>
      <c r="AV120" s="127"/>
      <c r="AW120" s="127"/>
      <c r="AX120" s="27">
        <f>SUM(AX118:AX119)</f>
        <v>12.073926610257685</v>
      </c>
      <c r="AY120" s="27">
        <f>SUM(AY118:AY119)</f>
        <v>25394.240916408646</v>
      </c>
      <c r="AZ120" s="6"/>
      <c r="BA120" s="6"/>
      <c r="BB120" s="4"/>
      <c r="BC120" s="141" t="s">
        <v>421</v>
      </c>
      <c r="BD120" s="138">
        <f>BQ118/(BC101+AY114)</f>
        <v>0.86577461041321313</v>
      </c>
      <c r="BE120" s="4"/>
      <c r="BF120" s="27" t="s">
        <v>20</v>
      </c>
      <c r="BG120" s="27">
        <f>SUM(BG118:BG119)</f>
        <v>208.55560337725498</v>
      </c>
      <c r="BH120" s="27">
        <f>SUM(BH118:BH119)</f>
        <v>1</v>
      </c>
      <c r="BI120" s="27">
        <f>SUM(BI118:BI119)</f>
        <v>0.18440139999999999</v>
      </c>
      <c r="BJ120" s="27">
        <f>SUM(BJ118:BJ119)</f>
        <v>2103.2296895721047</v>
      </c>
      <c r="BK120" s="27"/>
      <c r="BL120" s="27">
        <f>SUM(BL118:BL119)</f>
        <v>1</v>
      </c>
      <c r="BM120" s="127"/>
      <c r="BN120" s="127"/>
      <c r="BO120" s="127"/>
      <c r="BP120" s="27">
        <f>SUM(BP118:BP119)</f>
        <v>12.073926610257685</v>
      </c>
      <c r="BQ120" s="27">
        <f>SUM(BQ118:BQ119)</f>
        <v>25394.240916408646</v>
      </c>
      <c r="BR120" s="114"/>
      <c r="BS120" s="114"/>
      <c r="BU120" s="141" t="s">
        <v>421</v>
      </c>
      <c r="BV120" s="138">
        <f>CK118/(BQ114+BQ140+BQ128)</f>
        <v>2.2442181938382317E-4</v>
      </c>
      <c r="BW120" s="114"/>
      <c r="BX120" s="114"/>
      <c r="BZ120" s="6"/>
      <c r="CA120" s="6" t="s">
        <v>328</v>
      </c>
      <c r="CB120" s="6"/>
      <c r="CC120" s="114" t="s">
        <v>343</v>
      </c>
      <c r="CD120" s="114" t="s">
        <v>344</v>
      </c>
      <c r="CE120" s="6"/>
      <c r="CF120" s="6"/>
      <c r="CG120" s="114"/>
      <c r="CH120" s="114"/>
      <c r="CI120" s="114"/>
      <c r="CJ120" s="114" t="s">
        <v>345</v>
      </c>
      <c r="CK120" s="6" t="s">
        <v>329</v>
      </c>
      <c r="DI120" s="4"/>
      <c r="DJ120" s="4"/>
      <c r="DK120" s="140" t="s">
        <v>354</v>
      </c>
      <c r="DL120" s="104">
        <f>DY114/(CK114+CI176+BP42)</f>
        <v>0.99300939590335358</v>
      </c>
      <c r="DM120" s="4"/>
      <c r="DN120" s="369"/>
      <c r="DO120" s="1" t="s">
        <v>127</v>
      </c>
      <c r="DP120" s="179">
        <f>CJ114</f>
        <v>111.00813284002646</v>
      </c>
      <c r="DQ120" s="168">
        <f>MW_CaO</f>
        <v>5.6077400000000006E-2</v>
      </c>
      <c r="DR120" s="168">
        <f>DP120/DQ120</f>
        <v>1979.5520626852608</v>
      </c>
      <c r="DS120" s="168">
        <f>b_ch_CaO</f>
        <v>122.25799999999992</v>
      </c>
      <c r="DT120" s="168">
        <f>DR120/$DR$122</f>
        <v>7.6052924246496442E-2</v>
      </c>
      <c r="DU120" s="180">
        <f t="shared" si="41"/>
        <v>-2.5763258093856205</v>
      </c>
      <c r="DV120" s="180">
        <f>RT0*DU120</f>
        <v>-5.8507563046472342</v>
      </c>
      <c r="DW120" s="180">
        <f t="shared" si="42"/>
        <v>116.40724369535269</v>
      </c>
      <c r="DX120" s="180">
        <f t="shared" si="43"/>
        <v>8.8531112865061079</v>
      </c>
      <c r="DY120" s="180">
        <f>$DR$122*DX120</f>
        <v>230434.19936864119</v>
      </c>
      <c r="EC120" s="4"/>
      <c r="ED120" s="4"/>
      <c r="EE120" s="140" t="s">
        <v>354</v>
      </c>
      <c r="EF120" s="104">
        <f>(EW114+EW129+EW92)/(DY114+DY128+EG106+DY140)</f>
        <v>0.32463356388526649</v>
      </c>
      <c r="EM120" s="1"/>
      <c r="EN120" s="1" t="s">
        <v>93</v>
      </c>
      <c r="EO120" s="3" t="s">
        <v>95</v>
      </c>
      <c r="EP120" s="3" t="s">
        <v>91</v>
      </c>
      <c r="EQ120" s="4"/>
      <c r="ER120" s="4"/>
      <c r="EV120" s="3" t="s">
        <v>100</v>
      </c>
      <c r="EW120" s="1" t="s">
        <v>97</v>
      </c>
    </row>
    <row r="121" spans="2:161" ht="19" thickBot="1" x14ac:dyDescent="0.3">
      <c r="C121" s="6"/>
      <c r="D121" s="6" t="s">
        <v>328</v>
      </c>
      <c r="E121" s="6"/>
      <c r="F121" s="114" t="s">
        <v>343</v>
      </c>
      <c r="G121" s="114" t="s">
        <v>344</v>
      </c>
      <c r="H121" s="6"/>
      <c r="I121" s="6"/>
      <c r="J121" s="114"/>
      <c r="K121" s="114"/>
      <c r="L121" s="114"/>
      <c r="M121" s="114" t="s">
        <v>345</v>
      </c>
      <c r="N121" s="6" t="s">
        <v>329</v>
      </c>
      <c r="O121" s="6"/>
      <c r="P121" s="6"/>
      <c r="Q121" s="6"/>
      <c r="R121" s="6"/>
      <c r="S121" s="6"/>
      <c r="T121" s="6"/>
      <c r="U121" s="6"/>
      <c r="V121" s="6"/>
      <c r="W121" s="6" t="s">
        <v>328</v>
      </c>
      <c r="X121" s="6"/>
      <c r="Y121" s="114" t="s">
        <v>343</v>
      </c>
      <c r="Z121" s="114" t="s">
        <v>344</v>
      </c>
      <c r="AA121" s="6"/>
      <c r="AB121" s="6"/>
      <c r="AC121" s="114"/>
      <c r="AD121" s="114"/>
      <c r="AE121" s="114"/>
      <c r="AF121" s="114" t="s">
        <v>345</v>
      </c>
      <c r="AG121" s="6" t="s">
        <v>329</v>
      </c>
      <c r="AH121" s="6"/>
      <c r="AI121" s="6"/>
      <c r="AJ121" s="4"/>
      <c r="AK121" s="6"/>
      <c r="AL121" s="6"/>
      <c r="AM121" s="6"/>
      <c r="AN121" s="6"/>
      <c r="AO121" s="6" t="s">
        <v>328</v>
      </c>
      <c r="AP121" s="6"/>
      <c r="AQ121" s="114" t="s">
        <v>343</v>
      </c>
      <c r="AR121" s="114" t="s">
        <v>344</v>
      </c>
      <c r="AS121" s="6"/>
      <c r="AT121" s="6"/>
      <c r="AU121" s="114"/>
      <c r="AV121" s="114"/>
      <c r="AW121" s="114"/>
      <c r="AX121" s="114" t="s">
        <v>345</v>
      </c>
      <c r="AY121" s="6" t="s">
        <v>329</v>
      </c>
      <c r="AZ121" s="6"/>
      <c r="BA121" s="6"/>
      <c r="BB121" s="4"/>
      <c r="BC121" s="6"/>
      <c r="BD121" s="6"/>
      <c r="BE121" s="6"/>
      <c r="BF121" s="6"/>
      <c r="BG121" s="6" t="s">
        <v>328</v>
      </c>
      <c r="BH121" s="6"/>
      <c r="BI121" s="114" t="s">
        <v>343</v>
      </c>
      <c r="BJ121" s="114" t="s">
        <v>344</v>
      </c>
      <c r="BK121" s="6"/>
      <c r="BL121" s="6"/>
      <c r="BM121" s="114"/>
      <c r="BN121" s="114"/>
      <c r="BO121" s="114"/>
      <c r="BP121" s="114" t="s">
        <v>345</v>
      </c>
      <c r="BQ121" s="6" t="s">
        <v>329</v>
      </c>
      <c r="BR121" s="114"/>
      <c r="BS121" s="114"/>
      <c r="BU121" s="114"/>
      <c r="BV121" s="114"/>
      <c r="BW121" s="114"/>
      <c r="BX121" s="114"/>
      <c r="BY121" s="114"/>
      <c r="BZ121" s="114"/>
      <c r="CA121" s="114"/>
      <c r="CB121" s="114"/>
      <c r="CC121" s="114"/>
      <c r="CD121" s="114"/>
      <c r="CE121" s="114"/>
      <c r="CF121" s="114"/>
      <c r="CG121" s="114"/>
      <c r="CH121" s="114"/>
      <c r="CI121" s="114"/>
      <c r="CJ121" s="114"/>
      <c r="CK121" s="114"/>
      <c r="DK121" s="141" t="s">
        <v>421</v>
      </c>
      <c r="DL121" s="100">
        <f>DY118/(CK114+CI176+BP42)</f>
        <v>1.0717776463170951E-2</v>
      </c>
      <c r="DM121" s="4"/>
      <c r="DN121" s="369"/>
      <c r="DO121" s="1" t="s">
        <v>19</v>
      </c>
      <c r="DP121" s="179">
        <f>Coking_BF_in</f>
        <v>198.80764502323905</v>
      </c>
      <c r="DQ121" s="168">
        <f>MW_C</f>
        <v>1.2010999999999999E-2</v>
      </c>
      <c r="DR121" s="168">
        <f t="shared" ref="DR121" si="45">DP121/DQ121</f>
        <v>16552.130965218472</v>
      </c>
      <c r="DS121" s="168">
        <f>b_ch_C</f>
        <v>410.3</v>
      </c>
      <c r="DT121" s="168">
        <f>DR121/$DR$122</f>
        <v>0.63592061363025532</v>
      </c>
      <c r="DU121" s="180">
        <f t="shared" si="41"/>
        <v>-0.45268154476892275</v>
      </c>
      <c r="DV121" s="180">
        <f>RT0*DU121</f>
        <v>-1.0280258003104901</v>
      </c>
      <c r="DW121" s="180">
        <f t="shared" si="42"/>
        <v>409.27197419968951</v>
      </c>
      <c r="DX121" s="180">
        <f t="shared" si="43"/>
        <v>260.26448497473257</v>
      </c>
      <c r="DY121" s="180">
        <f>$DR$122*DX121</f>
        <v>6774323.3173467768</v>
      </c>
      <c r="EE121" s="141" t="s">
        <v>421</v>
      </c>
      <c r="EF121" s="100">
        <f>EW118/(DY114+DY128+EG106+DY140)</f>
        <v>0.29481168927049028</v>
      </c>
      <c r="EL121" s="4"/>
      <c r="EM121" s="1"/>
      <c r="EN121" s="1"/>
      <c r="EQ121" s="4"/>
      <c r="ER121" s="4"/>
      <c r="EW121" s="1"/>
    </row>
    <row r="122" spans="2:161" ht="16" x14ac:dyDescent="0.2"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6"/>
      <c r="BA122" s="4"/>
      <c r="BB122" s="4"/>
      <c r="BC122" s="4"/>
      <c r="BD122" s="4"/>
      <c r="BE122" s="4"/>
      <c r="BF122" s="4"/>
      <c r="BG122" s="4"/>
      <c r="BH122" s="4"/>
      <c r="BI122" s="4"/>
      <c r="BL122" s="4"/>
      <c r="BM122" s="4"/>
      <c r="BQ122" s="114"/>
      <c r="DH122" s="4"/>
      <c r="DI122" s="4"/>
      <c r="DJ122" s="4"/>
      <c r="DK122" s="4"/>
      <c r="DL122" s="4"/>
      <c r="DM122" s="4"/>
      <c r="DO122" s="8" t="s">
        <v>20</v>
      </c>
      <c r="DP122" s="176">
        <f>SUM(DP118:DP121)</f>
        <v>1309.8157778632656</v>
      </c>
      <c r="DQ122" s="177">
        <f>SUM(DQ118:DQ121)</f>
        <v>0.28786090000000003</v>
      </c>
      <c r="DR122" s="177">
        <f>SUM(DR118:DR121)</f>
        <v>26028.612078995153</v>
      </c>
      <c r="DS122" s="177"/>
      <c r="DT122" s="177">
        <f>SUM(DT118:DT121)</f>
        <v>1</v>
      </c>
      <c r="DU122" s="177"/>
      <c r="DV122" s="177"/>
      <c r="DW122" s="177"/>
      <c r="DX122" s="177"/>
      <c r="DY122" s="177">
        <f>SUM(DY118:DY121)</f>
        <v>7072531.8830895294</v>
      </c>
      <c r="EE122" s="4"/>
      <c r="EL122" s="4"/>
      <c r="EM122" s="1"/>
      <c r="EN122" s="1"/>
      <c r="EQ122" s="4"/>
      <c r="ER122" s="4"/>
      <c r="EW122" s="1"/>
    </row>
    <row r="123" spans="2:161" ht="19" thickBot="1" x14ac:dyDescent="0.3"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L123" s="4"/>
      <c r="BM123" s="4"/>
      <c r="DP123" s="181" t="s">
        <v>93</v>
      </c>
      <c r="DQ123" s="168" t="s">
        <v>95</v>
      </c>
      <c r="DR123" s="168" t="s">
        <v>91</v>
      </c>
      <c r="DS123" s="182"/>
      <c r="DT123" s="182"/>
      <c r="DU123" s="168"/>
      <c r="DV123" s="168"/>
      <c r="DW123" s="168"/>
      <c r="DX123" s="168" t="s">
        <v>100</v>
      </c>
      <c r="DY123" s="180" t="s">
        <v>97</v>
      </c>
      <c r="ED123" s="4"/>
      <c r="EL123" s="4"/>
      <c r="EM123" s="1"/>
      <c r="EN123" s="1"/>
      <c r="EQ123" s="4"/>
      <c r="ER123" s="4"/>
      <c r="EW123" s="1"/>
    </row>
    <row r="124" spans="2:161" ht="16" x14ac:dyDescent="0.2"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S124" s="1"/>
      <c r="BT124" s="1"/>
      <c r="BU124" s="1"/>
      <c r="BV124" s="1"/>
      <c r="BW124" s="1"/>
      <c r="BX124" s="1"/>
      <c r="CA124" s="4"/>
      <c r="CB124" s="4"/>
      <c r="CJ124" s="63" t="s">
        <v>1</v>
      </c>
      <c r="CK124" s="58" t="s">
        <v>0</v>
      </c>
      <c r="DS124" s="179"/>
      <c r="DT124" s="168"/>
      <c r="DU124" s="168"/>
      <c r="DV124" s="168"/>
      <c r="DW124" s="168"/>
      <c r="DX124" s="168"/>
      <c r="DY124" s="168"/>
      <c r="DZ124" s="168"/>
      <c r="EA124" s="168"/>
      <c r="EB124" s="168"/>
      <c r="EO124" s="4"/>
      <c r="EP124" s="1"/>
      <c r="EQ124" s="1"/>
      <c r="ET124" s="4"/>
      <c r="EU124" s="4"/>
      <c r="EZ124" s="1"/>
    </row>
    <row r="125" spans="2:161" ht="19" thickBot="1" x14ac:dyDescent="0.3">
      <c r="L125" s="4"/>
      <c r="M125" s="4"/>
      <c r="N125" s="4"/>
      <c r="O125" s="4"/>
      <c r="P125" s="90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S125" s="1"/>
      <c r="BT125" s="1"/>
      <c r="BU125" s="1"/>
      <c r="BV125" s="1"/>
      <c r="BW125" s="1"/>
      <c r="BX125" s="1"/>
      <c r="CA125" s="4"/>
      <c r="CB125" s="4"/>
      <c r="CJ125" s="65" t="s">
        <v>93</v>
      </c>
      <c r="CK125" s="64" t="s">
        <v>97</v>
      </c>
      <c r="DP125" s="179"/>
      <c r="DQ125" s="168"/>
      <c r="DR125" s="168"/>
      <c r="DS125" s="168"/>
      <c r="DT125" s="168"/>
      <c r="DU125" s="168"/>
      <c r="DV125" s="168"/>
      <c r="DW125" s="168"/>
      <c r="DX125" s="168"/>
      <c r="DY125" s="168"/>
      <c r="EL125" s="4"/>
      <c r="EM125" s="1"/>
      <c r="EN125" s="1"/>
      <c r="EQ125" s="4"/>
      <c r="ER125" s="4"/>
      <c r="EW125" s="1"/>
    </row>
    <row r="126" spans="2:161" ht="17" thickBot="1" x14ac:dyDescent="0.25"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O126" s="160" t="s">
        <v>352</v>
      </c>
      <c r="BP126" s="158" t="s">
        <v>1</v>
      </c>
      <c r="BQ126" s="58" t="s">
        <v>0</v>
      </c>
      <c r="BV126" s="1"/>
      <c r="BW126" s="1"/>
      <c r="BX126" s="1"/>
      <c r="BY126" s="1"/>
      <c r="BZ126" s="1"/>
      <c r="CA126" s="1"/>
      <c r="CD126" s="4"/>
      <c r="CE126" s="4"/>
      <c r="CJ126" s="50">
        <f>CA134</f>
        <v>21178.628376204575</v>
      </c>
      <c r="CK126" s="48">
        <f>CK134</f>
        <v>5011910.8458600137</v>
      </c>
      <c r="DP126" s="179"/>
      <c r="DQ126" s="168"/>
      <c r="DR126" s="168"/>
      <c r="DS126" s="168"/>
      <c r="DT126" s="168"/>
      <c r="DU126" s="168"/>
      <c r="DV126" s="168"/>
      <c r="DW126" s="168"/>
      <c r="DX126" s="183" t="s">
        <v>1</v>
      </c>
      <c r="DY126" s="184" t="s">
        <v>0</v>
      </c>
      <c r="EL126" s="1"/>
      <c r="EM126" s="1"/>
      <c r="EN126" s="1"/>
      <c r="EQ126" s="4"/>
      <c r="ER126" s="4"/>
      <c r="EW126" s="1"/>
    </row>
    <row r="127" spans="2:161" ht="18" x14ac:dyDescent="0.25"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O127" s="161" t="s">
        <v>66</v>
      </c>
      <c r="BP127" s="23" t="s">
        <v>93</v>
      </c>
      <c r="BQ127" s="64" t="s">
        <v>97</v>
      </c>
      <c r="BZ127" s="1"/>
      <c r="CA127" s="1"/>
      <c r="CB127" s="4"/>
      <c r="CC127" s="4"/>
      <c r="CD127" s="4"/>
      <c r="CE127" s="4"/>
      <c r="CF127" s="4"/>
      <c r="CG127" s="4"/>
      <c r="CH127" s="4"/>
      <c r="CI127" s="4"/>
      <c r="CJ127" s="4"/>
      <c r="DP127" s="179"/>
      <c r="DQ127" s="168"/>
      <c r="DR127" s="168"/>
      <c r="DS127" s="168"/>
      <c r="DT127" s="168"/>
      <c r="DU127" s="168"/>
      <c r="DV127" s="168"/>
      <c r="DW127" s="168"/>
      <c r="DX127" s="185" t="s">
        <v>93</v>
      </c>
      <c r="DY127" s="186" t="s">
        <v>97</v>
      </c>
      <c r="EL127" s="1"/>
      <c r="EM127" s="1"/>
      <c r="EN127" s="1"/>
      <c r="EQ127" s="4"/>
      <c r="ER127" s="4"/>
      <c r="EV127" s="63" t="s">
        <v>1</v>
      </c>
      <c r="EW127" s="58" t="s">
        <v>0</v>
      </c>
    </row>
    <row r="128" spans="2:161" ht="19" thickBot="1" x14ac:dyDescent="0.3">
      <c r="L128" s="4"/>
      <c r="M128" s="4"/>
      <c r="N128" s="4"/>
      <c r="O128" s="4"/>
      <c r="P128" s="4"/>
      <c r="Q128" s="4"/>
      <c r="R128" s="4"/>
      <c r="S128" s="4"/>
      <c r="T128" s="4"/>
      <c r="U128" s="1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O128" s="123">
        <v>298.14999999999998</v>
      </c>
      <c r="BP128" s="159">
        <f>BH134</f>
        <v>287.74918282404701</v>
      </c>
      <c r="BQ128" s="48">
        <f>BQ134</f>
        <v>2228.753251272266</v>
      </c>
      <c r="BZ128" s="1"/>
      <c r="CA128" s="3" t="s">
        <v>1</v>
      </c>
      <c r="CB128" s="3" t="s">
        <v>49</v>
      </c>
      <c r="CC128" s="3" t="s">
        <v>5</v>
      </c>
      <c r="CD128" s="3" t="s">
        <v>376</v>
      </c>
      <c r="CE128" s="1" t="s">
        <v>136</v>
      </c>
      <c r="CF128" s="1" t="s">
        <v>133</v>
      </c>
      <c r="CG128" s="1" t="s">
        <v>9</v>
      </c>
      <c r="CH128" s="1" t="s">
        <v>137</v>
      </c>
      <c r="CI128" s="1" t="s">
        <v>138</v>
      </c>
      <c r="CJ128" s="1" t="s">
        <v>139</v>
      </c>
      <c r="CK128" s="1" t="s">
        <v>140</v>
      </c>
      <c r="DP128" s="179"/>
      <c r="DQ128" s="168"/>
      <c r="DR128" s="168"/>
      <c r="DS128" s="168"/>
      <c r="DT128" s="168"/>
      <c r="DU128" s="168"/>
      <c r="DV128" s="168"/>
      <c r="DW128" s="168"/>
      <c r="DX128" s="174">
        <f>DP134</f>
        <v>2380.4098666438063</v>
      </c>
      <c r="DY128" s="175">
        <f>DY134</f>
        <v>18633.952798957667</v>
      </c>
      <c r="EL128" s="1"/>
      <c r="EM128" s="1"/>
      <c r="EN128" s="1"/>
      <c r="EQ128" s="4"/>
      <c r="ER128" s="4"/>
      <c r="EV128" s="65" t="s">
        <v>93</v>
      </c>
      <c r="EW128" s="64" t="s">
        <v>97</v>
      </c>
    </row>
    <row r="129" spans="12:153" ht="19.25" customHeight="1" thickBot="1" x14ac:dyDescent="0.3">
      <c r="L129" s="4"/>
      <c r="M129" s="4"/>
      <c r="N129" s="4"/>
      <c r="O129" s="4"/>
      <c r="P129" s="4"/>
      <c r="Q129" s="4"/>
      <c r="R129" s="4"/>
      <c r="S129" s="4"/>
      <c r="T129" s="4"/>
      <c r="U129" s="1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Z129" s="2" t="s">
        <v>43</v>
      </c>
      <c r="CA129" s="2" t="s">
        <v>12</v>
      </c>
      <c r="CB129" s="4" t="s">
        <v>287</v>
      </c>
      <c r="CC129" s="2" t="s">
        <v>13</v>
      </c>
      <c r="CD129" s="2" t="s">
        <v>14</v>
      </c>
      <c r="CE129" s="2" t="s">
        <v>15</v>
      </c>
      <c r="CF129" s="2" t="s">
        <v>27</v>
      </c>
      <c r="CG129" s="2" t="s">
        <v>27</v>
      </c>
      <c r="CH129" s="2" t="s">
        <v>15</v>
      </c>
      <c r="CI129" s="2" t="s">
        <v>15</v>
      </c>
      <c r="CJ129" s="2" t="s">
        <v>28</v>
      </c>
      <c r="CK129" s="1" t="s">
        <v>50</v>
      </c>
      <c r="DP129" s="179"/>
      <c r="DQ129" s="168"/>
      <c r="DR129" s="168"/>
      <c r="DS129" s="168"/>
      <c r="DT129" s="168"/>
      <c r="DU129" s="168"/>
      <c r="DV129" s="168"/>
      <c r="DW129" s="168"/>
      <c r="DX129" s="168"/>
      <c r="DY129" s="168"/>
      <c r="EL129" s="1"/>
      <c r="EM129" s="1"/>
      <c r="EN129" s="1"/>
      <c r="EQ129" s="4"/>
      <c r="ER129" s="4"/>
      <c r="EV129" s="50">
        <f>EN136</f>
        <v>2892.7495488626555</v>
      </c>
      <c r="EW129" s="48">
        <f>EW136</f>
        <v>352719.3378356871</v>
      </c>
    </row>
    <row r="130" spans="12:153" ht="18" x14ac:dyDescent="0.25">
      <c r="L130" s="4"/>
      <c r="M130" s="4"/>
      <c r="N130" s="4"/>
      <c r="O130" s="4"/>
      <c r="P130" s="4"/>
      <c r="Q130" s="4"/>
      <c r="R130" s="4"/>
      <c r="S130" s="4"/>
      <c r="T130" s="4"/>
      <c r="U130" s="1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G130" s="4"/>
      <c r="BH130" s="3" t="s">
        <v>1</v>
      </c>
      <c r="BI130" s="3" t="s">
        <v>5</v>
      </c>
      <c r="BJ130" s="3" t="s">
        <v>376</v>
      </c>
      <c r="BK130" s="1" t="s">
        <v>136</v>
      </c>
      <c r="BL130" s="1" t="s">
        <v>133</v>
      </c>
      <c r="BM130" s="1" t="s">
        <v>9</v>
      </c>
      <c r="BN130" s="1" t="s">
        <v>137</v>
      </c>
      <c r="BO130" s="1" t="s">
        <v>138</v>
      </c>
      <c r="BP130" s="1" t="s">
        <v>139</v>
      </c>
      <c r="BQ130" s="1" t="s">
        <v>140</v>
      </c>
      <c r="BR130" s="1"/>
      <c r="BY130" s="385" t="s">
        <v>537</v>
      </c>
      <c r="BZ130" s="3" t="s">
        <v>25</v>
      </c>
      <c r="CA130" s="1">
        <f>CO2_Kiln_Out+CO2_Kiln_Out_ADD</f>
        <v>258.78111600158365</v>
      </c>
      <c r="CB130" s="8">
        <f>CA130/CA134</f>
        <v>1.2218974307719538E-2</v>
      </c>
      <c r="CC130" s="1">
        <f>MW_CO2</f>
        <v>4.4009800000000002E-2</v>
      </c>
      <c r="CD130" s="1">
        <f>CA130/CC130</f>
        <v>5880.0793459998376</v>
      </c>
      <c r="CE130" s="1">
        <f>b_ch_CO2</f>
        <v>19.900000000000034</v>
      </c>
      <c r="CF130" s="1">
        <f>CD130/$CD$134</f>
        <v>4.5130640866266353E-3</v>
      </c>
      <c r="CG130" s="1">
        <f>LN(CF130)</f>
        <v>-5.4007789577890319</v>
      </c>
      <c r="CH130" s="1">
        <f>RT0*CG130</f>
        <v>-12.265002129069096</v>
      </c>
      <c r="CI130" s="1">
        <f>CE130+CH130</f>
        <v>7.6349978709309383</v>
      </c>
      <c r="CJ130" s="1">
        <f>CI130*CF130</f>
        <v>3.4457234692769241E-2</v>
      </c>
      <c r="CK130" s="8">
        <f>$CD$134*CJ130</f>
        <v>44894.393287613748</v>
      </c>
      <c r="DO130" s="4"/>
      <c r="DP130" s="181" t="s">
        <v>135</v>
      </c>
      <c r="DQ130" s="180" t="s">
        <v>5</v>
      </c>
      <c r="DR130" s="180" t="s">
        <v>134</v>
      </c>
      <c r="DS130" s="180" t="s">
        <v>136</v>
      </c>
      <c r="DT130" s="180" t="s">
        <v>133</v>
      </c>
      <c r="DU130" s="180" t="s">
        <v>9</v>
      </c>
      <c r="DV130" s="180" t="s">
        <v>137</v>
      </c>
      <c r="DW130" s="180" t="s">
        <v>138</v>
      </c>
      <c r="DX130" s="180" t="s">
        <v>139</v>
      </c>
      <c r="DY130" s="180" t="s">
        <v>140</v>
      </c>
      <c r="DZ130" s="1"/>
      <c r="EM130" s="1"/>
      <c r="EN130" s="1"/>
      <c r="EO130" s="4"/>
      <c r="EP130" s="4"/>
      <c r="EQ130" s="4"/>
      <c r="ER130" s="4"/>
      <c r="ES130" s="4"/>
      <c r="ET130" s="4"/>
      <c r="EU130" s="4"/>
      <c r="EV130" s="4"/>
      <c r="EW130" s="4"/>
    </row>
    <row r="131" spans="12:153" ht="18" x14ac:dyDescent="0.25">
      <c r="L131" s="4"/>
      <c r="M131" s="4"/>
      <c r="N131" s="4"/>
      <c r="O131" s="4"/>
      <c r="P131" s="4"/>
      <c r="Q131" s="4"/>
      <c r="R131" s="4"/>
      <c r="S131" s="4"/>
      <c r="T131" s="4"/>
      <c r="U131" s="1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95" t="s">
        <v>43</v>
      </c>
      <c r="BH131" s="2" t="s">
        <v>92</v>
      </c>
      <c r="BI131" s="2" t="s">
        <v>94</v>
      </c>
      <c r="BJ131" s="2" t="s">
        <v>90</v>
      </c>
      <c r="BK131" s="2" t="s">
        <v>99</v>
      </c>
      <c r="BL131" s="2" t="s">
        <v>27</v>
      </c>
      <c r="BM131" s="2" t="s">
        <v>102</v>
      </c>
      <c r="BN131" s="2" t="s">
        <v>99</v>
      </c>
      <c r="BO131" s="2" t="s">
        <v>99</v>
      </c>
      <c r="BP131" s="2" t="s">
        <v>98</v>
      </c>
      <c r="BQ131" s="2" t="s">
        <v>96</v>
      </c>
      <c r="BY131" s="385"/>
      <c r="BZ131" s="351" t="s">
        <v>68</v>
      </c>
      <c r="CA131" s="146">
        <f>CH4_Kiln_out</f>
        <v>20556.443397615094</v>
      </c>
      <c r="CB131" s="1">
        <f>CA131/$CA$134</f>
        <v>0.97062203616129639</v>
      </c>
      <c r="CC131" s="1">
        <f>MW_CH4</f>
        <v>1.604276E-2</v>
      </c>
      <c r="CD131" s="1">
        <f>CA131/CC131</f>
        <v>1281353.29566827</v>
      </c>
      <c r="CE131" s="1">
        <f>b_ch_O2</f>
        <v>4</v>
      </c>
      <c r="CF131" s="1">
        <f>CD131/$CD$134</f>
        <v>0.98346114068939461</v>
      </c>
      <c r="CG131" s="1">
        <f t="shared" ref="CG131:CG133" si="46">LN(CF131)</f>
        <v>-1.6677153179780288E-2</v>
      </c>
      <c r="CH131" s="1">
        <f>RT0*CG131</f>
        <v>-3.7873299547247774E-2</v>
      </c>
      <c r="CI131" s="1">
        <f t="shared" ref="CI131:CI133" si="47">CE131+CH131</f>
        <v>3.9621267004527523</v>
      </c>
      <c r="CJ131" s="1">
        <f t="shared" ref="CJ131:CJ133" si="48">CI131*CF131</f>
        <v>3.8965976443831711</v>
      </c>
      <c r="CK131" s="1">
        <f>$CD$134*CJ131</f>
        <v>5076884.1054803822</v>
      </c>
      <c r="DO131" s="95" t="s">
        <v>43</v>
      </c>
      <c r="DP131" s="187" t="s">
        <v>92</v>
      </c>
      <c r="DQ131" s="188" t="s">
        <v>94</v>
      </c>
      <c r="DR131" s="188" t="s">
        <v>90</v>
      </c>
      <c r="DS131" s="188" t="s">
        <v>99</v>
      </c>
      <c r="DT131" s="188" t="s">
        <v>27</v>
      </c>
      <c r="DU131" s="188" t="s">
        <v>102</v>
      </c>
      <c r="DV131" s="188" t="s">
        <v>99</v>
      </c>
      <c r="DW131" s="188" t="s">
        <v>99</v>
      </c>
      <c r="DX131" s="188" t="s">
        <v>98</v>
      </c>
      <c r="DY131" s="188" t="s">
        <v>96</v>
      </c>
      <c r="DZ131" s="1"/>
      <c r="EM131" s="1"/>
      <c r="EN131" s="1" t="s">
        <v>1</v>
      </c>
      <c r="EO131" s="1" t="s">
        <v>5</v>
      </c>
      <c r="EP131" s="1" t="s">
        <v>6</v>
      </c>
      <c r="EQ131" s="1" t="s">
        <v>7</v>
      </c>
      <c r="ER131" s="1" t="s">
        <v>8</v>
      </c>
      <c r="ES131" s="1" t="s">
        <v>9</v>
      </c>
      <c r="ET131" s="1" t="s">
        <v>10</v>
      </c>
      <c r="EU131" s="1" t="s">
        <v>51</v>
      </c>
      <c r="EV131" s="1" t="s">
        <v>52</v>
      </c>
      <c r="EW131" s="1" t="s">
        <v>53</v>
      </c>
    </row>
    <row r="132" spans="12:153" ht="18" customHeight="1" x14ac:dyDescent="0.25">
      <c r="L132" s="4"/>
      <c r="M132" s="4"/>
      <c r="N132" s="4"/>
      <c r="O132" s="4"/>
      <c r="P132" s="4"/>
      <c r="Q132" s="4"/>
      <c r="R132" s="4"/>
      <c r="S132" s="4"/>
      <c r="T132" s="4"/>
      <c r="U132" s="1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388" t="s">
        <v>87</v>
      </c>
      <c r="BG132" s="1" t="s">
        <v>307</v>
      </c>
      <c r="BH132" s="3">
        <f>0.21*BH134</f>
        <v>60.427328393049869</v>
      </c>
      <c r="BI132" s="3">
        <f>MW_O2</f>
        <v>3.1998800000000001E-2</v>
      </c>
      <c r="BJ132" s="3">
        <f>BH132/BI132</f>
        <v>1888.4248282138665</v>
      </c>
      <c r="BK132" s="3">
        <f>b_ch_O2</f>
        <v>4</v>
      </c>
      <c r="BL132" s="3">
        <f>BJ132/BJ134</f>
        <v>0.18878290627548347</v>
      </c>
      <c r="BM132" s="1">
        <f>LN(BL132)</f>
        <v>-1.6671575681647295</v>
      </c>
      <c r="BN132" s="1">
        <f>RT0*BM132</f>
        <v>-3.786063322133244</v>
      </c>
      <c r="BO132" s="1">
        <f>BK132+BN132</f>
        <v>0.21393667786675596</v>
      </c>
      <c r="BP132" s="1">
        <f>BO132*BL132</f>
        <v>4.0387587806608088E-2</v>
      </c>
      <c r="BQ132" s="1">
        <f>BJ134*BP132</f>
        <v>404.00333414917395</v>
      </c>
      <c r="BY132" s="385"/>
      <c r="BZ132" s="3" t="s">
        <v>71</v>
      </c>
      <c r="CA132" s="1">
        <f>H2O_Kiln_Out</f>
        <v>136.08200815689884</v>
      </c>
      <c r="CB132" s="1">
        <f>CA132/$CA$134</f>
        <v>6.4254401059227664E-3</v>
      </c>
      <c r="CC132" s="6">
        <f>MW_H2O</f>
        <v>1.8015280000000002E-2</v>
      </c>
      <c r="CD132" s="1">
        <f t="shared" ref="CD132:CD133" si="49">CA132/CC132</f>
        <v>7553.6993128554659</v>
      </c>
      <c r="CE132" s="6">
        <f>b_ch_H2O</f>
        <v>9.5113440000000082</v>
      </c>
      <c r="CF132" s="1">
        <f>CD132/$CD$134</f>
        <v>5.797596781277386E-3</v>
      </c>
      <c r="CG132" s="1">
        <f t="shared" si="46"/>
        <v>-5.1503117953512616</v>
      </c>
      <c r="CH132" s="1">
        <f>RT0*CG132</f>
        <v>-11.696198942608238</v>
      </c>
      <c r="CI132" s="1">
        <f t="shared" si="47"/>
        <v>-2.1848549426082293</v>
      </c>
      <c r="CJ132" s="1">
        <f>CI132*CF132</f>
        <v>-1.2666907982823458E-2</v>
      </c>
      <c r="CK132" s="1">
        <f>$CD$134*CJ132</f>
        <v>-16503.73727866865</v>
      </c>
      <c r="DN132" s="348" t="s">
        <v>87</v>
      </c>
      <c r="DO132" s="1" t="s">
        <v>307</v>
      </c>
      <c r="DP132" s="179">
        <f>O2_BF_in+O2_added_BF</f>
        <v>554.65335322339922</v>
      </c>
      <c r="DQ132" s="168">
        <f>MW_O2</f>
        <v>3.1998800000000001E-2</v>
      </c>
      <c r="DR132" s="168">
        <f>DP132/DQ132</f>
        <v>17333.567297004862</v>
      </c>
      <c r="DS132" s="168">
        <f>b_ch_O2</f>
        <v>4</v>
      </c>
      <c r="DT132" s="168">
        <f>DR132/$DR$134</f>
        <v>0.21008403361344538</v>
      </c>
      <c r="DU132" s="180">
        <f>LN(DT132)</f>
        <v>-1.5602476682433286</v>
      </c>
      <c r="DV132" s="180">
        <f>RT0*DU132</f>
        <v>-3.5432742429276503</v>
      </c>
      <c r="DW132" s="180">
        <f>DS132+DV132</f>
        <v>0.45672575707234975</v>
      </c>
      <c r="DX132" s="180">
        <f>DW132*DT132</f>
        <v>9.5950789300913816E-2</v>
      </c>
      <c r="DY132" s="180">
        <f>$DR$134*DX132</f>
        <v>7916.6866464890691</v>
      </c>
      <c r="EM132" s="2" t="s">
        <v>43</v>
      </c>
      <c r="EN132" s="2" t="s">
        <v>12</v>
      </c>
      <c r="EO132" s="2" t="s">
        <v>13</v>
      </c>
      <c r="EP132" s="2" t="s">
        <v>14</v>
      </c>
      <c r="EQ132" s="2" t="s">
        <v>15</v>
      </c>
      <c r="ER132" s="2" t="s">
        <v>27</v>
      </c>
      <c r="ES132" s="2" t="s">
        <v>27</v>
      </c>
      <c r="ET132" s="2" t="s">
        <v>15</v>
      </c>
      <c r="EU132" s="2" t="s">
        <v>15</v>
      </c>
      <c r="EV132" s="2" t="s">
        <v>28</v>
      </c>
      <c r="EW132" s="1" t="s">
        <v>50</v>
      </c>
    </row>
    <row r="133" spans="12:153" ht="18" x14ac:dyDescent="0.25">
      <c r="L133" s="4"/>
      <c r="M133" s="4"/>
      <c r="N133" s="4"/>
      <c r="O133" s="4"/>
      <c r="P133" s="4"/>
      <c r="Q133" s="4"/>
      <c r="R133" s="4"/>
      <c r="S133" s="4"/>
      <c r="T133" s="4"/>
      <c r="U133" s="1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388"/>
      <c r="BG133" s="60" t="s">
        <v>70</v>
      </c>
      <c r="BH133" s="28">
        <f>BH134-BH132</f>
        <v>227.32185443099715</v>
      </c>
      <c r="BI133" s="28">
        <f>MW_N2</f>
        <v>2.801348E-2</v>
      </c>
      <c r="BJ133" s="28">
        <f>BH133/BI133</f>
        <v>8114.7309948994962</v>
      </c>
      <c r="BK133" s="28">
        <f>b_ch_N2</f>
        <v>0.7</v>
      </c>
      <c r="BL133" s="28">
        <f>BJ133/BJ134</f>
        <v>0.81121709372451656</v>
      </c>
      <c r="BM133" s="2">
        <f>LN(BL133)</f>
        <v>-0.20921957422162568</v>
      </c>
      <c r="BN133" s="2">
        <f>RT0*BM133</f>
        <v>-0.47513118817246847</v>
      </c>
      <c r="BO133" s="2">
        <f>BK133+BN133</f>
        <v>0.22486881182753149</v>
      </c>
      <c r="BP133" s="2">
        <f>BO133*BL133</f>
        <v>0.18241742400001529</v>
      </c>
      <c r="BQ133" s="2">
        <f>BJ134*BP133</f>
        <v>1824.749917123092</v>
      </c>
      <c r="BY133" s="385"/>
      <c r="BZ133" s="7" t="s">
        <v>70</v>
      </c>
      <c r="CA133" s="28">
        <f>N2_Kiln_in</f>
        <v>227.32185443099715</v>
      </c>
      <c r="CB133" s="1">
        <f>CA133/$CA$134</f>
        <v>1.0733549425061282E-2</v>
      </c>
      <c r="CC133" s="6">
        <f>MW_N2</f>
        <v>2.801348E-2</v>
      </c>
      <c r="CD133" s="1">
        <f t="shared" si="49"/>
        <v>8114.7309948994962</v>
      </c>
      <c r="CE133" s="6">
        <f>MW_N2</f>
        <v>2.801348E-2</v>
      </c>
      <c r="CF133" s="1">
        <f>CD133/$CD$134</f>
        <v>6.2281984427014145E-3</v>
      </c>
      <c r="CG133" s="1">
        <f t="shared" si="46"/>
        <v>-5.0786681625280483</v>
      </c>
      <c r="CH133" s="1">
        <f>RT0*CG133</f>
        <v>-11.533498466254974</v>
      </c>
      <c r="CI133" s="1">
        <f t="shared" si="47"/>
        <v>-11.505484986254974</v>
      </c>
      <c r="CJ133" s="1">
        <f t="shared" si="48"/>
        <v>-7.1658443673917729E-2</v>
      </c>
      <c r="CK133" s="1">
        <f>$CD$134*CJ133</f>
        <v>-93363.915629314026</v>
      </c>
      <c r="DN133" s="348"/>
      <c r="DO133" s="60" t="s">
        <v>70</v>
      </c>
      <c r="DP133" s="189">
        <f>N2_BF_out+N2_added_BF</f>
        <v>1825.7565134204069</v>
      </c>
      <c r="DQ133" s="190">
        <f>MW_N2</f>
        <v>2.801348E-2</v>
      </c>
      <c r="DR133" s="190">
        <f>DP133/DQ133</f>
        <v>65174.213036738271</v>
      </c>
      <c r="DS133" s="190">
        <f>b_ch_N2</f>
        <v>0.7</v>
      </c>
      <c r="DT133" s="190">
        <f>DR133/$DR$134</f>
        <v>0.78991596638655448</v>
      </c>
      <c r="DU133" s="188">
        <f>LN(DT133)</f>
        <v>-0.23582871084152568</v>
      </c>
      <c r="DV133" s="188">
        <f>RT0*DU133</f>
        <v>-0.53555971521393975</v>
      </c>
      <c r="DW133" s="188">
        <f>DS133+DV133</f>
        <v>0.16444028478606021</v>
      </c>
      <c r="DX133" s="188">
        <f>DW133*DT133</f>
        <v>0.12989400646966098</v>
      </c>
      <c r="DY133" s="188">
        <f>$DR$134*DX133</f>
        <v>10717.266152468599</v>
      </c>
      <c r="EL133" s="385" t="s">
        <v>496</v>
      </c>
      <c r="EM133" s="3" t="s">
        <v>25</v>
      </c>
      <c r="EN133" s="1">
        <f>CO2_BF_Out+CO2_out_BF</f>
        <v>779.73256287133438</v>
      </c>
      <c r="EO133" s="1">
        <f>MW_CO2</f>
        <v>4.4009800000000002E-2</v>
      </c>
      <c r="EP133" s="1">
        <f>EN133/EO133</f>
        <v>17717.248496274337</v>
      </c>
      <c r="EQ133" s="1">
        <f>b_ch_CO2</f>
        <v>19.900000000000034</v>
      </c>
      <c r="ER133" s="1">
        <f>EP133/$EP$136</f>
        <v>0.17929079416965685</v>
      </c>
      <c r="ES133" s="1">
        <f>LN(ER133)</f>
        <v>-1.7187462428589444</v>
      </c>
      <c r="ET133" s="1">
        <f>RT0*ES133</f>
        <v>-3.903219608273758</v>
      </c>
      <c r="EU133" s="1">
        <f>EQ133+ET133</f>
        <v>15.996780391726276</v>
      </c>
      <c r="EV133" s="1">
        <f>EU133*ER133</f>
        <v>2.8680754605901981</v>
      </c>
      <c r="EW133" s="8">
        <f>$EP$136*EV133</f>
        <v>283418.93334054312</v>
      </c>
    </row>
    <row r="134" spans="12:153" ht="17" x14ac:dyDescent="0.25">
      <c r="L134" s="4"/>
      <c r="M134" s="4"/>
      <c r="N134" s="4"/>
      <c r="O134" s="4"/>
      <c r="P134" s="4"/>
      <c r="Q134" s="4"/>
      <c r="R134" s="4"/>
      <c r="S134" s="4"/>
      <c r="T134" s="4"/>
      <c r="U134" s="1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3" t="s">
        <v>20</v>
      </c>
      <c r="BH134" s="3">
        <f>(Air_to_Kiln*BG120)/Ore_to_Kiln</f>
        <v>287.74918282404701</v>
      </c>
      <c r="BI134" s="3">
        <f>SUM(BI132:BI133)</f>
        <v>6.0012280000000001E-2</v>
      </c>
      <c r="BJ134" s="3">
        <f>SUM(BJ132:BJ133)</f>
        <v>10003.155823113362</v>
      </c>
      <c r="BP134" s="3">
        <f>SUM(BP132:BP133)</f>
        <v>0.22280501180662338</v>
      </c>
      <c r="BQ134" s="3">
        <f>SUM(BQ132:BQ133)</f>
        <v>2228.753251272266</v>
      </c>
      <c r="BZ134" s="17" t="s">
        <v>20</v>
      </c>
      <c r="CA134" s="1">
        <f>SUM(CA130:CA133)</f>
        <v>21178.628376204575</v>
      </c>
      <c r="CB134" s="8">
        <f>SUM(CB130:CB133)</f>
        <v>1</v>
      </c>
      <c r="CC134" s="17"/>
      <c r="CD134" s="8">
        <f>SUM(CD130:CD133)</f>
        <v>1302901.8053220247</v>
      </c>
      <c r="CE134" s="62"/>
      <c r="CF134" s="8">
        <f>SUM(CF130:CF133)</f>
        <v>1</v>
      </c>
      <c r="CG134" s="17"/>
      <c r="CH134" s="17"/>
      <c r="CI134" s="17"/>
      <c r="CJ134" s="8">
        <f>SUM(CJ130:CJ133)</f>
        <v>3.8467295274191993</v>
      </c>
      <c r="CK134" s="8">
        <f>SUM(CK130:CK133)</f>
        <v>5011910.8458600137</v>
      </c>
      <c r="DO134" s="3" t="s">
        <v>20</v>
      </c>
      <c r="DP134" s="3">
        <f>SUM(DP132:DP133)</f>
        <v>2380.4098666438063</v>
      </c>
      <c r="DQ134" s="3">
        <f>SUM(DQ132:DQ133)</f>
        <v>6.0012280000000001E-2</v>
      </c>
      <c r="DR134" s="3">
        <f>SUM(DR132:DR133)</f>
        <v>82507.78033374314</v>
      </c>
      <c r="DY134" s="3">
        <f>SUM(DY132:DY133)</f>
        <v>18633.952798957667</v>
      </c>
      <c r="EL134" s="385"/>
      <c r="EM134" s="3" t="s">
        <v>482</v>
      </c>
      <c r="EN134" s="1">
        <f>H2O_out_BF</f>
        <v>286.3350229833307</v>
      </c>
      <c r="EO134" s="1">
        <f>MW_H2O</f>
        <v>1.8015280000000002E-2</v>
      </c>
      <c r="EP134" s="1">
        <f>EN134/EO134</f>
        <v>15894.009029186927</v>
      </c>
      <c r="EQ134" s="1">
        <f>b_ch_H2O</f>
        <v>9.5113440000000082</v>
      </c>
      <c r="ER134" s="1">
        <f>EP134/$EP$136</f>
        <v>0.16084040938872973</v>
      </c>
      <c r="ES134" s="1">
        <f>LN(ER134)</f>
        <v>-1.8273426516396547</v>
      </c>
      <c r="ET134" s="1">
        <f>RT0*ES134</f>
        <v>-4.1498386969857197</v>
      </c>
      <c r="EU134" s="1">
        <f>EQ134+ET134</f>
        <v>5.3615053030142885</v>
      </c>
      <c r="EV134" s="1">
        <f>EU134*ER134</f>
        <v>0.86234670787666357</v>
      </c>
      <c r="EW134" s="8">
        <f>$EP$136*EV134</f>
        <v>85215.813696142679</v>
      </c>
    </row>
    <row r="135" spans="12:153" ht="18" x14ac:dyDescent="0.25"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H135" s="1" t="s">
        <v>93</v>
      </c>
      <c r="BI135" s="3" t="s">
        <v>95</v>
      </c>
      <c r="BJ135" s="3" t="s">
        <v>91</v>
      </c>
      <c r="BK135" s="4"/>
      <c r="BL135" s="4"/>
      <c r="BP135" s="3" t="s">
        <v>100</v>
      </c>
      <c r="BQ135" s="1" t="s">
        <v>97</v>
      </c>
      <c r="CA135" s="1" t="s">
        <v>93</v>
      </c>
      <c r="CB135" s="1"/>
      <c r="CC135" s="3" t="s">
        <v>95</v>
      </c>
      <c r="CD135" s="3" t="s">
        <v>91</v>
      </c>
      <c r="CE135" s="4"/>
      <c r="CF135" s="4"/>
      <c r="CJ135" s="3" t="s">
        <v>100</v>
      </c>
      <c r="CK135" s="1" t="s">
        <v>97</v>
      </c>
      <c r="DP135" s="1" t="s">
        <v>93</v>
      </c>
      <c r="DQ135" s="3" t="s">
        <v>95</v>
      </c>
      <c r="DR135" s="3" t="s">
        <v>91</v>
      </c>
      <c r="DS135" s="4"/>
      <c r="DT135" s="4"/>
      <c r="DX135" s="3" t="s">
        <v>100</v>
      </c>
      <c r="DY135" s="1" t="s">
        <v>97</v>
      </c>
      <c r="EL135" s="385"/>
      <c r="EM135" s="60" t="s">
        <v>70</v>
      </c>
      <c r="EN135" s="181">
        <f>DP133+DP147</f>
        <v>1826.6819630079901</v>
      </c>
      <c r="EO135" s="6">
        <f>MW_N2</f>
        <v>2.801348E-2</v>
      </c>
      <c r="EP135" s="6">
        <f>EN135/EO135</f>
        <v>65207.248903313339</v>
      </c>
      <c r="EQ135" s="7">
        <f>b_ch_N2</f>
        <v>0.7</v>
      </c>
      <c r="ER135" s="1">
        <f>EP135/$EP$136</f>
        <v>0.65986879644161356</v>
      </c>
      <c r="ES135" s="1">
        <f>LN(ER135)</f>
        <v>-0.41571425699394954</v>
      </c>
      <c r="ET135" s="1">
        <f>RT0*ES135</f>
        <v>-0.94407423206271823</v>
      </c>
      <c r="EU135" s="1">
        <f>EQ135+ET135</f>
        <v>-0.24407423206271828</v>
      </c>
      <c r="EV135" s="1">
        <f>EU135*ER135</f>
        <v>-0.16105696975363701</v>
      </c>
      <c r="EW135" s="1">
        <f>$EP$136*EV135</f>
        <v>-15915.409200998734</v>
      </c>
    </row>
    <row r="136" spans="12:153" ht="16" x14ac:dyDescent="0.2"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O136" s="4"/>
      <c r="BP136" s="4"/>
      <c r="DP136" s="1"/>
      <c r="DS136" s="4"/>
      <c r="DT136" s="4"/>
      <c r="DY136" s="1"/>
      <c r="EM136" s="1" t="s">
        <v>20</v>
      </c>
      <c r="EN136" s="27">
        <f>SUM(EN133:EN135)</f>
        <v>2892.7495488626555</v>
      </c>
      <c r="EO136" s="27">
        <f>SUM(EO133:EO135)</f>
        <v>9.0038560000000004E-2</v>
      </c>
      <c r="EP136" s="27">
        <f>SUM(EP133:EP135)</f>
        <v>98818.506428774592</v>
      </c>
      <c r="EQ136" s="27"/>
      <c r="ER136" s="27">
        <f>SUM(ER133:ER135)</f>
        <v>1</v>
      </c>
      <c r="ES136" s="27"/>
      <c r="ET136" s="27"/>
      <c r="EU136" s="27"/>
      <c r="EV136" s="27">
        <f>SUM(EV133:EV135)</f>
        <v>3.5693651987132249</v>
      </c>
      <c r="EW136" s="27">
        <f>SUM(EW133:EW135)</f>
        <v>352719.3378356871</v>
      </c>
    </row>
    <row r="137" spans="12:153" ht="19" thickBot="1" x14ac:dyDescent="0.3"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O137" s="4"/>
      <c r="BP137" s="4"/>
      <c r="EN137" s="1" t="s">
        <v>93</v>
      </c>
      <c r="EO137" s="3" t="s">
        <v>95</v>
      </c>
      <c r="EP137" s="3" t="s">
        <v>91</v>
      </c>
      <c r="EQ137" s="4"/>
      <c r="ER137" s="4"/>
      <c r="EV137" s="3" t="s">
        <v>100</v>
      </c>
      <c r="EW137" s="1" t="s">
        <v>97</v>
      </c>
    </row>
    <row r="138" spans="12:153" ht="16" x14ac:dyDescent="0.2"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5"/>
      <c r="BO138" s="160" t="s">
        <v>352</v>
      </c>
      <c r="BP138" s="158" t="s">
        <v>1</v>
      </c>
      <c r="BQ138" s="58" t="s">
        <v>0</v>
      </c>
      <c r="DX138" s="183" t="s">
        <v>1</v>
      </c>
      <c r="DY138" s="184" t="s">
        <v>0</v>
      </c>
    </row>
    <row r="139" spans="12:153" ht="18" x14ac:dyDescent="0.25"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200"/>
      <c r="AZ139" s="200"/>
      <c r="BA139" s="200"/>
      <c r="BB139" s="200"/>
      <c r="BC139" s="4"/>
      <c r="BD139" s="4"/>
      <c r="BE139" s="4"/>
      <c r="BF139" s="45"/>
      <c r="BO139" s="49" t="s">
        <v>66</v>
      </c>
      <c r="BP139" s="38" t="s">
        <v>12</v>
      </c>
      <c r="BQ139" s="47" t="s">
        <v>50</v>
      </c>
      <c r="DX139" s="185" t="s">
        <v>93</v>
      </c>
      <c r="DY139" s="186" t="s">
        <v>97</v>
      </c>
    </row>
    <row r="140" spans="12:153" ht="17" thickBot="1" x14ac:dyDescent="0.25"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5"/>
      <c r="BO140" s="123">
        <v>298.14999999999998</v>
      </c>
      <c r="BP140" s="69">
        <f>BH144</f>
        <v>20798.316475388398</v>
      </c>
      <c r="BQ140" s="48">
        <f>BQ144</f>
        <v>1078370532.5161049</v>
      </c>
      <c r="DX140" s="174">
        <f>DP148</f>
        <v>48.707873030693563</v>
      </c>
      <c r="DY140" s="175">
        <f>DY148</f>
        <v>4161190.674154886</v>
      </c>
    </row>
    <row r="141" spans="12:153" ht="19.25" customHeight="1" x14ac:dyDescent="0.2"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K141" s="1"/>
      <c r="BL141" s="1"/>
      <c r="BM141" s="1"/>
      <c r="BN141" s="1"/>
      <c r="BO141" s="1"/>
      <c r="BP141" s="1"/>
      <c r="BQ141" s="1"/>
    </row>
    <row r="142" spans="12:153" ht="18" customHeight="1" x14ac:dyDescent="0.25"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1"/>
      <c r="BH142" s="3" t="s">
        <v>1</v>
      </c>
      <c r="BI142" s="3" t="s">
        <v>5</v>
      </c>
      <c r="BJ142" s="3" t="s">
        <v>376</v>
      </c>
      <c r="BK142" s="1" t="s">
        <v>136</v>
      </c>
      <c r="BL142" s="1" t="s">
        <v>133</v>
      </c>
      <c r="BM142" s="1" t="s">
        <v>9</v>
      </c>
      <c r="BN142" s="1" t="s">
        <v>137</v>
      </c>
      <c r="BO142" s="1" t="s">
        <v>138</v>
      </c>
      <c r="BP142" s="1" t="s">
        <v>139</v>
      </c>
      <c r="BQ142" s="1" t="s">
        <v>140</v>
      </c>
      <c r="BR142" s="1"/>
      <c r="DO142" s="25"/>
      <c r="DP142" s="3" t="s">
        <v>1</v>
      </c>
      <c r="DQ142" s="3" t="s">
        <v>5</v>
      </c>
      <c r="DR142" s="3" t="s">
        <v>376</v>
      </c>
      <c r="DS142" s="1" t="s">
        <v>136</v>
      </c>
      <c r="DT142" s="1" t="s">
        <v>133</v>
      </c>
      <c r="DU142" s="1" t="s">
        <v>9</v>
      </c>
      <c r="DV142" s="1" t="s">
        <v>137</v>
      </c>
      <c r="DW142" s="1" t="s">
        <v>138</v>
      </c>
      <c r="DX142" s="1" t="s">
        <v>139</v>
      </c>
      <c r="DY142" s="1" t="s">
        <v>140</v>
      </c>
    </row>
    <row r="143" spans="12:153" ht="18" x14ac:dyDescent="0.25"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1"/>
      <c r="BH143" s="1" t="s">
        <v>92</v>
      </c>
      <c r="BI143" s="1" t="s">
        <v>94</v>
      </c>
      <c r="BJ143" s="2" t="s">
        <v>90</v>
      </c>
      <c r="BK143" s="2" t="s">
        <v>99</v>
      </c>
      <c r="BL143" s="2" t="s">
        <v>27</v>
      </c>
      <c r="BM143" s="1" t="s">
        <v>102</v>
      </c>
      <c r="BN143" s="2" t="s">
        <v>99</v>
      </c>
      <c r="BO143" s="2" t="s">
        <v>99</v>
      </c>
      <c r="BP143" s="2" t="s">
        <v>98</v>
      </c>
      <c r="BQ143" s="1" t="s">
        <v>96</v>
      </c>
      <c r="DO143" s="3" t="s">
        <v>43</v>
      </c>
      <c r="DP143" s="3" t="s">
        <v>12</v>
      </c>
      <c r="DQ143" s="1" t="s">
        <v>88</v>
      </c>
      <c r="DR143" s="3" t="s">
        <v>44</v>
      </c>
      <c r="DS143" s="1" t="s">
        <v>99</v>
      </c>
      <c r="DT143" s="1" t="s">
        <v>27</v>
      </c>
      <c r="DU143" s="1" t="s">
        <v>102</v>
      </c>
      <c r="DV143" s="1" t="s">
        <v>99</v>
      </c>
      <c r="DW143" s="1" t="s">
        <v>99</v>
      </c>
      <c r="DX143" s="1" t="s">
        <v>98</v>
      </c>
      <c r="DY143" s="1" t="s">
        <v>96</v>
      </c>
    </row>
    <row r="144" spans="12:153" ht="17" x14ac:dyDescent="0.25"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377" t="s">
        <v>82</v>
      </c>
      <c r="BG144" s="96" t="s">
        <v>68</v>
      </c>
      <c r="BH144" s="42">
        <f>CH4_into_Kiln</f>
        <v>20798.316475388398</v>
      </c>
      <c r="BI144" s="33" cm="1">
        <f t="array" ref="BI144">MW_CH4</f>
        <v>1.604276E-2</v>
      </c>
      <c r="BJ144" s="33">
        <f>BH144/BI144</f>
        <v>1296430.0703487678</v>
      </c>
      <c r="BK144" s="42">
        <f>b_ch_CH4</f>
        <v>831.8</v>
      </c>
      <c r="BL144" s="33">
        <f>BJ144/BJ144</f>
        <v>1</v>
      </c>
      <c r="BM144" s="42">
        <f>LN(BL144)</f>
        <v>0</v>
      </c>
      <c r="BN144" s="42">
        <f>RT0*BM144</f>
        <v>0</v>
      </c>
      <c r="BO144" s="42">
        <f>BK144+BN144</f>
        <v>831.8</v>
      </c>
      <c r="BP144" s="42">
        <f>BO144*BL144</f>
        <v>831.8</v>
      </c>
      <c r="BQ144" s="35">
        <f>BJ144*BP144</f>
        <v>1078370532.5161049</v>
      </c>
      <c r="DN144" s="348" t="s">
        <v>479</v>
      </c>
      <c r="DO144" s="17" t="s">
        <v>69</v>
      </c>
      <c r="DP144" s="17">
        <f>H2_to_BF</f>
        <v>27.342940664747548</v>
      </c>
      <c r="DQ144" s="17">
        <f>MW_H*2</f>
        <v>2.0158800000000003E-3</v>
      </c>
      <c r="DR144" s="17">
        <f>DP144/DQ144</f>
        <v>13563.773967075194</v>
      </c>
      <c r="DS144" s="17">
        <f>b_ch_H2</f>
        <v>236.1</v>
      </c>
      <c r="DT144" s="17">
        <f>DR144/$DR$148</f>
        <v>0.91544766952145862</v>
      </c>
      <c r="DU144" s="17">
        <f>LN(DT144)</f>
        <v>-8.8342077045854228E-2</v>
      </c>
      <c r="DV144" s="17">
        <f>RT0*DU144</f>
        <v>-0.20062212720095421</v>
      </c>
      <c r="DW144" s="17">
        <f>DS144+DV144</f>
        <v>235.89937787279905</v>
      </c>
      <c r="DX144" s="17">
        <f>DW144*DT144</f>
        <v>215.95353571521582</v>
      </c>
      <c r="DY144" s="17">
        <f>DX144*$DR$148</f>
        <v>3199685.8404403059</v>
      </c>
    </row>
    <row r="145" spans="1:129" ht="17" x14ac:dyDescent="0.25"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1" t="s">
        <v>20</v>
      </c>
      <c r="BH145" s="1">
        <f>BH144</f>
        <v>20798.316475388398</v>
      </c>
      <c r="BI145" s="6">
        <f>BI144</f>
        <v>1.604276E-2</v>
      </c>
      <c r="BJ145" s="6">
        <f>BJ144</f>
        <v>1296430.0703487678</v>
      </c>
      <c r="BK145" s="1"/>
      <c r="BL145" s="6"/>
      <c r="BM145" s="1"/>
      <c r="BN145" s="1"/>
      <c r="BO145" s="1"/>
      <c r="BP145" s="1">
        <f>BP144</f>
        <v>831.8</v>
      </c>
      <c r="BQ145" s="1">
        <f>BJ145*BP145</f>
        <v>1078370532.5161049</v>
      </c>
      <c r="DN145" s="348"/>
      <c r="DO145" s="3" t="s">
        <v>68</v>
      </c>
      <c r="DP145" s="3">
        <f>CH4_to_BF</f>
        <v>18.691700922521807</v>
      </c>
      <c r="DQ145" s="3">
        <f>MW_CH4</f>
        <v>1.604276E-2</v>
      </c>
      <c r="DR145" s="3">
        <f>DP145/DQ145</f>
        <v>1165.1175310558663</v>
      </c>
      <c r="DS145" s="3">
        <f>b_ch_CH4</f>
        <v>831.8</v>
      </c>
      <c r="DT145" s="351">
        <f t="shared" ref="DT145:DT147" si="50">DR145/$DR$148</f>
        <v>7.8636235837663701E-2</v>
      </c>
      <c r="DU145" s="351">
        <f t="shared" ref="DU145:DU147" si="51">LN(DT145)</f>
        <v>-2.5429226700357286</v>
      </c>
      <c r="DV145" s="351">
        <f>RT0*DU145</f>
        <v>-5.7748988073406355</v>
      </c>
      <c r="DW145" s="351">
        <f t="shared" ref="DW145:DW147" si="52">DS145+DV145</f>
        <v>826.02510119265935</v>
      </c>
      <c r="DX145" s="351">
        <f t="shared" ref="DX145:DX147" si="53">DW145*DT145</f>
        <v>64.955504665215983</v>
      </c>
      <c r="DY145" s="351">
        <f t="shared" ref="DY145:DY147" si="54">DX145*$DR$148</f>
        <v>962416.32649176323</v>
      </c>
    </row>
    <row r="146" spans="1:129" ht="19" thickBot="1" x14ac:dyDescent="0.3">
      <c r="A146" s="99"/>
      <c r="B146" s="99"/>
      <c r="C146" s="99"/>
      <c r="D146" s="99"/>
      <c r="E146" s="99"/>
      <c r="F146" s="99"/>
      <c r="G146" s="99"/>
      <c r="H146" s="99"/>
      <c r="I146" s="99"/>
      <c r="J146" s="99"/>
      <c r="K146" s="99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143"/>
      <c r="BG146" s="144"/>
      <c r="BH146" s="144" t="s">
        <v>93</v>
      </c>
      <c r="BI146" s="99" t="s">
        <v>95</v>
      </c>
      <c r="BJ146" s="99" t="s">
        <v>91</v>
      </c>
      <c r="BK146" s="91"/>
      <c r="BL146" s="91"/>
      <c r="BM146" s="99"/>
      <c r="BN146" s="99"/>
      <c r="BO146" s="99"/>
      <c r="BP146" s="99" t="s">
        <v>100</v>
      </c>
      <c r="BQ146" s="144" t="s">
        <v>97</v>
      </c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DN146" s="348"/>
      <c r="DO146" s="255" t="s">
        <v>26</v>
      </c>
      <c r="DP146" s="3">
        <f>O2_to_BF_from_coke</f>
        <v>1.7477818558410245</v>
      </c>
      <c r="DQ146" s="3">
        <f>MW_O2</f>
        <v>3.1998800000000001E-2</v>
      </c>
      <c r="DR146" s="3">
        <f>DP146/DQ146</f>
        <v>54.620231253704027</v>
      </c>
      <c r="DS146" s="3">
        <f>b_ch_O2</f>
        <v>4</v>
      </c>
      <c r="DT146" s="351">
        <f t="shared" si="50"/>
        <v>3.6864344341996282E-3</v>
      </c>
      <c r="DU146" s="351">
        <f t="shared" si="51"/>
        <v>-5.6030955660719171</v>
      </c>
      <c r="DV146" s="351">
        <f>RT0*DU146</f>
        <v>-12.724456894896331</v>
      </c>
      <c r="DW146" s="351">
        <f t="shared" si="52"/>
        <v>-8.7244568948963312</v>
      </c>
      <c r="DX146" s="351">
        <f t="shared" si="53"/>
        <v>-3.2162138317036203E-2</v>
      </c>
      <c r="DY146" s="351">
        <f t="shared" si="54"/>
        <v>-476.53185316221021</v>
      </c>
    </row>
    <row r="147" spans="1:129" ht="18" x14ac:dyDescent="0.25"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5"/>
      <c r="BD147" s="1"/>
      <c r="BE147" s="1"/>
      <c r="BH147" s="4"/>
      <c r="BI147" s="4"/>
      <c r="BN147" s="1"/>
      <c r="DN147" s="348"/>
      <c r="DO147" s="7" t="s">
        <v>70</v>
      </c>
      <c r="DP147" s="3">
        <f>N2_to_BF_from_coke</f>
        <v>0.92544958758317764</v>
      </c>
      <c r="DQ147" s="3">
        <f>MW_N2</f>
        <v>2.801348E-2</v>
      </c>
      <c r="DR147" s="3">
        <f>DP147/DQ147</f>
        <v>33.03586657506235</v>
      </c>
      <c r="DS147" s="3">
        <f>b_ch_N2</f>
        <v>0.7</v>
      </c>
      <c r="DT147" s="351">
        <f t="shared" si="50"/>
        <v>2.229660206678009E-3</v>
      </c>
      <c r="DU147" s="3">
        <f t="shared" si="51"/>
        <v>-6.1059060788071511</v>
      </c>
      <c r="DV147" s="3">
        <f>RT0*DU147</f>
        <v>-13.866324032473203</v>
      </c>
      <c r="DW147" s="3">
        <f t="shared" si="52"/>
        <v>-13.166324032473204</v>
      </c>
      <c r="DX147" s="3">
        <f t="shared" si="53"/>
        <v>-2.9356428763433841E-2</v>
      </c>
      <c r="DY147" s="351">
        <f t="shared" si="54"/>
        <v>-434.96092402082161</v>
      </c>
    </row>
    <row r="148" spans="1:129" ht="16" x14ac:dyDescent="0.2"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5"/>
      <c r="BD148" s="1"/>
      <c r="BE148" s="1"/>
      <c r="BH148" s="4"/>
      <c r="BI148" s="4"/>
      <c r="BN148" s="1"/>
      <c r="DO148" s="17" t="s">
        <v>20</v>
      </c>
      <c r="DP148" s="17">
        <f>0.7*CR211</f>
        <v>48.707873030693563</v>
      </c>
      <c r="DQ148" s="17"/>
      <c r="DR148" s="17">
        <f>SUM(DR144:DR147)</f>
        <v>14816.547595959828</v>
      </c>
      <c r="DS148" s="17">
        <f>SUM(DS144:DS147)</f>
        <v>1072.5999999999999</v>
      </c>
      <c r="DT148" s="17">
        <f>SUM(DT144:DT147)</f>
        <v>0.99999999999999989</v>
      </c>
      <c r="DU148" s="17"/>
      <c r="DV148" s="17"/>
      <c r="DW148" s="17"/>
      <c r="DX148" s="17">
        <f>SUM(DX144:DX147)</f>
        <v>280.84752181335131</v>
      </c>
      <c r="DY148" s="17">
        <f>SUM(DY144:DY147)</f>
        <v>4161190.674154886</v>
      </c>
    </row>
    <row r="149" spans="1:129" ht="18" x14ac:dyDescent="0.25"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L149" s="4"/>
      <c r="BM149" s="4"/>
      <c r="DP149" s="1" t="s">
        <v>93</v>
      </c>
      <c r="DQ149" s="3" t="s">
        <v>95</v>
      </c>
      <c r="DR149" s="3" t="s">
        <v>91</v>
      </c>
      <c r="DS149" s="4"/>
      <c r="DT149" s="4"/>
      <c r="DX149" s="3" t="s">
        <v>100</v>
      </c>
      <c r="DY149" s="1" t="s">
        <v>97</v>
      </c>
    </row>
    <row r="150" spans="1:129" x14ac:dyDescent="0.2"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L150" s="4"/>
      <c r="BM150" s="4"/>
    </row>
    <row r="151" spans="1:129" ht="16" x14ac:dyDescent="0.2"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L151" s="4"/>
      <c r="BM151" s="4"/>
      <c r="BX151" s="351"/>
      <c r="BY151" s="351"/>
      <c r="BZ151" s="351"/>
      <c r="CA151" s="351"/>
      <c r="CB151" s="351"/>
      <c r="CC151" s="350"/>
      <c r="CD151" s="350"/>
      <c r="CE151" s="350"/>
      <c r="CF151" s="350"/>
      <c r="CG151" s="350"/>
      <c r="CH151" s="350"/>
      <c r="CI151" s="350"/>
    </row>
    <row r="152" spans="1:129" ht="16" x14ac:dyDescent="0.2">
      <c r="L152" s="4"/>
      <c r="M152" s="4"/>
      <c r="N152" s="4"/>
      <c r="O152" s="286" t="s">
        <v>456</v>
      </c>
      <c r="P152" s="286"/>
      <c r="Q152" s="286"/>
      <c r="R152" s="286"/>
      <c r="S152" s="286"/>
      <c r="T152" s="286"/>
      <c r="U152" s="286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L152" s="4"/>
      <c r="BM152" s="4"/>
      <c r="BX152" s="351"/>
      <c r="BY152" s="350"/>
      <c r="BZ152" s="357"/>
      <c r="CA152" s="350"/>
      <c r="CB152" s="350"/>
      <c r="CC152" s="350"/>
      <c r="CD152" s="350"/>
      <c r="CE152" s="350"/>
      <c r="CF152" s="350"/>
      <c r="CG152" s="350"/>
      <c r="CH152" s="350"/>
      <c r="CI152" s="350"/>
    </row>
    <row r="153" spans="1:129" x14ac:dyDescent="0.2">
      <c r="L153" s="4"/>
      <c r="M153" s="4"/>
      <c r="N153" s="4"/>
      <c r="O153" s="61" t="s">
        <v>268</v>
      </c>
      <c r="P153" s="13" t="s">
        <v>267</v>
      </c>
      <c r="Q153" s="13" t="s">
        <v>239</v>
      </c>
      <c r="R153" s="13" t="s">
        <v>239</v>
      </c>
      <c r="S153" s="13" t="s">
        <v>239</v>
      </c>
      <c r="T153" s="106" t="s">
        <v>326</v>
      </c>
      <c r="U153" s="13" t="s">
        <v>320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L153" s="4"/>
      <c r="BM153" s="4"/>
      <c r="BX153" s="351"/>
      <c r="BY153" s="390"/>
      <c r="BZ153" s="351"/>
      <c r="CA153" s="351"/>
      <c r="CB153" s="351"/>
      <c r="CC153" s="351"/>
      <c r="CD153" s="351"/>
      <c r="CE153" s="351"/>
      <c r="CF153" s="351"/>
      <c r="CG153" s="357"/>
      <c r="CH153" s="357"/>
      <c r="CI153" s="351"/>
      <c r="DP153" s="179"/>
    </row>
    <row r="154" spans="1:129" ht="17" x14ac:dyDescent="0.25">
      <c r="L154" s="4"/>
      <c r="M154" s="4"/>
      <c r="N154" s="4"/>
      <c r="O154" s="61" t="s">
        <v>102</v>
      </c>
      <c r="P154" s="61" t="s">
        <v>102</v>
      </c>
      <c r="Q154" s="13" t="s">
        <v>235</v>
      </c>
      <c r="R154" s="13" t="s">
        <v>238</v>
      </c>
      <c r="S154" s="13" t="s">
        <v>50</v>
      </c>
      <c r="T154" s="34" t="s">
        <v>102</v>
      </c>
      <c r="U154" s="13" t="s">
        <v>50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L154" s="4"/>
      <c r="BM154" s="4"/>
      <c r="BX154" s="351"/>
      <c r="BY154" s="351"/>
      <c r="BZ154" s="351"/>
      <c r="CA154" s="351"/>
      <c r="CB154" s="351"/>
      <c r="CC154" s="351"/>
      <c r="CD154" s="351"/>
      <c r="CE154" s="351"/>
      <c r="CF154" s="351"/>
      <c r="CG154" s="357"/>
      <c r="CH154" s="357"/>
      <c r="CI154" s="351"/>
    </row>
    <row r="155" spans="1:129" x14ac:dyDescent="0.2">
      <c r="L155" s="4"/>
      <c r="M155" s="4"/>
      <c r="N155" s="4"/>
      <c r="O155" s="61" t="s">
        <v>269</v>
      </c>
      <c r="P155" s="13" t="s">
        <v>255</v>
      </c>
      <c r="Q155" s="61">
        <v>132000</v>
      </c>
      <c r="R155" s="13">
        <f t="shared" ref="R155:R167" si="55">Q155*Btu_to_kJ</f>
        <v>139267.92000000001</v>
      </c>
      <c r="S155" s="13">
        <f>R155*($D$187/1000)</f>
        <v>39953.745649167096</v>
      </c>
      <c r="T155" s="3">
        <v>1</v>
      </c>
      <c r="U155" s="13">
        <f>S155*T155</f>
        <v>39953.745649167096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L155" s="4"/>
      <c r="BM155" s="4"/>
      <c r="BX155" s="351"/>
      <c r="BY155" s="351"/>
      <c r="BZ155" s="351"/>
      <c r="CA155" s="351"/>
      <c r="CB155" s="351"/>
      <c r="CC155" s="351"/>
      <c r="CD155" s="351"/>
      <c r="CE155" s="351"/>
      <c r="CF155" s="351"/>
      <c r="CG155" s="357"/>
      <c r="CH155" s="357"/>
      <c r="CI155" s="351"/>
    </row>
    <row r="156" spans="1:129" x14ac:dyDescent="0.2">
      <c r="L156" s="4"/>
      <c r="M156" s="4"/>
      <c r="N156" s="4"/>
      <c r="O156" s="61" t="s">
        <v>269</v>
      </c>
      <c r="P156" s="61" t="s">
        <v>254</v>
      </c>
      <c r="Q156" s="61">
        <v>58600</v>
      </c>
      <c r="R156" s="13">
        <f t="shared" si="55"/>
        <v>61826.516000000003</v>
      </c>
      <c r="S156" s="13">
        <f t="shared" ref="S156:S167" si="56">R156*($D$187/1000)</f>
        <v>17737.041629099938</v>
      </c>
      <c r="T156" s="13">
        <v>1</v>
      </c>
      <c r="U156" s="13">
        <f t="shared" ref="U156:U167" si="57">S156*T156</f>
        <v>17737.041629099938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L156" s="4"/>
      <c r="BM156" s="4"/>
      <c r="BX156" s="351"/>
      <c r="BY156" s="351"/>
      <c r="BZ156" s="351"/>
      <c r="CA156" s="351"/>
      <c r="CB156" s="351"/>
      <c r="CC156" s="351"/>
      <c r="CD156" s="351"/>
      <c r="CE156" s="351"/>
      <c r="CF156" s="351"/>
      <c r="CG156" s="357"/>
      <c r="CH156" s="357"/>
      <c r="CI156" s="351"/>
    </row>
    <row r="157" spans="1:129" x14ac:dyDescent="0.2">
      <c r="L157" s="4"/>
      <c r="M157" s="4"/>
      <c r="N157" s="4"/>
      <c r="O157" s="61" t="s">
        <v>282</v>
      </c>
      <c r="P157" s="61" t="s">
        <v>256</v>
      </c>
      <c r="Q157" s="61">
        <v>57000</v>
      </c>
      <c r="R157" s="13">
        <f t="shared" si="55"/>
        <v>60138.420000000006</v>
      </c>
      <c r="S157" s="13">
        <f t="shared" si="56"/>
        <v>17252.753803049429</v>
      </c>
      <c r="T157" s="13">
        <v>1.06</v>
      </c>
      <c r="U157" s="13">
        <f t="shared" si="57"/>
        <v>18287.919031232395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286" t="s">
        <v>457</v>
      </c>
      <c r="AG157" s="286"/>
      <c r="AH157" s="286"/>
      <c r="AI157" s="286"/>
      <c r="AJ157" s="286"/>
      <c r="AK157" s="286"/>
      <c r="AL157" s="286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286" t="s">
        <v>458</v>
      </c>
      <c r="AX157" s="286"/>
      <c r="AY157" s="286"/>
      <c r="AZ157" s="286"/>
      <c r="BA157" s="286"/>
      <c r="BB157" s="286"/>
      <c r="BC157" s="286"/>
      <c r="BD157" s="4"/>
      <c r="BE157" s="4"/>
      <c r="BF157" s="4"/>
      <c r="BG157" s="4"/>
      <c r="BH157" s="4"/>
      <c r="BI157" s="4"/>
      <c r="BL157" s="4"/>
      <c r="BM157" s="4"/>
      <c r="BX157" s="351"/>
      <c r="BY157" s="351"/>
      <c r="BZ157" s="351"/>
      <c r="CA157" s="351"/>
      <c r="CB157" s="351"/>
      <c r="CC157" s="351"/>
      <c r="CD157" s="351"/>
      <c r="CE157" s="351"/>
      <c r="CF157" s="351"/>
      <c r="CG157" s="357"/>
      <c r="CH157" s="357"/>
      <c r="CI157" s="351"/>
    </row>
    <row r="158" spans="1:129" x14ac:dyDescent="0.2">
      <c r="L158" s="4"/>
      <c r="M158" s="4"/>
      <c r="N158" s="4"/>
      <c r="O158" s="61" t="s">
        <v>269</v>
      </c>
      <c r="P158" s="61" t="s">
        <v>257</v>
      </c>
      <c r="Q158" s="61">
        <v>4120</v>
      </c>
      <c r="R158" s="13">
        <f t="shared" si="55"/>
        <v>4346.8472000000002</v>
      </c>
      <c r="S158" s="13">
        <f t="shared" si="56"/>
        <v>1247.041152080064</v>
      </c>
      <c r="T158" s="13">
        <v>1</v>
      </c>
      <c r="U158" s="13">
        <f t="shared" si="57"/>
        <v>1247.041152080064</v>
      </c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13" t="s">
        <v>268</v>
      </c>
      <c r="AG158" s="13" t="s">
        <v>270</v>
      </c>
      <c r="AH158" s="13" t="s">
        <v>239</v>
      </c>
      <c r="AI158" s="13" t="s">
        <v>38</v>
      </c>
      <c r="AJ158" s="13" t="s">
        <v>239</v>
      </c>
      <c r="AK158" s="106" t="s">
        <v>326</v>
      </c>
      <c r="AL158" s="13" t="s">
        <v>320</v>
      </c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61" t="s">
        <v>268</v>
      </c>
      <c r="AX158" s="13" t="s">
        <v>267</v>
      </c>
      <c r="AY158" s="13" t="s">
        <v>239</v>
      </c>
      <c r="AZ158" s="13" t="s">
        <v>239</v>
      </c>
      <c r="BA158" s="13" t="s">
        <v>239</v>
      </c>
      <c r="BB158" s="106" t="s">
        <v>326</v>
      </c>
      <c r="BC158" s="13" t="s">
        <v>320</v>
      </c>
      <c r="BD158" s="4"/>
      <c r="BE158" s="4"/>
      <c r="BF158" s="4"/>
      <c r="BG158" s="4"/>
      <c r="BH158" s="4"/>
      <c r="BI158" s="4"/>
      <c r="BJ158" s="4"/>
      <c r="BK158" s="4"/>
      <c r="BX158" s="351"/>
      <c r="BY158" s="351"/>
      <c r="BZ158" s="351"/>
      <c r="CA158" s="351"/>
      <c r="CB158" s="351"/>
      <c r="CC158" s="351"/>
      <c r="CD158" s="351"/>
      <c r="CE158" s="351"/>
      <c r="CF158" s="351"/>
      <c r="CG158" s="357"/>
      <c r="CH158" s="357"/>
      <c r="CI158" s="351"/>
    </row>
    <row r="159" spans="1:129" ht="17" x14ac:dyDescent="0.25">
      <c r="L159" s="4"/>
      <c r="M159" s="4"/>
      <c r="N159" s="4"/>
      <c r="O159" s="61" t="s">
        <v>269</v>
      </c>
      <c r="P159" s="61" t="s">
        <v>258</v>
      </c>
      <c r="Q159" s="61">
        <v>34700</v>
      </c>
      <c r="R159" s="13">
        <f t="shared" si="55"/>
        <v>36610.582000000002</v>
      </c>
      <c r="S159" s="13">
        <f t="shared" si="56"/>
        <v>10502.99222747044</v>
      </c>
      <c r="T159" s="13">
        <v>1</v>
      </c>
      <c r="U159" s="13">
        <f t="shared" si="57"/>
        <v>10502.99222747044</v>
      </c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13" t="s">
        <v>102</v>
      </c>
      <c r="AG159" s="13" t="s">
        <v>102</v>
      </c>
      <c r="AH159" s="13" t="s">
        <v>241</v>
      </c>
      <c r="AI159" s="13" t="s">
        <v>240</v>
      </c>
      <c r="AJ159" s="13" t="s">
        <v>50</v>
      </c>
      <c r="AK159" s="34" t="s">
        <v>102</v>
      </c>
      <c r="AL159" s="13" t="s">
        <v>50</v>
      </c>
      <c r="AM159" s="4"/>
      <c r="AN159" s="4"/>
      <c r="AO159" s="72"/>
      <c r="AP159" s="4"/>
      <c r="AQ159" s="4"/>
      <c r="AR159" s="4"/>
      <c r="AS159" s="4"/>
      <c r="AT159" s="4"/>
      <c r="AU159" s="4"/>
      <c r="AV159" s="4"/>
      <c r="AW159" s="61" t="s">
        <v>102</v>
      </c>
      <c r="AX159" s="61" t="s">
        <v>102</v>
      </c>
      <c r="AY159" s="13" t="s">
        <v>234</v>
      </c>
      <c r="AZ159" s="13" t="s">
        <v>238</v>
      </c>
      <c r="BA159" s="13" t="s">
        <v>50</v>
      </c>
      <c r="BB159" s="34" t="s">
        <v>102</v>
      </c>
      <c r="BC159" s="13" t="s">
        <v>50</v>
      </c>
      <c r="BD159" s="4"/>
      <c r="BE159" s="4"/>
      <c r="BF159" s="4"/>
      <c r="BG159" s="4"/>
      <c r="BH159" s="4"/>
      <c r="BI159" s="4"/>
      <c r="BJ159" s="4"/>
      <c r="BK159" s="4"/>
      <c r="BX159" s="351"/>
      <c r="BY159" s="351"/>
      <c r="BZ159" s="351"/>
      <c r="CA159" s="351"/>
      <c r="CB159" s="351"/>
      <c r="CC159" s="351"/>
      <c r="CD159" s="351"/>
      <c r="CE159" s="351"/>
      <c r="CF159" s="351"/>
      <c r="CG159" s="357"/>
      <c r="CH159" s="357"/>
      <c r="CI159" s="351"/>
    </row>
    <row r="160" spans="1:129" ht="33" thickBot="1" x14ac:dyDescent="0.25">
      <c r="G160" s="301" t="s">
        <v>377</v>
      </c>
      <c r="H160" s="301"/>
      <c r="I160" s="301"/>
      <c r="L160" s="4"/>
      <c r="M160" s="4"/>
      <c r="N160" s="4"/>
      <c r="O160" s="61" t="s">
        <v>269</v>
      </c>
      <c r="P160" s="89" t="s">
        <v>259</v>
      </c>
      <c r="Q160" s="61">
        <v>17500</v>
      </c>
      <c r="R160" s="13">
        <f t="shared" si="55"/>
        <v>18463.550000000003</v>
      </c>
      <c r="S160" s="13">
        <f t="shared" si="56"/>
        <v>5296.8980974274564</v>
      </c>
      <c r="T160" s="13">
        <v>1</v>
      </c>
      <c r="U160" s="13">
        <f t="shared" si="57"/>
        <v>5296.8980974274564</v>
      </c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61" t="s">
        <v>269</v>
      </c>
      <c r="AG160" s="13" t="s">
        <v>306</v>
      </c>
      <c r="AH160" s="13">
        <v>700</v>
      </c>
      <c r="AI160" s="13">
        <v>798</v>
      </c>
      <c r="AJ160" s="61">
        <f>AI160*AH160*(W187/1000)</f>
        <v>160253.43323591491</v>
      </c>
      <c r="AK160" s="13">
        <v>1</v>
      </c>
      <c r="AL160" s="13">
        <f>AJ160*AK160</f>
        <v>160253.43323591491</v>
      </c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61" t="s">
        <v>269</v>
      </c>
      <c r="AX160" s="13" t="s">
        <v>182</v>
      </c>
      <c r="AY160" s="13">
        <v>93200</v>
      </c>
      <c r="AZ160" s="61">
        <f>AY160*Btu_to_kJ</f>
        <v>98331.592000000004</v>
      </c>
      <c r="BA160" s="61">
        <f>AZ160*($AO$187/1000)</f>
        <v>28209.76586744222</v>
      </c>
      <c r="BB160" s="13">
        <v>1</v>
      </c>
      <c r="BC160" s="13">
        <f>BA160*BB160</f>
        <v>28209.76586744222</v>
      </c>
      <c r="BD160" s="4"/>
      <c r="BE160" s="4"/>
      <c r="BF160" s="4"/>
      <c r="BG160" s="4"/>
      <c r="BH160" s="4"/>
      <c r="BI160" s="4"/>
      <c r="BJ160" s="4"/>
      <c r="BK160" s="4"/>
      <c r="BX160" s="351"/>
      <c r="BY160" s="351"/>
      <c r="BZ160" s="351"/>
      <c r="CA160" s="351"/>
      <c r="CB160" s="351"/>
      <c r="CC160" s="351"/>
      <c r="CD160" s="351"/>
      <c r="CE160" s="351"/>
      <c r="CF160" s="351"/>
      <c r="CG160" s="351"/>
      <c r="CH160" s="351"/>
      <c r="CI160" s="391"/>
    </row>
    <row r="161" spans="2:87" ht="18" x14ac:dyDescent="0.25">
      <c r="G161" s="101" t="s">
        <v>521</v>
      </c>
      <c r="H161" s="281" t="s">
        <v>356</v>
      </c>
      <c r="I161" s="103" t="s">
        <v>321</v>
      </c>
      <c r="L161" s="4"/>
      <c r="M161" s="4"/>
      <c r="N161" s="4"/>
      <c r="O161" s="61" t="s">
        <v>269</v>
      </c>
      <c r="P161" s="61" t="s">
        <v>260</v>
      </c>
      <c r="Q161" s="13">
        <v>4690</v>
      </c>
      <c r="R161" s="13">
        <f t="shared" si="55"/>
        <v>4948.2314000000006</v>
      </c>
      <c r="S161" s="13">
        <f t="shared" si="56"/>
        <v>1419.5686901105582</v>
      </c>
      <c r="T161" s="13">
        <v>1</v>
      </c>
      <c r="U161" s="13">
        <f t="shared" si="57"/>
        <v>1419.5686901105582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61" t="s">
        <v>269</v>
      </c>
      <c r="AX161" s="13" t="s">
        <v>251</v>
      </c>
      <c r="AY161" s="13">
        <v>585</v>
      </c>
      <c r="AZ161" s="61">
        <f>AY161*Btu_to_kJ</f>
        <v>617.21010000000001</v>
      </c>
      <c r="BA161" s="61">
        <f>AZ161*($AO$187/1000)</f>
        <v>177.0677363997178</v>
      </c>
      <c r="BB161" s="13">
        <v>1</v>
      </c>
      <c r="BC161" s="13">
        <f t="shared" ref="BC161:BC164" si="58">BA161*BB161</f>
        <v>177.0677363997178</v>
      </c>
      <c r="BD161" s="4"/>
      <c r="BE161" s="4"/>
      <c r="BF161" s="4"/>
      <c r="BG161" s="4"/>
      <c r="BH161" s="4"/>
      <c r="BI161" s="4"/>
      <c r="BJ161" s="4"/>
      <c r="BK161" s="4"/>
      <c r="BT161" s="3" t="s">
        <v>504</v>
      </c>
    </row>
    <row r="162" spans="2:87" ht="16" x14ac:dyDescent="0.2">
      <c r="G162" s="75" t="s">
        <v>50</v>
      </c>
      <c r="H162" s="282"/>
      <c r="I162" s="104" t="s">
        <v>50</v>
      </c>
      <c r="L162" s="4"/>
      <c r="M162" s="4"/>
      <c r="N162" s="4"/>
      <c r="O162" s="61" t="s">
        <v>282</v>
      </c>
      <c r="P162" s="13" t="s">
        <v>261</v>
      </c>
      <c r="Q162" s="13">
        <v>11000</v>
      </c>
      <c r="R162" s="13">
        <f t="shared" si="55"/>
        <v>11605.660000000002</v>
      </c>
      <c r="S162" s="13">
        <f t="shared" si="56"/>
        <v>3329.4788040972585</v>
      </c>
      <c r="T162" s="13">
        <v>1.06</v>
      </c>
      <c r="U162" s="13">
        <f t="shared" si="57"/>
        <v>3529.247532343094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72"/>
      <c r="AR162" s="4"/>
      <c r="AS162" s="4"/>
      <c r="AT162" s="4"/>
      <c r="AU162" s="4"/>
      <c r="AV162" s="4"/>
      <c r="AW162" s="61" t="s">
        <v>269</v>
      </c>
      <c r="AX162" s="13" t="s">
        <v>252</v>
      </c>
      <c r="AY162" s="13">
        <v>359</v>
      </c>
      <c r="AZ162" s="61">
        <f>AY162*Btu_to_kJ</f>
        <v>378.76654000000002</v>
      </c>
      <c r="BA162" s="61">
        <f>AZ162*($AO$187/1000)</f>
        <v>108.66208097008324</v>
      </c>
      <c r="BB162" s="13">
        <v>1</v>
      </c>
      <c r="BC162" s="13">
        <f t="shared" si="58"/>
        <v>108.66208097008324</v>
      </c>
      <c r="BD162" s="4"/>
      <c r="BE162" s="4"/>
      <c r="BF162" s="4"/>
      <c r="BG162" s="4"/>
      <c r="BH162" s="4"/>
      <c r="BI162" s="4"/>
      <c r="BJ162" s="4"/>
      <c r="BK162" s="4"/>
      <c r="BQ162" s="286" t="s">
        <v>458</v>
      </c>
      <c r="BR162" s="286"/>
      <c r="BS162" s="286"/>
      <c r="BT162" s="286"/>
      <c r="BU162" s="286"/>
      <c r="BV162" s="286"/>
      <c r="BW162" s="286"/>
    </row>
    <row r="163" spans="2:87" ht="16" thickBot="1" x14ac:dyDescent="0.25">
      <c r="G163" s="102">
        <f>$U$168-$AG$176+N176</f>
        <v>99677.27054130286</v>
      </c>
      <c r="H163" s="140" t="s">
        <v>353</v>
      </c>
      <c r="I163" s="104">
        <f>(($Z$180*($AF$180-0))/$U$168)</f>
        <v>86.018313920430629</v>
      </c>
      <c r="L163" s="4"/>
      <c r="M163" s="4"/>
      <c r="N163" s="4"/>
      <c r="O163" s="61" t="s">
        <v>269</v>
      </c>
      <c r="P163" s="13" t="s">
        <v>262</v>
      </c>
      <c r="Q163" s="13">
        <v>1760</v>
      </c>
      <c r="R163" s="13">
        <f t="shared" si="55"/>
        <v>1856.9056000000003</v>
      </c>
      <c r="S163" s="13">
        <f t="shared" si="56"/>
        <v>532.71660865556134</v>
      </c>
      <c r="T163" s="13">
        <v>1</v>
      </c>
      <c r="U163" s="13">
        <f t="shared" si="57"/>
        <v>532.71660865556134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61" t="s">
        <v>269</v>
      </c>
      <c r="AX163" s="13" t="s">
        <v>253</v>
      </c>
      <c r="AY163" s="13">
        <v>238</v>
      </c>
      <c r="AZ163" s="61">
        <f>AY163*Btu_to_kJ</f>
        <v>251.10428000000002</v>
      </c>
      <c r="BA163" s="61">
        <f>AZ163*($AO$187/1000)</f>
        <v>72.037814125013398</v>
      </c>
      <c r="BB163" s="13">
        <v>1</v>
      </c>
      <c r="BC163" s="13">
        <f t="shared" si="58"/>
        <v>72.037814125013398</v>
      </c>
      <c r="BD163" s="4"/>
      <c r="BE163" s="4"/>
      <c r="BF163" s="4"/>
      <c r="BG163" s="4"/>
      <c r="BH163" s="4"/>
      <c r="BI163" s="4"/>
      <c r="BJ163" s="4"/>
      <c r="BK163" s="4"/>
      <c r="BQ163" s="61" t="s">
        <v>268</v>
      </c>
      <c r="BR163" s="13" t="s">
        <v>239</v>
      </c>
      <c r="BS163" s="13" t="s">
        <v>239</v>
      </c>
      <c r="BT163" s="13" t="s">
        <v>239</v>
      </c>
      <c r="BU163" s="34" t="s">
        <v>239</v>
      </c>
      <c r="BV163" s="106" t="s">
        <v>326</v>
      </c>
      <c r="BW163" s="13" t="s">
        <v>320</v>
      </c>
    </row>
    <row r="164" spans="2:87" x14ac:dyDescent="0.2">
      <c r="G164" s="4"/>
      <c r="H164" s="140" t="s">
        <v>354</v>
      </c>
      <c r="I164" s="104">
        <f>$AG$176/($U$168)</f>
        <v>85.986035184146729</v>
      </c>
      <c r="L164" s="4"/>
      <c r="M164" s="4"/>
      <c r="N164" s="4"/>
      <c r="O164" s="61" t="s">
        <v>269</v>
      </c>
      <c r="P164" s="13" t="s">
        <v>263</v>
      </c>
      <c r="Q164" s="13">
        <v>2360</v>
      </c>
      <c r="R164" s="13">
        <f t="shared" si="55"/>
        <v>2489.9416000000001</v>
      </c>
      <c r="S164" s="13">
        <f t="shared" si="56"/>
        <v>714.32454342450262</v>
      </c>
      <c r="T164" s="13">
        <v>1</v>
      </c>
      <c r="U164" s="13">
        <f t="shared" si="57"/>
        <v>714.32454342450262</v>
      </c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U164" s="4"/>
      <c r="AV164" s="4"/>
      <c r="AW164" s="61" t="s">
        <v>269</v>
      </c>
      <c r="AX164" s="61" t="s">
        <v>242</v>
      </c>
      <c r="AY164" s="61">
        <v>121</v>
      </c>
      <c r="AZ164" s="61">
        <f>AY164*Btu_to_kJ</f>
        <v>127.66226000000002</v>
      </c>
      <c r="BA164" s="61">
        <f>AZ164*($AO$187/1000)</f>
        <v>36.62426684506984</v>
      </c>
      <c r="BB164" s="13">
        <v>1</v>
      </c>
      <c r="BC164" s="13">
        <f t="shared" si="58"/>
        <v>36.62426684506984</v>
      </c>
      <c r="BD164" s="4"/>
      <c r="BE164" s="4"/>
      <c r="BF164" s="4"/>
      <c r="BG164" s="4"/>
      <c r="BH164" s="4"/>
      <c r="BI164" s="4"/>
      <c r="BJ164" s="4"/>
      <c r="BK164" s="4"/>
      <c r="BQ164" s="61" t="s">
        <v>102</v>
      </c>
      <c r="BR164" s="13" t="s">
        <v>501</v>
      </c>
      <c r="BS164" s="13" t="s">
        <v>502</v>
      </c>
      <c r="BT164" s="13" t="s">
        <v>503</v>
      </c>
      <c r="BU164" s="34" t="s">
        <v>50</v>
      </c>
      <c r="BV164" s="34" t="s">
        <v>102</v>
      </c>
      <c r="BW164" s="13" t="s">
        <v>50</v>
      </c>
    </row>
    <row r="165" spans="2:87" ht="16" thickBot="1" x14ac:dyDescent="0.25">
      <c r="G165" s="4"/>
      <c r="H165" s="141" t="s">
        <v>355</v>
      </c>
      <c r="I165" s="100">
        <f>$AG$180/($U$168)</f>
        <v>86.018346631358284</v>
      </c>
      <c r="L165" s="4"/>
      <c r="M165" s="4"/>
      <c r="N165" s="4"/>
      <c r="O165" s="61" t="s">
        <v>282</v>
      </c>
      <c r="P165" s="13" t="s">
        <v>264</v>
      </c>
      <c r="Q165" s="13">
        <v>1280</v>
      </c>
      <c r="R165" s="13">
        <f t="shared" si="55"/>
        <v>1350.4768000000001</v>
      </c>
      <c r="S165" s="13">
        <f t="shared" si="56"/>
        <v>387.43026084040821</v>
      </c>
      <c r="T165" s="13">
        <v>1.06</v>
      </c>
      <c r="U165" s="13">
        <f t="shared" si="57"/>
        <v>410.67607649083271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P165" s="4"/>
      <c r="AQ165" s="4"/>
      <c r="AU165" s="4"/>
      <c r="AV165" s="4"/>
      <c r="AW165" s="61"/>
      <c r="AX165" s="13" t="s">
        <v>20</v>
      </c>
      <c r="AY165" s="13">
        <f>SUM(AY160:AY164)</f>
        <v>94503</v>
      </c>
      <c r="AZ165" s="13">
        <f>SUM(AZ160:AZ164)</f>
        <v>99706.335179999995</v>
      </c>
      <c r="BA165" s="13">
        <f>SUM(BA160:BA164)</f>
        <v>28604.157765782104</v>
      </c>
      <c r="BB165" s="13"/>
      <c r="BC165" s="13">
        <f>SUM(BC160:BC164)</f>
        <v>28604.157765782104</v>
      </c>
      <c r="BJ165" s="4"/>
      <c r="BK165" s="4"/>
      <c r="BQ165" s="61" t="s">
        <v>454</v>
      </c>
      <c r="BR165" s="13">
        <v>2.956513E-3</v>
      </c>
      <c r="BS165" s="61">
        <f>BR165*1000000000</f>
        <v>2956513</v>
      </c>
      <c r="BT165" s="61">
        <f>BS165/1000</f>
        <v>2956.5129999999999</v>
      </c>
      <c r="BU165" s="61">
        <f>BT165*BP176</f>
        <v>848176.43869784183</v>
      </c>
      <c r="BV165" s="13">
        <v>1.04</v>
      </c>
      <c r="BW165" s="13">
        <f>BU165*BV165</f>
        <v>882103.49624575558</v>
      </c>
      <c r="CA165"/>
    </row>
    <row r="166" spans="2:87" x14ac:dyDescent="0.2">
      <c r="L166" s="4"/>
      <c r="M166" s="4"/>
      <c r="N166" s="4"/>
      <c r="O166" s="61" t="s">
        <v>269</v>
      </c>
      <c r="P166" s="61" t="s">
        <v>265</v>
      </c>
      <c r="Q166" s="61">
        <v>143</v>
      </c>
      <c r="R166" s="13">
        <f t="shared" si="55"/>
        <v>150.87358</v>
      </c>
      <c r="S166" s="13">
        <f t="shared" si="56"/>
        <v>43.283224453264353</v>
      </c>
      <c r="T166" s="13">
        <v>1</v>
      </c>
      <c r="U166" s="13">
        <f t="shared" si="57"/>
        <v>43.283224453264353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P166" s="4"/>
      <c r="AQ166" s="4"/>
      <c r="AU166" s="4"/>
      <c r="AV166" s="4"/>
      <c r="AW166" s="4"/>
      <c r="AX166" s="4"/>
      <c r="AY166" s="4"/>
      <c r="BL166" s="4"/>
      <c r="BM166" s="4"/>
    </row>
    <row r="167" spans="2:87" x14ac:dyDescent="0.2">
      <c r="L167" s="4"/>
      <c r="M167" s="4"/>
      <c r="N167" s="4"/>
      <c r="O167" s="61" t="s">
        <v>269</v>
      </c>
      <c r="P167" s="61" t="s">
        <v>266</v>
      </c>
      <c r="Q167" s="61">
        <v>6</v>
      </c>
      <c r="R167" s="13">
        <f t="shared" si="55"/>
        <v>6.3303600000000007</v>
      </c>
      <c r="S167" s="13">
        <f t="shared" si="56"/>
        <v>1.8160793476894135</v>
      </c>
      <c r="T167" s="13">
        <v>1</v>
      </c>
      <c r="U167" s="13">
        <f t="shared" si="57"/>
        <v>1.8160793476894135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P167" s="4"/>
      <c r="AQ167" s="4"/>
      <c r="AU167" s="4"/>
      <c r="AV167" s="4"/>
      <c r="AW167" s="4"/>
      <c r="AX167" s="4"/>
      <c r="AY167" s="4"/>
      <c r="BL167" s="4"/>
      <c r="BM167" s="4"/>
    </row>
    <row r="168" spans="2:87" x14ac:dyDescent="0.2">
      <c r="L168" s="4"/>
      <c r="M168" s="4"/>
      <c r="N168" s="4"/>
      <c r="O168" s="61"/>
      <c r="P168" s="61" t="s">
        <v>20</v>
      </c>
      <c r="Q168" s="61">
        <f>SUM(Q155:Q167)</f>
        <v>325159</v>
      </c>
      <c r="R168" s="61">
        <f>SUM(R155:R167)</f>
        <v>343062.25454000005</v>
      </c>
      <c r="S168" s="61">
        <f>SUM(S155:S167)</f>
        <v>98419.090769223694</v>
      </c>
      <c r="T168" s="61"/>
      <c r="U168" s="61">
        <f>SUM(U155:U167)</f>
        <v>99677.270541302903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P168" s="4"/>
      <c r="AQ168" s="4"/>
      <c r="AU168" s="4"/>
      <c r="AV168" s="4"/>
      <c r="AW168" s="4"/>
      <c r="AX168" s="4"/>
      <c r="AY168" s="4"/>
      <c r="BD168" s="16" t="s">
        <v>246</v>
      </c>
      <c r="BE168" s="3" t="s">
        <v>248</v>
      </c>
      <c r="BF168" s="3" t="s">
        <v>249</v>
      </c>
      <c r="BG168" s="3" t="s">
        <v>250</v>
      </c>
      <c r="BL168" s="4"/>
      <c r="BM168" s="4"/>
    </row>
    <row r="169" spans="2:87" x14ac:dyDescent="0.2">
      <c r="B169" s="4"/>
      <c r="L169" s="4"/>
      <c r="M169" s="4"/>
      <c r="N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P169" s="4"/>
      <c r="AQ169" s="4"/>
      <c r="AU169" s="4"/>
      <c r="AV169" s="4"/>
      <c r="AW169" s="4"/>
      <c r="AX169" s="4"/>
      <c r="AY169" s="4"/>
      <c r="BL169" s="4"/>
      <c r="BM169" s="4"/>
    </row>
    <row r="170" spans="2:87" x14ac:dyDescent="0.2">
      <c r="L170" s="4"/>
      <c r="M170" s="4"/>
      <c r="N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Q170" s="4"/>
      <c r="AR170" s="4"/>
      <c r="AV170" s="4"/>
      <c r="AW170" s="4"/>
      <c r="AX170" s="4"/>
      <c r="AY170" s="4"/>
      <c r="AZ170" s="4"/>
      <c r="BM170" s="4"/>
      <c r="BN170" s="4"/>
    </row>
    <row r="171" spans="2:87" x14ac:dyDescent="0.2">
      <c r="L171" s="4"/>
      <c r="M171" s="4"/>
      <c r="N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M171" s="4"/>
      <c r="BN171" s="4"/>
    </row>
    <row r="172" spans="2:87" x14ac:dyDescent="0.2">
      <c r="L172" s="4"/>
      <c r="M172" s="4"/>
      <c r="N172" s="4"/>
      <c r="R172" s="4" t="s">
        <v>201</v>
      </c>
      <c r="S172" s="4"/>
      <c r="T172" s="4"/>
      <c r="U172" s="4"/>
      <c r="W172" s="4"/>
      <c r="X172" s="4"/>
      <c r="Y172" s="4"/>
      <c r="Z172" s="4"/>
      <c r="AH172" s="4"/>
      <c r="AI172" s="4"/>
      <c r="AJ172" s="4"/>
      <c r="AK172" s="4"/>
      <c r="AL172" s="4"/>
      <c r="AM172" s="4"/>
      <c r="AQ172" s="4"/>
      <c r="AR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CB172" s="4"/>
      <c r="CC172" s="4"/>
    </row>
    <row r="173" spans="2:87" ht="16" thickBot="1" x14ac:dyDescent="0.25">
      <c r="L173" s="4"/>
      <c r="M173" s="4"/>
      <c r="N173" s="4"/>
      <c r="R173" s="16" t="s">
        <v>202</v>
      </c>
      <c r="S173" s="3" t="s">
        <v>203</v>
      </c>
      <c r="T173" s="3" t="s">
        <v>204</v>
      </c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O173" s="4"/>
      <c r="BP173" s="4"/>
      <c r="BQ173" s="4"/>
      <c r="CD173" s="4"/>
      <c r="CE173" s="4"/>
    </row>
    <row r="174" spans="2:87" x14ac:dyDescent="0.2"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63" t="s">
        <v>1</v>
      </c>
      <c r="N174" s="58" t="s">
        <v>0</v>
      </c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63" t="s">
        <v>1</v>
      </c>
      <c r="AG174" s="58" t="s">
        <v>0</v>
      </c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63" t="s">
        <v>1</v>
      </c>
      <c r="AY174" s="58" t="s">
        <v>0</v>
      </c>
      <c r="AZ174" s="356"/>
      <c r="BA174" s="356"/>
      <c r="BB174" s="356"/>
      <c r="BC174" s="356"/>
      <c r="BD174" s="356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63" t="s">
        <v>1</v>
      </c>
      <c r="BQ174" s="58" t="s">
        <v>0</v>
      </c>
      <c r="BR174" s="4"/>
      <c r="BS174" s="4"/>
      <c r="CG174" s="4"/>
      <c r="CH174" s="63" t="s">
        <v>1</v>
      </c>
      <c r="CI174" s="58" t="s">
        <v>0</v>
      </c>
    </row>
    <row r="175" spans="2:87" ht="18" x14ac:dyDescent="0.25"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65" t="s">
        <v>93</v>
      </c>
      <c r="N175" s="64" t="s">
        <v>97</v>
      </c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65" t="s">
        <v>93</v>
      </c>
      <c r="AG175" s="64" t="s">
        <v>97</v>
      </c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65" t="s">
        <v>93</v>
      </c>
      <c r="AY175" s="64" t="s">
        <v>97</v>
      </c>
      <c r="AZ175" s="350"/>
      <c r="BA175" s="350"/>
      <c r="BB175" s="350"/>
      <c r="BC175" s="350"/>
      <c r="BD175" s="350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65" t="s">
        <v>93</v>
      </c>
      <c r="BQ175" s="64" t="s">
        <v>97</v>
      </c>
      <c r="BR175" s="4"/>
      <c r="BS175" s="4"/>
      <c r="CG175" s="4"/>
      <c r="CH175" s="65" t="s">
        <v>93</v>
      </c>
      <c r="CI175" s="64" t="s">
        <v>97</v>
      </c>
    </row>
    <row r="176" spans="2:87" ht="15" customHeight="1" thickBot="1" x14ac:dyDescent="0.25"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50">
        <f>D187</f>
        <v>286.88405520213911</v>
      </c>
      <c r="N176" s="48">
        <f>N187</f>
        <v>8570853.2918241844</v>
      </c>
      <c r="O176" s="280" t="s">
        <v>433</v>
      </c>
      <c r="P176" s="280"/>
      <c r="Q176" s="280"/>
      <c r="R176" s="280"/>
      <c r="S176" s="280"/>
      <c r="T176" s="280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50">
        <f>W187</f>
        <v>286.88405520213911</v>
      </c>
      <c r="AG176" s="48">
        <f>AG187</f>
        <v>8570853.2918241844</v>
      </c>
      <c r="AH176" s="280" t="s">
        <v>180</v>
      </c>
      <c r="AI176" s="280"/>
      <c r="AJ176" s="280"/>
      <c r="AK176" s="280"/>
      <c r="AL176" s="280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50">
        <f>AO187</f>
        <v>286.88405520213911</v>
      </c>
      <c r="AY176" s="48">
        <f>AY187</f>
        <v>8570853.2918241844</v>
      </c>
      <c r="AZ176" s="280" t="s">
        <v>489</v>
      </c>
      <c r="BA176" s="280"/>
      <c r="BB176" s="280"/>
      <c r="BC176" s="280"/>
      <c r="BD176" s="280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50">
        <f>BG187</f>
        <v>286.88405520213911</v>
      </c>
      <c r="BQ176" s="48">
        <f>BQ187</f>
        <v>8570853.2918241844</v>
      </c>
      <c r="BR176" s="280" t="s">
        <v>455</v>
      </c>
      <c r="BS176" s="280"/>
      <c r="BT176" s="280"/>
      <c r="BU176" s="280"/>
      <c r="BV176" s="280"/>
      <c r="CG176" s="4"/>
      <c r="CH176" s="50">
        <f>BY181</f>
        <v>198.80764502323905</v>
      </c>
      <c r="CI176" s="48">
        <f>CI181</f>
        <v>6791339.3350291392</v>
      </c>
    </row>
    <row r="177" spans="2:87" ht="15" customHeight="1" thickBot="1" x14ac:dyDescent="0.25"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280"/>
      <c r="P177" s="280"/>
      <c r="Q177" s="280"/>
      <c r="R177" s="280"/>
      <c r="S177" s="280"/>
      <c r="T177" s="280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280"/>
      <c r="AI177" s="280"/>
      <c r="AJ177" s="280"/>
      <c r="AK177" s="280"/>
      <c r="AL177" s="280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280"/>
      <c r="BA177" s="280"/>
      <c r="BB177" s="280"/>
      <c r="BC177" s="280"/>
      <c r="BD177" s="280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280"/>
      <c r="BS177" s="280"/>
      <c r="BT177" s="280"/>
      <c r="BU177" s="280"/>
      <c r="BV177" s="280"/>
      <c r="CG177" s="4"/>
      <c r="CH177" s="4"/>
    </row>
    <row r="178" spans="2:87" ht="19.25" customHeight="1" x14ac:dyDescent="0.25">
      <c r="C178" s="4"/>
      <c r="D178" s="3" t="s">
        <v>1</v>
      </c>
      <c r="E178" s="3" t="s">
        <v>49</v>
      </c>
      <c r="F178" s="3" t="s">
        <v>5</v>
      </c>
      <c r="G178" s="3" t="s">
        <v>376</v>
      </c>
      <c r="H178" s="1" t="s">
        <v>136</v>
      </c>
      <c r="I178" s="1" t="s">
        <v>133</v>
      </c>
      <c r="J178" s="1" t="s">
        <v>9</v>
      </c>
      <c r="K178" s="1" t="s">
        <v>137</v>
      </c>
      <c r="L178" s="1" t="s">
        <v>138</v>
      </c>
      <c r="M178" s="1" t="s">
        <v>139</v>
      </c>
      <c r="N178" s="1" t="s">
        <v>140</v>
      </c>
      <c r="O178" s="4"/>
      <c r="P178" s="22" t="s">
        <v>449</v>
      </c>
      <c r="Q178" s="22" t="s">
        <v>521</v>
      </c>
      <c r="R178" s="380" t="s">
        <v>349</v>
      </c>
      <c r="S178" s="284" t="s">
        <v>356</v>
      </c>
      <c r="T178" s="103" t="s">
        <v>321</v>
      </c>
      <c r="U178" s="1"/>
      <c r="V178" s="4"/>
      <c r="W178" s="3" t="s">
        <v>1</v>
      </c>
      <c r="X178" s="3" t="s">
        <v>49</v>
      </c>
      <c r="Y178" s="3" t="s">
        <v>5</v>
      </c>
      <c r="Z178" s="3" t="s">
        <v>376</v>
      </c>
      <c r="AA178" s="1" t="s">
        <v>136</v>
      </c>
      <c r="AB178" s="1" t="s">
        <v>133</v>
      </c>
      <c r="AC178" s="1" t="s">
        <v>9</v>
      </c>
      <c r="AD178" s="1" t="s">
        <v>137</v>
      </c>
      <c r="AE178" s="1" t="s">
        <v>138</v>
      </c>
      <c r="AF178" s="1" t="s">
        <v>139</v>
      </c>
      <c r="AG178" s="1" t="s">
        <v>140</v>
      </c>
      <c r="AH178" s="22" t="s">
        <v>449</v>
      </c>
      <c r="AI178" s="22" t="s">
        <v>521</v>
      </c>
      <c r="AJ178" s="162" t="s">
        <v>349</v>
      </c>
      <c r="AK178" s="284" t="s">
        <v>356</v>
      </c>
      <c r="AL178" s="139" t="s">
        <v>321</v>
      </c>
      <c r="AM178" s="1"/>
      <c r="AN178" s="4"/>
      <c r="AO178" s="3" t="s">
        <v>1</v>
      </c>
      <c r="AP178" s="3" t="s">
        <v>49</v>
      </c>
      <c r="AQ178" s="3" t="s">
        <v>5</v>
      </c>
      <c r="AR178" s="3" t="s">
        <v>376</v>
      </c>
      <c r="AS178" s="1" t="s">
        <v>136</v>
      </c>
      <c r="AT178" s="1" t="s">
        <v>133</v>
      </c>
      <c r="AU178" s="1" t="s">
        <v>9</v>
      </c>
      <c r="AV178" s="1" t="s">
        <v>137</v>
      </c>
      <c r="AW178" s="1" t="s">
        <v>138</v>
      </c>
      <c r="AX178" s="1" t="s">
        <v>139</v>
      </c>
      <c r="AY178" s="1" t="s">
        <v>140</v>
      </c>
      <c r="AZ178" s="22" t="s">
        <v>449</v>
      </c>
      <c r="BA178" s="22" t="s">
        <v>521</v>
      </c>
      <c r="BB178" s="162" t="s">
        <v>349</v>
      </c>
      <c r="BC178" s="284" t="s">
        <v>356</v>
      </c>
      <c r="BD178" s="139" t="s">
        <v>321</v>
      </c>
      <c r="BE178" s="1"/>
      <c r="BF178" s="4"/>
      <c r="BG178" s="3" t="s">
        <v>1</v>
      </c>
      <c r="BH178" s="3" t="s">
        <v>49</v>
      </c>
      <c r="BI178" s="3" t="s">
        <v>5</v>
      </c>
      <c r="BJ178" s="3" t="s">
        <v>376</v>
      </c>
      <c r="BK178" s="1" t="s">
        <v>136</v>
      </c>
      <c r="BL178" s="1" t="s">
        <v>133</v>
      </c>
      <c r="BM178" s="1" t="s">
        <v>9</v>
      </c>
      <c r="BN178" s="1" t="s">
        <v>137</v>
      </c>
      <c r="BO178" s="1" t="s">
        <v>138</v>
      </c>
      <c r="BP178" s="1" t="s">
        <v>139</v>
      </c>
      <c r="BQ178" s="1" t="s">
        <v>140</v>
      </c>
      <c r="BR178" s="22" t="s">
        <v>449</v>
      </c>
      <c r="BS178" s="22" t="s">
        <v>521</v>
      </c>
      <c r="BT178" s="162" t="s">
        <v>349</v>
      </c>
      <c r="BU178" s="284" t="s">
        <v>356</v>
      </c>
      <c r="BV178" s="139" t="s">
        <v>321</v>
      </c>
      <c r="BW178" s="1"/>
      <c r="BX178" s="4"/>
      <c r="BY178" s="1" t="s">
        <v>135</v>
      </c>
      <c r="BZ178" s="1" t="s">
        <v>286</v>
      </c>
      <c r="CA178" s="1" t="s">
        <v>5</v>
      </c>
      <c r="CB178" s="1" t="s">
        <v>134</v>
      </c>
      <c r="CC178" s="1" t="s">
        <v>136</v>
      </c>
      <c r="CD178" s="1" t="s">
        <v>133</v>
      </c>
      <c r="CE178" s="1" t="s">
        <v>9</v>
      </c>
      <c r="CF178" s="1" t="s">
        <v>137</v>
      </c>
      <c r="CG178" s="1" t="s">
        <v>138</v>
      </c>
      <c r="CH178" s="1" t="s">
        <v>139</v>
      </c>
      <c r="CI178" s="1" t="s">
        <v>140</v>
      </c>
    </row>
    <row r="179" spans="2:87" ht="18" x14ac:dyDescent="0.25">
      <c r="C179" s="4" t="s">
        <v>43</v>
      </c>
      <c r="D179" s="1" t="s">
        <v>92</v>
      </c>
      <c r="E179" s="4" t="s">
        <v>287</v>
      </c>
      <c r="F179" s="1" t="s">
        <v>94</v>
      </c>
      <c r="G179" s="1" t="s">
        <v>90</v>
      </c>
      <c r="H179" s="1" t="s">
        <v>99</v>
      </c>
      <c r="I179" s="1" t="s">
        <v>27</v>
      </c>
      <c r="J179" s="1" t="s">
        <v>102</v>
      </c>
      <c r="K179" s="1" t="s">
        <v>99</v>
      </c>
      <c r="L179" s="1" t="s">
        <v>99</v>
      </c>
      <c r="M179" s="1" t="s">
        <v>98</v>
      </c>
      <c r="N179" s="1" t="s">
        <v>96</v>
      </c>
      <c r="O179" s="4"/>
      <c r="P179" s="214" t="s">
        <v>50</v>
      </c>
      <c r="Q179" s="9" t="s">
        <v>50</v>
      </c>
      <c r="R179" s="64" t="s">
        <v>93</v>
      </c>
      <c r="S179" s="285"/>
      <c r="T179" s="137" t="s">
        <v>86</v>
      </c>
      <c r="U179" s="4"/>
      <c r="V179" s="4" t="s">
        <v>43</v>
      </c>
      <c r="W179" s="1" t="s">
        <v>92</v>
      </c>
      <c r="X179" s="4" t="s">
        <v>287</v>
      </c>
      <c r="Y179" s="1" t="s">
        <v>94</v>
      </c>
      <c r="Z179" s="1" t="s">
        <v>90</v>
      </c>
      <c r="AA179" s="1" t="s">
        <v>99</v>
      </c>
      <c r="AB179" s="1" t="s">
        <v>27</v>
      </c>
      <c r="AC179" s="1" t="s">
        <v>102</v>
      </c>
      <c r="AD179" s="1" t="s">
        <v>99</v>
      </c>
      <c r="AE179" s="1" t="s">
        <v>99</v>
      </c>
      <c r="AF179" s="1" t="s">
        <v>98</v>
      </c>
      <c r="AG179" s="1" t="s">
        <v>96</v>
      </c>
      <c r="AH179" s="214" t="s">
        <v>50</v>
      </c>
      <c r="AI179" s="9" t="s">
        <v>50</v>
      </c>
      <c r="AJ179" s="1" t="s">
        <v>93</v>
      </c>
      <c r="AK179" s="285"/>
      <c r="AL179" s="137" t="s">
        <v>86</v>
      </c>
      <c r="AM179" s="4"/>
      <c r="AN179" s="4" t="s">
        <v>43</v>
      </c>
      <c r="AO179" s="1" t="s">
        <v>92</v>
      </c>
      <c r="AP179" s="4" t="s">
        <v>287</v>
      </c>
      <c r="AQ179" s="1" t="s">
        <v>94</v>
      </c>
      <c r="AR179" s="1" t="s">
        <v>90</v>
      </c>
      <c r="AS179" s="1" t="s">
        <v>99</v>
      </c>
      <c r="AT179" s="1" t="s">
        <v>27</v>
      </c>
      <c r="AU179" s="1" t="s">
        <v>102</v>
      </c>
      <c r="AV179" s="1" t="s">
        <v>99</v>
      </c>
      <c r="AW179" s="1" t="s">
        <v>99</v>
      </c>
      <c r="AX179" s="1" t="s">
        <v>98</v>
      </c>
      <c r="AY179" s="1" t="s">
        <v>96</v>
      </c>
      <c r="AZ179" s="214" t="s">
        <v>50</v>
      </c>
      <c r="BA179" s="9" t="s">
        <v>50</v>
      </c>
      <c r="BB179" s="1" t="s">
        <v>93</v>
      </c>
      <c r="BC179" s="285"/>
      <c r="BD179" s="137" t="s">
        <v>86</v>
      </c>
      <c r="BE179" s="4"/>
      <c r="BF179" s="4" t="s">
        <v>43</v>
      </c>
      <c r="BG179" s="1" t="s">
        <v>92</v>
      </c>
      <c r="BH179" s="4" t="s">
        <v>287</v>
      </c>
      <c r="BI179" s="1" t="s">
        <v>94</v>
      </c>
      <c r="BJ179" s="1" t="s">
        <v>90</v>
      </c>
      <c r="BK179" s="1" t="s">
        <v>99</v>
      </c>
      <c r="BL179" s="1" t="s">
        <v>27</v>
      </c>
      <c r="BM179" s="1" t="s">
        <v>102</v>
      </c>
      <c r="BN179" s="1" t="s">
        <v>99</v>
      </c>
      <c r="BO179" s="1" t="s">
        <v>99</v>
      </c>
      <c r="BP179" s="1" t="s">
        <v>98</v>
      </c>
      <c r="BQ179" s="1" t="s">
        <v>96</v>
      </c>
      <c r="BR179" s="214" t="s">
        <v>50</v>
      </c>
      <c r="BS179" s="9" t="s">
        <v>50</v>
      </c>
      <c r="BT179" s="1" t="s">
        <v>93</v>
      </c>
      <c r="BU179" s="285"/>
      <c r="BV179" s="137" t="s">
        <v>86</v>
      </c>
      <c r="BW179" s="4"/>
      <c r="BX179" s="4" t="s">
        <v>43</v>
      </c>
      <c r="BY179" s="1" t="s">
        <v>92</v>
      </c>
      <c r="BZ179" s="4" t="s">
        <v>287</v>
      </c>
      <c r="CA179" s="1" t="s">
        <v>94</v>
      </c>
      <c r="CB179" s="1" t="s">
        <v>90</v>
      </c>
      <c r="CC179" s="1" t="s">
        <v>99</v>
      </c>
      <c r="CD179" s="1" t="s">
        <v>27</v>
      </c>
      <c r="CE179" s="1" t="s">
        <v>102</v>
      </c>
      <c r="CF179" s="1" t="s">
        <v>99</v>
      </c>
      <c r="CG179" s="1" t="s">
        <v>99</v>
      </c>
      <c r="CH179" s="1" t="s">
        <v>98</v>
      </c>
      <c r="CI179" s="1" t="s">
        <v>96</v>
      </c>
    </row>
    <row r="180" spans="2:87" ht="16" thickBot="1" x14ac:dyDescent="0.25">
      <c r="B180" s="212" t="s">
        <v>366</v>
      </c>
      <c r="C180" s="62" t="str">
        <f>_xlfn.CONCAT("C"," ",mol_C_Coal_in," ","H"," ",mol_H_Coal," ","O",mol_O_Coal," ","N"," ",mol_N_Coal)</f>
        <v>C 1 H 1.13490397772279 O0.00451161124548905 N 0.00266329466931219</v>
      </c>
      <c r="D180" s="62">
        <f>COG_needed+C_for_BF</f>
        <v>268.39032078137268</v>
      </c>
      <c r="E180" s="62">
        <f t="shared" ref="E180:E186" si="59">D180/$AO$187</f>
        <v>0.93553585817888796</v>
      </c>
      <c r="F180" s="62" t="s">
        <v>402</v>
      </c>
      <c r="G180" s="62">
        <f>mol_Coal</f>
        <v>672623981.06965804</v>
      </c>
      <c r="H180" s="62">
        <f>AA180</f>
        <v>1.2748065975460179E-2</v>
      </c>
      <c r="I180" s="62">
        <f t="shared" ref="I180:I186" si="60">G180/$AR$187</f>
        <v>0.99999961972150231</v>
      </c>
      <c r="J180" s="62">
        <f>LN(I180)</f>
        <v>-3.8027856999728602E-7</v>
      </c>
      <c r="K180" s="62">
        <f t="shared" ref="K180:K186" si="61">RT0*J180</f>
        <v>-8.6360088185602356E-7</v>
      </c>
      <c r="L180" s="62">
        <f>K180+H180</f>
        <v>1.2747202374578322E-2</v>
      </c>
      <c r="M180" s="62">
        <f>L180*I180</f>
        <v>1.2747197527091353E-2</v>
      </c>
      <c r="N180" s="62">
        <f t="shared" ref="N180:N186" si="62">M180*$AR$187</f>
        <v>8574074.0086894706</v>
      </c>
      <c r="O180" s="4"/>
      <c r="P180" s="105">
        <f>0</f>
        <v>0</v>
      </c>
      <c r="Q180" s="100">
        <f>$U$168+$N$176-$AG$176</f>
        <v>99677.27054130286</v>
      </c>
      <c r="R180" s="381">
        <f>AF176-M176</f>
        <v>0</v>
      </c>
      <c r="S180" s="140" t="s">
        <v>353</v>
      </c>
      <c r="T180" s="104">
        <f>(($Z$180*($AF$180-M180))/$U$168)</f>
        <v>0</v>
      </c>
      <c r="U180" s="212" t="s">
        <v>366</v>
      </c>
      <c r="V180" s="62" t="str">
        <f>_xlfn.CONCAT("C"," ",mol_C_Coal_in," ","H"," ",mol_H_Coal," ","O",mol_O_Coal," ","N"," ",mol_N_Coal)</f>
        <v>C 1 H 1.13490397772279 O0.00451161124548905 N 0.00266329466931219</v>
      </c>
      <c r="W180" s="62">
        <f>COG_needed+C_for_BF</f>
        <v>268.39032078137268</v>
      </c>
      <c r="X180" s="62">
        <f t="shared" ref="X180:X186" si="63">W180/$AO$187</f>
        <v>0.93553585817888796</v>
      </c>
      <c r="Y180" s="62" t="s">
        <v>402</v>
      </c>
      <c r="Z180" s="62">
        <f>mol_Coal</f>
        <v>672623981.06965804</v>
      </c>
      <c r="AA180" s="62">
        <f>AS180</f>
        <v>1.2748065975460179E-2</v>
      </c>
      <c r="AB180" s="62">
        <f t="shared" ref="AB180:AB186" si="64">Z180/$AR$187</f>
        <v>0.99999961972150231</v>
      </c>
      <c r="AC180" s="62">
        <f>LN(AB180)</f>
        <v>-3.8027856999728602E-7</v>
      </c>
      <c r="AD180" s="62">
        <f t="shared" ref="AD180:AD186" si="65">RT0*AC180</f>
        <v>-8.6360088185602356E-7</v>
      </c>
      <c r="AE180" s="62">
        <f>AD180+AA180</f>
        <v>1.2747202374578322E-2</v>
      </c>
      <c r="AF180" s="62">
        <f>AE180*AB180</f>
        <v>1.2747197527091353E-2</v>
      </c>
      <c r="AG180" s="62">
        <f t="shared" ref="AG180:AG186" si="66">AF180*$AR$187</f>
        <v>8574074.0086894706</v>
      </c>
      <c r="AH180" s="105">
        <f>0</f>
        <v>0</v>
      </c>
      <c r="AI180" s="100">
        <f>AG176+AL160-AY176</f>
        <v>160253.43323591538</v>
      </c>
      <c r="AJ180" s="142">
        <f>AX176-AF176</f>
        <v>0</v>
      </c>
      <c r="AK180" s="140" t="s">
        <v>353</v>
      </c>
      <c r="AL180" s="137">
        <f>((AR180*(AX180-AF180))/AL160)</f>
        <v>0</v>
      </c>
      <c r="AM180" s="212" t="s">
        <v>366</v>
      </c>
      <c r="AN180" s="201" t="str">
        <f>_xlfn.CONCAT("C"," ",mol_C_Coal_in," ","H"," ",mol_H_Coal," ","O",mol_O_Coal," ","N"," ",mol_N_Coal)</f>
        <v>C 1 H 1.13490397772279 O0.00451161124548905 N 0.00266329466931219</v>
      </c>
      <c r="AO180" s="62">
        <f>COG_needed+C_for_BF</f>
        <v>268.39032078137268</v>
      </c>
      <c r="AP180" s="62">
        <f t="shared" ref="AP180:AP186" si="67">AO180/$AO$187</f>
        <v>0.93553585817888796</v>
      </c>
      <c r="AQ180" s="62" t="s">
        <v>402</v>
      </c>
      <c r="AR180" s="62">
        <f>mol_Coal</f>
        <v>672623981.06965804</v>
      </c>
      <c r="AS180" s="62">
        <f>BK180</f>
        <v>1.2748065975460179E-2</v>
      </c>
      <c r="AT180" s="62">
        <f t="shared" ref="AT180:AT186" si="68">AR180/$AR$187</f>
        <v>0.99999961972150231</v>
      </c>
      <c r="AU180" s="62">
        <f>LN(AT180)</f>
        <v>-3.8027856999728602E-7</v>
      </c>
      <c r="AV180" s="62">
        <f t="shared" ref="AV180:AV186" si="69">RT0*AU180</f>
        <v>-8.6360088185602356E-7</v>
      </c>
      <c r="AW180" s="62">
        <f>AV180+AS180</f>
        <v>1.2747202374578322E-2</v>
      </c>
      <c r="AX180" s="62">
        <f>AW180*AT180</f>
        <v>1.2747197527091353E-2</v>
      </c>
      <c r="AY180" s="62">
        <f t="shared" ref="AY180:AY186" si="70">AX180*$AR$187</f>
        <v>8574074.0086894706</v>
      </c>
      <c r="AZ180" s="105">
        <f>BT187</f>
        <v>0</v>
      </c>
      <c r="BA180" s="100">
        <f>(BC165+AY176)-BQ176</f>
        <v>28604.157765781507</v>
      </c>
      <c r="BB180" s="142">
        <f>BP176-AX176</f>
        <v>0</v>
      </c>
      <c r="BC180" s="140" t="s">
        <v>353</v>
      </c>
      <c r="BD180" s="137">
        <f>((BJ180*(BP180-AX180))/BC165)</f>
        <v>0</v>
      </c>
      <c r="BE180" s="212" t="s">
        <v>366</v>
      </c>
      <c r="BF180" s="201" t="str">
        <f>_xlfn.CONCAT("C"," ",mol_C_Coal_in," ","H"," ",mol_H_Coal," ","O",mol_O_Coal," ","N"," ",mol_N_Coal)</f>
        <v>C 1 H 1.13490397772279 O0.00451161124548905 N 0.00266329466931219</v>
      </c>
      <c r="BG180" s="62">
        <f>COG_needed+C_for_BF</f>
        <v>268.39032078137268</v>
      </c>
      <c r="BH180" s="62">
        <f>BG180/$BG$187</f>
        <v>0.93553585817888796</v>
      </c>
      <c r="BI180" s="62" t="s">
        <v>402</v>
      </c>
      <c r="BJ180" s="62">
        <f>mol_Coal</f>
        <v>672623981.06965804</v>
      </c>
      <c r="BK180" s="62">
        <f>(b_ch_coal*BG180)/BJ180</f>
        <v>1.2748065975460179E-2</v>
      </c>
      <c r="BL180" s="62">
        <f>BJ180/$BJ$187</f>
        <v>0.99999961972150231</v>
      </c>
      <c r="BM180" s="62">
        <f>LN(BL180)</f>
        <v>-3.8027856999728602E-7</v>
      </c>
      <c r="BN180" s="62">
        <f t="shared" ref="BN180:BN186" si="71">RT0*BM180</f>
        <v>-8.6360088185602356E-7</v>
      </c>
      <c r="BO180" s="62">
        <f>BN180+BK180</f>
        <v>1.2747202374578322E-2</v>
      </c>
      <c r="BP180" s="62">
        <f>BO180*BL180</f>
        <v>1.2747197527091353E-2</v>
      </c>
      <c r="BQ180" s="62">
        <f>BP180*$BJ$187</f>
        <v>8574074.0086894706</v>
      </c>
      <c r="BR180" s="105">
        <f>CI187+CI220</f>
        <v>29926.721010376772</v>
      </c>
      <c r="BS180" s="100">
        <f>SUM(BW165,BQ176,BQ195,BQ212) - SUM(CI176,CI187,CI203,CI220)</f>
        <v>-2412025.7778129019</v>
      </c>
      <c r="BT180" s="142">
        <f>CH176+CH187+CH203+CH220-BP176-BP195-BP212</f>
        <v>0</v>
      </c>
      <c r="BU180" s="140" t="s">
        <v>353</v>
      </c>
      <c r="BV180" s="137" t="s">
        <v>102</v>
      </c>
      <c r="BW180" s="4"/>
      <c r="BX180" s="96" t="s">
        <v>19</v>
      </c>
      <c r="BY180" s="171">
        <f>C_for_BF</f>
        <v>198.80764502323905</v>
      </c>
      <c r="BZ180" s="96">
        <f>BY180/BY181</f>
        <v>1</v>
      </c>
      <c r="CA180" s="96">
        <f>MW_C</f>
        <v>1.2010999999999999E-2</v>
      </c>
      <c r="CB180" s="96">
        <f>BY180/CA180</f>
        <v>16552.130965218472</v>
      </c>
      <c r="CC180" s="96">
        <f>b_ch_C</f>
        <v>410.3</v>
      </c>
      <c r="CD180" s="96">
        <f>CB180/CB181</f>
        <v>1</v>
      </c>
      <c r="CE180" s="96">
        <f>LN(CD180)</f>
        <v>0</v>
      </c>
      <c r="CF180" s="96">
        <f>RT0*CE180</f>
        <v>0</v>
      </c>
      <c r="CG180" s="97">
        <f>CF180+CC180</f>
        <v>410.3</v>
      </c>
      <c r="CH180" s="97">
        <f>CG180*CD180</f>
        <v>410.3</v>
      </c>
      <c r="CI180" s="96">
        <f>CH180*CB181</f>
        <v>6791339.3350291392</v>
      </c>
    </row>
    <row r="181" spans="2:87" ht="17" x14ac:dyDescent="0.25">
      <c r="B181" s="300" t="s">
        <v>393</v>
      </c>
      <c r="C181" s="62" t="s">
        <v>311</v>
      </c>
      <c r="D181" s="62">
        <f t="shared" ref="D181:D186" si="72">W181</f>
        <v>6.8833679514092623</v>
      </c>
      <c r="E181" s="62">
        <f t="shared" si="59"/>
        <v>2.3993553585817892E-2</v>
      </c>
      <c r="F181" s="62">
        <f>MW_Al2O3</f>
        <v>0.10196127799999999</v>
      </c>
      <c r="G181" s="62">
        <f t="shared" ref="G181:G186" si="73">D181/F181</f>
        <v>67.509628031626505</v>
      </c>
      <c r="H181" s="62">
        <f>b_ch_Al2O3</f>
        <v>31.875999999999976</v>
      </c>
      <c r="I181" s="62">
        <f t="shared" si="60"/>
        <v>1.003675222102662E-7</v>
      </c>
      <c r="J181" s="62">
        <f t="shared" ref="J181:J186" si="74">LN(I181)</f>
        <v>-16.114427165982498</v>
      </c>
      <c r="K181" s="62">
        <f t="shared" si="61"/>
        <v>-36.595366158146824</v>
      </c>
      <c r="L181" s="62">
        <f t="shared" ref="L181:L186" si="75">K181+H181</f>
        <v>-4.7193661581468476</v>
      </c>
      <c r="M181" s="62">
        <f t="shared" ref="M181:M186" si="76">L181*I181</f>
        <v>-4.7367108769618242E-7</v>
      </c>
      <c r="N181" s="62">
        <f t="shared" si="62"/>
        <v>-318.60265388153994</v>
      </c>
      <c r="O181" s="4"/>
      <c r="P181" s="4"/>
      <c r="Q181" s="4"/>
      <c r="R181" s="4"/>
      <c r="S181" s="140" t="s">
        <v>354</v>
      </c>
      <c r="T181" s="104">
        <f>$AG$176/($U$168+N176)</f>
        <v>0.98850390182880465</v>
      </c>
      <c r="U181" s="300" t="s">
        <v>393</v>
      </c>
      <c r="V181" s="62" t="s">
        <v>311</v>
      </c>
      <c r="W181" s="62">
        <f t="shared" ref="W181:W186" si="77">AO181</f>
        <v>6.8833679514092623</v>
      </c>
      <c r="X181" s="62">
        <f t="shared" si="63"/>
        <v>2.3993553585817892E-2</v>
      </c>
      <c r="Y181" s="62">
        <f>MW_Al2O3</f>
        <v>0.10196127799999999</v>
      </c>
      <c r="Z181" s="62">
        <f t="shared" ref="Z181:Z186" si="78">W181/Y181</f>
        <v>67.509628031626505</v>
      </c>
      <c r="AA181" s="62">
        <f>b_ch_Al2O3</f>
        <v>31.875999999999976</v>
      </c>
      <c r="AB181" s="62">
        <f t="shared" si="64"/>
        <v>1.003675222102662E-7</v>
      </c>
      <c r="AC181" s="62">
        <f t="shared" ref="AC181:AC186" si="79">LN(AB181)</f>
        <v>-16.114427165982498</v>
      </c>
      <c r="AD181" s="62">
        <f t="shared" si="65"/>
        <v>-36.595366158146824</v>
      </c>
      <c r="AE181" s="62">
        <f t="shared" ref="AE181:AE186" si="80">AD181+AA181</f>
        <v>-4.7193661581468476</v>
      </c>
      <c r="AF181" s="62">
        <f t="shared" ref="AF181:AF186" si="81">AE181*AB181</f>
        <v>-4.7367108769618242E-7</v>
      </c>
      <c r="AG181" s="62">
        <f t="shared" si="66"/>
        <v>-318.60265388153994</v>
      </c>
      <c r="AH181" s="4"/>
      <c r="AI181" s="4"/>
      <c r="AK181" s="140" t="s">
        <v>354</v>
      </c>
      <c r="AL181" s="137">
        <f>AY176/(AG176+AL160)</f>
        <v>0.98164569071456265</v>
      </c>
      <c r="AM181" s="300" t="s">
        <v>393</v>
      </c>
      <c r="AN181" s="62" t="s">
        <v>311</v>
      </c>
      <c r="AO181" s="62">
        <f>BY191</f>
        <v>6.8833679514092623</v>
      </c>
      <c r="AP181" s="62">
        <f t="shared" si="67"/>
        <v>2.3993553585817892E-2</v>
      </c>
      <c r="AQ181" s="62">
        <f>MW_Al2O3</f>
        <v>0.10196127799999999</v>
      </c>
      <c r="AR181" s="62">
        <f t="shared" ref="AR181:AR186" si="82">AO181/AQ181</f>
        <v>67.509628031626505</v>
      </c>
      <c r="AS181" s="62">
        <f>b_ch_Al2O3</f>
        <v>31.875999999999976</v>
      </c>
      <c r="AT181" s="62">
        <f t="shared" si="68"/>
        <v>1.003675222102662E-7</v>
      </c>
      <c r="AU181" s="62">
        <f t="shared" ref="AU181:AU186" si="83">LN(AT181)</f>
        <v>-16.114427165982498</v>
      </c>
      <c r="AV181" s="62">
        <f t="shared" si="69"/>
        <v>-36.595366158146824</v>
      </c>
      <c r="AW181" s="62">
        <f t="shared" ref="AW181:AW186" si="84">AV181+AS181</f>
        <v>-4.7193661581468476</v>
      </c>
      <c r="AX181" s="62">
        <f t="shared" ref="AX181:AX186" si="85">AW181*AT181</f>
        <v>-4.7367108769618242E-7</v>
      </c>
      <c r="AY181" s="62">
        <f t="shared" si="70"/>
        <v>-318.60265388153994</v>
      </c>
      <c r="AZ181" s="4"/>
      <c r="BA181" s="4"/>
      <c r="BC181" s="140" t="s">
        <v>354</v>
      </c>
      <c r="BD181" s="137">
        <f>BQ176/(BC165+AY176)</f>
        <v>0.99667372529796683</v>
      </c>
      <c r="BE181" s="300" t="s">
        <v>393</v>
      </c>
      <c r="BF181" s="62" t="s">
        <v>311</v>
      </c>
      <c r="BG181" s="62">
        <f>AO181</f>
        <v>6.8833679514092623</v>
      </c>
      <c r="BH181" s="62">
        <f t="shared" ref="BH181:BH186" si="86">BG181/$BG$187</f>
        <v>2.3993553585817892E-2</v>
      </c>
      <c r="BI181" s="62">
        <f>MW_Al2O3</f>
        <v>0.10196127799999999</v>
      </c>
      <c r="BJ181" s="62">
        <f t="shared" ref="BJ181:BJ186" si="87">BG181/BI181</f>
        <v>67.509628031626505</v>
      </c>
      <c r="BK181" s="62">
        <f>b_ch_Al2O3</f>
        <v>31.875999999999976</v>
      </c>
      <c r="BL181" s="62">
        <f t="shared" ref="BL181:BL186" si="88">BJ181/$BJ$187</f>
        <v>1.003675222102662E-7</v>
      </c>
      <c r="BM181" s="62">
        <f t="shared" ref="BM181:BM186" si="89">LN(BL181)</f>
        <v>-16.114427165982498</v>
      </c>
      <c r="BN181" s="62">
        <f t="shared" si="71"/>
        <v>-36.595366158146824</v>
      </c>
      <c r="BO181" s="62">
        <f t="shared" ref="BO181:BO186" si="90">BN181+BK181</f>
        <v>-4.7193661581468476</v>
      </c>
      <c r="BP181" s="62">
        <f t="shared" ref="BP181:BP186" si="91">BO181*BL181</f>
        <v>-4.7367108769618242E-7</v>
      </c>
      <c r="BQ181" s="62">
        <f>BP181*$BJ$187</f>
        <v>-318.60265388153994</v>
      </c>
      <c r="BR181" s="4"/>
      <c r="BS181" s="4"/>
      <c r="BU181" s="140" t="s">
        <v>354</v>
      </c>
      <c r="BV181" s="137">
        <f>(CI187+CI176+CI203+CI220)/(BW165+BQ176+BQ195+BQ212)</f>
        <v>1.2331665321430612</v>
      </c>
      <c r="BW181" s="4"/>
      <c r="BX181" s="17"/>
      <c r="BY181" s="17">
        <f>SUM(BY180)</f>
        <v>198.80764502323905</v>
      </c>
      <c r="BZ181" s="17"/>
      <c r="CA181" s="17"/>
      <c r="CB181" s="17">
        <f>SUM(CB180)</f>
        <v>16552.130965218472</v>
      </c>
      <c r="CC181" s="17"/>
      <c r="CD181" s="17"/>
      <c r="CE181" s="17"/>
      <c r="CF181" s="17"/>
      <c r="CG181" s="62"/>
      <c r="CH181" s="62"/>
      <c r="CI181" s="17">
        <f>SUM(CI180)</f>
        <v>6791339.3350291392</v>
      </c>
    </row>
    <row r="182" spans="2:87" ht="19" thickBot="1" x14ac:dyDescent="0.3">
      <c r="B182" s="300"/>
      <c r="C182" s="4" t="s">
        <v>127</v>
      </c>
      <c r="D182" s="4">
        <f t="shared" si="72"/>
        <v>1.2908626625694963</v>
      </c>
      <c r="E182" s="4">
        <f t="shared" si="59"/>
        <v>4.4995970991136185E-3</v>
      </c>
      <c r="F182" s="4">
        <f>MW_CaO</f>
        <v>5.6077400000000006E-2</v>
      </c>
      <c r="G182" s="4">
        <f t="shared" si="73"/>
        <v>23.019303009224682</v>
      </c>
      <c r="H182" s="4">
        <f>b_ch_CaO</f>
        <v>122.25799999999992</v>
      </c>
      <c r="I182" s="4">
        <f t="shared" si="60"/>
        <v>3.4223124514341098E-8</v>
      </c>
      <c r="J182" s="4">
        <f t="shared" si="74"/>
        <v>-17.190364265977827</v>
      </c>
      <c r="K182" s="4">
        <f t="shared" si="61"/>
        <v>-39.038786065779824</v>
      </c>
      <c r="L182" s="4">
        <f t="shared" si="75"/>
        <v>83.219213934220107</v>
      </c>
      <c r="M182" s="4">
        <f t="shared" si="76"/>
        <v>2.8480215204564044E-6</v>
      </c>
      <c r="N182" s="4">
        <f t="shared" si="62"/>
        <v>1915.6483017413057</v>
      </c>
      <c r="O182" s="4"/>
      <c r="P182" s="4"/>
      <c r="Q182" s="4"/>
      <c r="R182" s="4"/>
      <c r="S182" s="141" t="s">
        <v>421</v>
      </c>
      <c r="T182" s="100">
        <f>$AG$180/($U$168+N176)</f>
        <v>0.98887535739800203</v>
      </c>
      <c r="U182" s="300"/>
      <c r="V182" s="4" t="s">
        <v>127</v>
      </c>
      <c r="W182" s="4">
        <f t="shared" si="77"/>
        <v>1.2908626625694963</v>
      </c>
      <c r="X182" s="4">
        <f t="shared" si="63"/>
        <v>4.4995970991136185E-3</v>
      </c>
      <c r="Y182" s="4">
        <f>MW_CaO</f>
        <v>5.6077400000000006E-2</v>
      </c>
      <c r="Z182" s="4">
        <f t="shared" si="78"/>
        <v>23.019303009224682</v>
      </c>
      <c r="AA182" s="4">
        <f>b_ch_CaO</f>
        <v>122.25799999999992</v>
      </c>
      <c r="AB182" s="4">
        <f t="shared" si="64"/>
        <v>3.4223124514341098E-8</v>
      </c>
      <c r="AC182" s="4">
        <f t="shared" si="79"/>
        <v>-17.190364265977827</v>
      </c>
      <c r="AD182" s="4">
        <f t="shared" si="65"/>
        <v>-39.038786065779824</v>
      </c>
      <c r="AE182" s="4">
        <f t="shared" si="80"/>
        <v>83.219213934220107</v>
      </c>
      <c r="AF182" s="4">
        <f t="shared" si="81"/>
        <v>2.8480215204564044E-6</v>
      </c>
      <c r="AG182" s="4">
        <f t="shared" si="66"/>
        <v>1915.6483017413057</v>
      </c>
      <c r="AH182" s="4"/>
      <c r="AI182" s="4"/>
      <c r="AK182" s="141" t="s">
        <v>421</v>
      </c>
      <c r="AL182" s="138">
        <f>AY180/(AG176+AL160)</f>
        <v>0.98201456913590202</v>
      </c>
      <c r="AM182" s="300"/>
      <c r="AN182" s="4" t="s">
        <v>127</v>
      </c>
      <c r="AO182" s="4">
        <f t="shared" ref="AO182:AO186" si="92">BY192</f>
        <v>1.2908626625694963</v>
      </c>
      <c r="AP182" s="4">
        <f t="shared" si="67"/>
        <v>4.4995970991136185E-3</v>
      </c>
      <c r="AQ182" s="4">
        <f>MW_CaO</f>
        <v>5.6077400000000006E-2</v>
      </c>
      <c r="AR182" s="4">
        <f t="shared" si="82"/>
        <v>23.019303009224682</v>
      </c>
      <c r="AS182" s="4">
        <f>b_ch_CaO</f>
        <v>122.25799999999992</v>
      </c>
      <c r="AT182" s="4">
        <f t="shared" si="68"/>
        <v>3.4223124514341098E-8</v>
      </c>
      <c r="AU182" s="4">
        <f t="shared" si="83"/>
        <v>-17.190364265977827</v>
      </c>
      <c r="AV182" s="4">
        <f t="shared" si="69"/>
        <v>-39.038786065779824</v>
      </c>
      <c r="AW182" s="4">
        <f t="shared" si="84"/>
        <v>83.219213934220107</v>
      </c>
      <c r="AX182" s="4">
        <f t="shared" si="85"/>
        <v>2.8480215204564044E-6</v>
      </c>
      <c r="AY182" s="4">
        <f t="shared" si="70"/>
        <v>1915.6483017413057</v>
      </c>
      <c r="AZ182" s="4"/>
      <c r="BA182" s="4"/>
      <c r="BC182" s="141" t="s">
        <v>421</v>
      </c>
      <c r="BD182" s="138">
        <f>BQ180/(BC165+AY176)</f>
        <v>0.99704825088683868</v>
      </c>
      <c r="BE182" s="300"/>
      <c r="BF182" s="4" t="s">
        <v>127</v>
      </c>
      <c r="BG182" s="357">
        <f t="shared" ref="BG182:BG186" si="93">AO182</f>
        <v>1.2908626625694963</v>
      </c>
      <c r="BH182" s="357">
        <f t="shared" si="86"/>
        <v>4.4995970991136185E-3</v>
      </c>
      <c r="BI182" s="357">
        <f>MW_CaO</f>
        <v>5.6077400000000006E-2</v>
      </c>
      <c r="BJ182" s="357">
        <f t="shared" si="87"/>
        <v>23.019303009224682</v>
      </c>
      <c r="BK182" s="357">
        <f>b_ch_CaO</f>
        <v>122.25799999999992</v>
      </c>
      <c r="BL182" s="357">
        <f t="shared" si="88"/>
        <v>3.4223124514341098E-8</v>
      </c>
      <c r="BM182" s="4">
        <f t="shared" si="89"/>
        <v>-17.190364265977827</v>
      </c>
      <c r="BN182" s="4">
        <f t="shared" si="71"/>
        <v>-39.038786065779824</v>
      </c>
      <c r="BO182" s="4">
        <f t="shared" si="90"/>
        <v>83.219213934220107</v>
      </c>
      <c r="BP182" s="4">
        <f t="shared" si="91"/>
        <v>2.8480215204564044E-6</v>
      </c>
      <c r="BQ182" s="357">
        <f t="shared" ref="BQ181:BQ186" si="94">BP182*$BJ$187</f>
        <v>1915.6483017413057</v>
      </c>
      <c r="BR182" s="4"/>
      <c r="BS182" s="4"/>
      <c r="BU182" s="141" t="s">
        <v>421</v>
      </c>
      <c r="BV182" s="138">
        <f>CI176/(BW165+BQ176+BQ195+BQ212)</f>
        <v>0.65650751162010967</v>
      </c>
      <c r="BW182" s="4"/>
      <c r="BY182" s="1" t="s">
        <v>93</v>
      </c>
      <c r="BZ182" s="1"/>
      <c r="CA182" s="3" t="s">
        <v>95</v>
      </c>
      <c r="CB182" s="3" t="s">
        <v>91</v>
      </c>
      <c r="CC182" s="4"/>
      <c r="CD182" s="4"/>
      <c r="CH182" s="3" t="s">
        <v>100</v>
      </c>
      <c r="CI182" s="1" t="s">
        <v>97</v>
      </c>
    </row>
    <row r="183" spans="2:87" x14ac:dyDescent="0.2">
      <c r="B183" s="300"/>
      <c r="C183" s="4" t="s">
        <v>183</v>
      </c>
      <c r="D183" s="4">
        <f t="shared" si="72"/>
        <v>0.22932230681750362</v>
      </c>
      <c r="E183" s="4">
        <f t="shared" si="59"/>
        <v>7.993553585817889E-4</v>
      </c>
      <c r="F183" s="4">
        <f>MW_MgO</f>
        <v>4.0304400000000004E-2</v>
      </c>
      <c r="G183" s="4">
        <f t="shared" si="73"/>
        <v>5.6897586074350093</v>
      </c>
      <c r="H183" s="4">
        <f>b_ch_MgO</f>
        <v>62.576000000000022</v>
      </c>
      <c r="I183" s="4">
        <f t="shared" si="60"/>
        <v>8.4590448807576987E-9</v>
      </c>
      <c r="J183" s="4">
        <f t="shared" si="74"/>
        <v>-18.58802956795736</v>
      </c>
      <c r="K183" s="4">
        <f t="shared" si="61"/>
        <v>-42.212840778717514</v>
      </c>
      <c r="L183" s="4">
        <f t="shared" si="75"/>
        <v>20.363159221282508</v>
      </c>
      <c r="M183" s="4">
        <f t="shared" si="76"/>
        <v>1.7225287776684373E-7</v>
      </c>
      <c r="N183" s="4">
        <f t="shared" si="62"/>
        <v>115.86146045386175</v>
      </c>
      <c r="O183" s="4"/>
      <c r="P183" s="4"/>
      <c r="Q183" s="4"/>
      <c r="R183" s="4"/>
      <c r="S183" s="4"/>
      <c r="T183" s="4"/>
      <c r="U183" s="300"/>
      <c r="V183" s="4" t="s">
        <v>183</v>
      </c>
      <c r="W183" s="4">
        <f t="shared" si="77"/>
        <v>0.22932230681750362</v>
      </c>
      <c r="X183" s="4">
        <f t="shared" si="63"/>
        <v>7.993553585817889E-4</v>
      </c>
      <c r="Y183" s="4">
        <f>MW_MgO</f>
        <v>4.0304400000000004E-2</v>
      </c>
      <c r="Z183" s="4">
        <f t="shared" si="78"/>
        <v>5.6897586074350093</v>
      </c>
      <c r="AA183" s="4">
        <f>b_ch_MgO</f>
        <v>62.576000000000022</v>
      </c>
      <c r="AB183" s="4">
        <f t="shared" si="64"/>
        <v>8.4590448807576987E-9</v>
      </c>
      <c r="AC183" s="4">
        <f t="shared" si="79"/>
        <v>-18.58802956795736</v>
      </c>
      <c r="AD183" s="4">
        <f t="shared" si="65"/>
        <v>-42.212840778717514</v>
      </c>
      <c r="AE183" s="4">
        <f t="shared" si="80"/>
        <v>20.363159221282508</v>
      </c>
      <c r="AF183" s="4">
        <f t="shared" si="81"/>
        <v>1.7225287776684373E-7</v>
      </c>
      <c r="AG183" s="4">
        <f t="shared" si="66"/>
        <v>115.86146045386175</v>
      </c>
      <c r="AH183" s="4"/>
      <c r="AI183" s="4"/>
      <c r="AK183" s="4"/>
      <c r="AL183" s="4"/>
      <c r="AM183" s="300"/>
      <c r="AN183" s="4" t="s">
        <v>183</v>
      </c>
      <c r="AO183" s="4">
        <f t="shared" si="92"/>
        <v>0.22932230681750362</v>
      </c>
      <c r="AP183" s="4">
        <f t="shared" si="67"/>
        <v>7.993553585817889E-4</v>
      </c>
      <c r="AQ183" s="4">
        <f>MW_MgO</f>
        <v>4.0304400000000004E-2</v>
      </c>
      <c r="AR183" s="4">
        <f t="shared" si="82"/>
        <v>5.6897586074350093</v>
      </c>
      <c r="AS183" s="4">
        <f>b_ch_MgO</f>
        <v>62.576000000000022</v>
      </c>
      <c r="AT183" s="4">
        <f t="shared" si="68"/>
        <v>8.4590448807576987E-9</v>
      </c>
      <c r="AU183" s="4">
        <f t="shared" si="83"/>
        <v>-18.58802956795736</v>
      </c>
      <c r="AV183" s="4">
        <f t="shared" si="69"/>
        <v>-42.212840778717514</v>
      </c>
      <c r="AW183" s="4">
        <f t="shared" si="84"/>
        <v>20.363159221282508</v>
      </c>
      <c r="AX183" s="4">
        <f t="shared" si="85"/>
        <v>1.7225287776684373E-7</v>
      </c>
      <c r="AY183" s="4">
        <f t="shared" si="70"/>
        <v>115.86146045386175</v>
      </c>
      <c r="AZ183" s="4"/>
      <c r="BA183" s="4"/>
      <c r="BB183" s="4"/>
      <c r="BC183" s="4"/>
      <c r="BD183" s="4"/>
      <c r="BE183" s="300"/>
      <c r="BF183" s="4" t="s">
        <v>183</v>
      </c>
      <c r="BG183" s="357">
        <f t="shared" si="93"/>
        <v>0.22932230681750362</v>
      </c>
      <c r="BH183" s="357">
        <f t="shared" si="86"/>
        <v>7.993553585817889E-4</v>
      </c>
      <c r="BI183" s="357">
        <f>MW_MgO</f>
        <v>4.0304400000000004E-2</v>
      </c>
      <c r="BJ183" s="357">
        <f t="shared" si="87"/>
        <v>5.6897586074350093</v>
      </c>
      <c r="BK183" s="357">
        <f>b_ch_MgO</f>
        <v>62.576000000000022</v>
      </c>
      <c r="BL183" s="357">
        <f t="shared" si="88"/>
        <v>8.4590448807576987E-9</v>
      </c>
      <c r="BM183" s="4">
        <f t="shared" si="89"/>
        <v>-18.58802956795736</v>
      </c>
      <c r="BN183" s="4">
        <f t="shared" si="71"/>
        <v>-42.212840778717514</v>
      </c>
      <c r="BO183" s="4">
        <f t="shared" si="90"/>
        <v>20.363159221282508</v>
      </c>
      <c r="BP183" s="4">
        <f t="shared" si="91"/>
        <v>1.7225287776684373E-7</v>
      </c>
      <c r="BQ183" s="357">
        <f t="shared" si="94"/>
        <v>115.86146045386175</v>
      </c>
      <c r="BR183" s="4"/>
      <c r="BS183" s="4"/>
      <c r="CG183" s="4"/>
      <c r="CH183" s="4"/>
    </row>
    <row r="184" spans="2:87" ht="19" thickBot="1" x14ac:dyDescent="0.3">
      <c r="B184" s="300"/>
      <c r="C184" s="4" t="s">
        <v>312</v>
      </c>
      <c r="D184" s="4">
        <f t="shared" si="72"/>
        <v>7.0276190798912411E-2</v>
      </c>
      <c r="E184" s="4">
        <f t="shared" si="59"/>
        <v>2.4496373892022569E-4</v>
      </c>
      <c r="F184" s="4">
        <f>MW_Na2O</f>
        <v>6.1978936000000005E-2</v>
      </c>
      <c r="G184" s="4">
        <f t="shared" si="73"/>
        <v>1.1338721722959622</v>
      </c>
      <c r="H184" s="4">
        <f>b_ch_Na2O</f>
        <v>298.64000000000004</v>
      </c>
      <c r="I184" s="4">
        <f t="shared" si="60"/>
        <v>1.6857438524650673E-9</v>
      </c>
      <c r="J184" s="4">
        <f t="shared" si="74"/>
        <v>-20.201058915086001</v>
      </c>
      <c r="K184" s="4">
        <f t="shared" si="61"/>
        <v>-45.875980583439826</v>
      </c>
      <c r="L184" s="4">
        <f t="shared" si="75"/>
        <v>252.76401941656022</v>
      </c>
      <c r="M184" s="4">
        <f t="shared" si="76"/>
        <v>4.2609539185582731E-7</v>
      </c>
      <c r="N184" s="4">
        <f t="shared" si="62"/>
        <v>286.6020877741139</v>
      </c>
      <c r="O184" s="4"/>
      <c r="P184" s="4" t="s">
        <v>393</v>
      </c>
      <c r="Q184" s="1" t="s">
        <v>135</v>
      </c>
      <c r="R184" s="1" t="s">
        <v>286</v>
      </c>
      <c r="S184" s="1" t="s">
        <v>286</v>
      </c>
      <c r="T184" s="4"/>
      <c r="U184" s="300"/>
      <c r="V184" s="4" t="s">
        <v>312</v>
      </c>
      <c r="W184" s="4">
        <f t="shared" si="77"/>
        <v>7.0276190798912411E-2</v>
      </c>
      <c r="X184" s="4">
        <f t="shared" si="63"/>
        <v>2.4496373892022569E-4</v>
      </c>
      <c r="Y184" s="4">
        <f>MW_Na2O</f>
        <v>6.1978936000000005E-2</v>
      </c>
      <c r="Z184" s="4">
        <f t="shared" si="78"/>
        <v>1.1338721722959622</v>
      </c>
      <c r="AA184" s="4">
        <f>b_ch_Na2O</f>
        <v>298.64000000000004</v>
      </c>
      <c r="AB184" s="4">
        <f t="shared" si="64"/>
        <v>1.6857438524650673E-9</v>
      </c>
      <c r="AC184" s="4">
        <f t="shared" si="79"/>
        <v>-20.201058915086001</v>
      </c>
      <c r="AD184" s="4">
        <f t="shared" si="65"/>
        <v>-45.875980583439826</v>
      </c>
      <c r="AE184" s="4">
        <f t="shared" si="80"/>
        <v>252.76401941656022</v>
      </c>
      <c r="AF184" s="4">
        <f t="shared" si="81"/>
        <v>4.2609539185582731E-7</v>
      </c>
      <c r="AG184" s="4">
        <f t="shared" si="66"/>
        <v>286.6020877741139</v>
      </c>
      <c r="AH184" s="4"/>
      <c r="AI184" s="4"/>
      <c r="AJ184" s="4"/>
      <c r="AK184" s="4"/>
      <c r="AL184" s="4"/>
      <c r="AM184" s="300"/>
      <c r="AN184" s="4" t="s">
        <v>312</v>
      </c>
      <c r="AO184" s="4">
        <f t="shared" si="92"/>
        <v>7.0276190798912411E-2</v>
      </c>
      <c r="AP184" s="4">
        <f t="shared" si="67"/>
        <v>2.4496373892022569E-4</v>
      </c>
      <c r="AQ184" s="4">
        <f>MW_Na2O</f>
        <v>6.1978936000000005E-2</v>
      </c>
      <c r="AR184" s="4">
        <f t="shared" si="82"/>
        <v>1.1338721722959622</v>
      </c>
      <c r="AS184" s="4">
        <f>b_ch_Na2O</f>
        <v>298.64000000000004</v>
      </c>
      <c r="AT184" s="4">
        <f t="shared" si="68"/>
        <v>1.6857438524650673E-9</v>
      </c>
      <c r="AU184" s="4">
        <f t="shared" si="83"/>
        <v>-20.201058915086001</v>
      </c>
      <c r="AV184" s="4">
        <f t="shared" si="69"/>
        <v>-45.875980583439826</v>
      </c>
      <c r="AW184" s="4">
        <f t="shared" si="84"/>
        <v>252.76401941656022</v>
      </c>
      <c r="AX184" s="4">
        <f t="shared" si="85"/>
        <v>4.2609539185582731E-7</v>
      </c>
      <c r="AY184" s="4">
        <f t="shared" si="70"/>
        <v>286.6020877741139</v>
      </c>
      <c r="AZ184" s="4"/>
      <c r="BA184" s="4"/>
      <c r="BB184" s="4"/>
      <c r="BC184" s="4"/>
      <c r="BD184" s="4"/>
      <c r="BE184" s="300"/>
      <c r="BF184" s="4" t="s">
        <v>312</v>
      </c>
      <c r="BG184" s="357">
        <f t="shared" si="93"/>
        <v>7.0276190798912411E-2</v>
      </c>
      <c r="BH184" s="357">
        <f t="shared" si="86"/>
        <v>2.4496373892022569E-4</v>
      </c>
      <c r="BI184" s="357">
        <f>MW_Na2O</f>
        <v>6.1978936000000005E-2</v>
      </c>
      <c r="BJ184" s="357">
        <f t="shared" si="87"/>
        <v>1.1338721722959622</v>
      </c>
      <c r="BK184" s="357">
        <f>b_ch_Na2O</f>
        <v>298.64000000000004</v>
      </c>
      <c r="BL184" s="357">
        <f t="shared" si="88"/>
        <v>1.6857438524650673E-9</v>
      </c>
      <c r="BM184" s="4">
        <f t="shared" si="89"/>
        <v>-20.201058915086001</v>
      </c>
      <c r="BN184" s="4">
        <f t="shared" si="71"/>
        <v>-45.875980583439826</v>
      </c>
      <c r="BO184" s="4">
        <f t="shared" si="90"/>
        <v>252.76401941656022</v>
      </c>
      <c r="BP184" s="4">
        <f t="shared" si="91"/>
        <v>4.2609539185582731E-7</v>
      </c>
      <c r="BQ184" s="357">
        <f t="shared" si="94"/>
        <v>286.6020877741139</v>
      </c>
      <c r="BR184" s="4"/>
      <c r="BS184" s="4"/>
      <c r="CG184" s="4"/>
      <c r="CH184" s="4"/>
    </row>
    <row r="185" spans="2:87" ht="18" x14ac:dyDescent="0.25">
      <c r="B185" s="300"/>
      <c r="C185" s="1" t="s">
        <v>16</v>
      </c>
      <c r="D185" s="4">
        <f t="shared" si="72"/>
        <v>0.80262807386126278</v>
      </c>
      <c r="E185" s="4">
        <f t="shared" si="59"/>
        <v>2.7977437550362615E-3</v>
      </c>
      <c r="F185" s="4">
        <f>MW_Fe2O3</f>
        <v>0.1596882</v>
      </c>
      <c r="G185" s="4">
        <f t="shared" si="73"/>
        <v>5.0262203084590018</v>
      </c>
      <c r="H185" s="4">
        <f>b_ch_Fe2O3</f>
        <v>17.358400000000074</v>
      </c>
      <c r="I185" s="4">
        <f t="shared" si="60"/>
        <v>7.4725530735648428E-9</v>
      </c>
      <c r="J185" s="4">
        <f t="shared" si="74"/>
        <v>-18.712029119277801</v>
      </c>
      <c r="K185" s="4">
        <f t="shared" si="61"/>
        <v>-42.4944399281801</v>
      </c>
      <c r="L185" s="4">
        <f t="shared" si="75"/>
        <v>-25.136039928180026</v>
      </c>
      <c r="M185" s="4">
        <f t="shared" si="76"/>
        <v>-1.8783039242257026E-7</v>
      </c>
      <c r="N185" s="4">
        <f t="shared" si="62"/>
        <v>-126.33927436125479</v>
      </c>
      <c r="O185" s="4"/>
      <c r="P185" s="4" t="s">
        <v>43</v>
      </c>
      <c r="Q185" s="1" t="s">
        <v>92</v>
      </c>
      <c r="R185" s="4" t="s">
        <v>287</v>
      </c>
      <c r="S185" s="4" t="s">
        <v>287</v>
      </c>
      <c r="T185" s="16"/>
      <c r="U185" s="300"/>
      <c r="V185" s="1" t="s">
        <v>16</v>
      </c>
      <c r="W185" s="4">
        <f t="shared" si="77"/>
        <v>0.80262807386126278</v>
      </c>
      <c r="X185" s="4">
        <f t="shared" si="63"/>
        <v>2.7977437550362615E-3</v>
      </c>
      <c r="Y185" s="4">
        <f>MW_Fe2O3</f>
        <v>0.1596882</v>
      </c>
      <c r="Z185" s="4">
        <f t="shared" si="78"/>
        <v>5.0262203084590018</v>
      </c>
      <c r="AA185" s="4">
        <f>b_ch_Fe2O3</f>
        <v>17.358400000000074</v>
      </c>
      <c r="AB185" s="4">
        <f t="shared" si="64"/>
        <v>7.4725530735648428E-9</v>
      </c>
      <c r="AC185" s="4">
        <f t="shared" si="79"/>
        <v>-18.712029119277801</v>
      </c>
      <c r="AD185" s="4">
        <f t="shared" si="65"/>
        <v>-42.4944399281801</v>
      </c>
      <c r="AE185" s="4">
        <f t="shared" si="80"/>
        <v>-25.136039928180026</v>
      </c>
      <c r="AF185" s="4">
        <f t="shared" si="81"/>
        <v>-1.8783039242257026E-7</v>
      </c>
      <c r="AG185" s="4">
        <f t="shared" si="66"/>
        <v>-126.33927436125479</v>
      </c>
      <c r="AH185" s="4"/>
      <c r="AI185" s="4"/>
      <c r="AJ185" s="4"/>
      <c r="AK185" s="4"/>
      <c r="AL185" s="4"/>
      <c r="AM185" s="300"/>
      <c r="AN185" s="1" t="s">
        <v>16</v>
      </c>
      <c r="AO185" s="4">
        <f t="shared" si="92"/>
        <v>0.80262807386126278</v>
      </c>
      <c r="AP185" s="4">
        <f t="shared" si="67"/>
        <v>2.7977437550362615E-3</v>
      </c>
      <c r="AQ185" s="4">
        <f>MW_Fe2O3</f>
        <v>0.1596882</v>
      </c>
      <c r="AR185" s="4">
        <f t="shared" si="82"/>
        <v>5.0262203084590018</v>
      </c>
      <c r="AS185" s="4">
        <f>b_ch_Fe2O3</f>
        <v>17.358400000000074</v>
      </c>
      <c r="AT185" s="4">
        <f t="shared" si="68"/>
        <v>7.4725530735648428E-9</v>
      </c>
      <c r="AU185" s="4">
        <f t="shared" si="83"/>
        <v>-18.712029119277801</v>
      </c>
      <c r="AV185" s="4">
        <f t="shared" si="69"/>
        <v>-42.4944399281801</v>
      </c>
      <c r="AW185" s="4">
        <f t="shared" si="84"/>
        <v>-25.136039928180026</v>
      </c>
      <c r="AX185" s="4">
        <f t="shared" si="85"/>
        <v>-1.8783039242257026E-7</v>
      </c>
      <c r="AY185" s="4">
        <f t="shared" si="70"/>
        <v>-126.33927436125479</v>
      </c>
      <c r="AZ185" s="4"/>
      <c r="BA185" s="4"/>
      <c r="BB185" s="4"/>
      <c r="BC185" s="4"/>
      <c r="BD185" s="4"/>
      <c r="BE185" s="300"/>
      <c r="BF185" s="1" t="s">
        <v>16</v>
      </c>
      <c r="BG185" s="357">
        <f t="shared" si="93"/>
        <v>0.80262807386126278</v>
      </c>
      <c r="BH185" s="357">
        <f t="shared" si="86"/>
        <v>2.7977437550362615E-3</v>
      </c>
      <c r="BI185" s="357">
        <f>MW_Fe2O3</f>
        <v>0.1596882</v>
      </c>
      <c r="BJ185" s="357">
        <f t="shared" si="87"/>
        <v>5.0262203084590018</v>
      </c>
      <c r="BK185" s="357">
        <f>b_ch_Fe2O3</f>
        <v>17.358400000000074</v>
      </c>
      <c r="BL185" s="357">
        <f t="shared" si="88"/>
        <v>7.4725530735648428E-9</v>
      </c>
      <c r="BM185" s="4">
        <f t="shared" si="89"/>
        <v>-18.712029119277801</v>
      </c>
      <c r="BN185" s="4">
        <f t="shared" si="71"/>
        <v>-42.4944399281801</v>
      </c>
      <c r="BO185" s="4">
        <f t="shared" si="90"/>
        <v>-25.136039928180026</v>
      </c>
      <c r="BP185" s="4">
        <f t="shared" si="91"/>
        <v>-1.8783039242257026E-7</v>
      </c>
      <c r="BQ185" s="357">
        <f t="shared" si="94"/>
        <v>-126.33927436125479</v>
      </c>
      <c r="BR185" s="4"/>
      <c r="BS185" s="4"/>
      <c r="CG185" s="4"/>
      <c r="CH185" s="63" t="s">
        <v>1</v>
      </c>
      <c r="CI185" s="58" t="s">
        <v>0</v>
      </c>
    </row>
    <row r="186" spans="2:87" ht="18.5" customHeight="1" x14ac:dyDescent="0.25">
      <c r="B186" s="300"/>
      <c r="C186" s="1" t="s">
        <v>18</v>
      </c>
      <c r="D186" s="4">
        <f t="shared" si="72"/>
        <v>9.2172772353099859</v>
      </c>
      <c r="E186" s="4">
        <f t="shared" si="59"/>
        <v>3.2128928283642229E-2</v>
      </c>
      <c r="F186" s="3">
        <f>MW_SIO2</f>
        <v>6.00843E-2</v>
      </c>
      <c r="G186" s="4">
        <f t="shared" si="73"/>
        <v>153.40575217336286</v>
      </c>
      <c r="H186" s="3">
        <f>b_ch_SiO2</f>
        <v>1.5260000000000673</v>
      </c>
      <c r="I186" s="4">
        <f t="shared" si="60"/>
        <v>2.2807050916099724E-7</v>
      </c>
      <c r="J186" s="4">
        <f t="shared" si="74"/>
        <v>-15.293611005093986</v>
      </c>
      <c r="K186" s="4">
        <f t="shared" si="61"/>
        <v>-34.731318019988386</v>
      </c>
      <c r="L186" s="4">
        <f t="shared" si="75"/>
        <v>-33.205318019988319</v>
      </c>
      <c r="M186" s="4">
        <f t="shared" si="76"/>
        <v>-7.5731537876715726E-6</v>
      </c>
      <c r="N186" s="4">
        <f t="shared" si="62"/>
        <v>-5093.8867870120275</v>
      </c>
      <c r="O186" s="300" t="s">
        <v>393</v>
      </c>
      <c r="P186" s="62" t="s">
        <v>311</v>
      </c>
      <c r="Q186" s="62">
        <f>$Q$192*R186</f>
        <v>16.732655961692366</v>
      </c>
      <c r="R186" s="173">
        <v>0.3715</v>
      </c>
      <c r="S186" s="173">
        <v>0.37219999999999998</v>
      </c>
      <c r="U186" s="300"/>
      <c r="V186" s="1" t="s">
        <v>18</v>
      </c>
      <c r="W186" s="4">
        <f t="shared" si="77"/>
        <v>9.2172772353099859</v>
      </c>
      <c r="X186" s="4">
        <f t="shared" si="63"/>
        <v>3.2128928283642229E-2</v>
      </c>
      <c r="Y186" s="3">
        <f>MW_SIO2</f>
        <v>6.00843E-2</v>
      </c>
      <c r="Z186" s="4">
        <f t="shared" si="78"/>
        <v>153.40575217336286</v>
      </c>
      <c r="AA186" s="3">
        <f>b_ch_SiO2</f>
        <v>1.5260000000000673</v>
      </c>
      <c r="AB186" s="4">
        <f t="shared" si="64"/>
        <v>2.2807050916099724E-7</v>
      </c>
      <c r="AC186" s="4">
        <f t="shared" si="79"/>
        <v>-15.293611005093986</v>
      </c>
      <c r="AD186" s="4">
        <f t="shared" si="65"/>
        <v>-34.731318019988386</v>
      </c>
      <c r="AE186" s="4">
        <f t="shared" si="80"/>
        <v>-33.205318019988319</v>
      </c>
      <c r="AF186" s="4">
        <f t="shared" si="81"/>
        <v>-7.5731537876715726E-6</v>
      </c>
      <c r="AG186" s="4">
        <f t="shared" si="66"/>
        <v>-5093.8867870120275</v>
      </c>
      <c r="AH186" s="4"/>
      <c r="AI186" s="4"/>
      <c r="AJ186" s="4"/>
      <c r="AK186" s="4"/>
      <c r="AL186" s="4"/>
      <c r="AM186" s="300"/>
      <c r="AN186" s="1" t="s">
        <v>18</v>
      </c>
      <c r="AO186" s="4">
        <f t="shared" si="92"/>
        <v>9.2172772353099859</v>
      </c>
      <c r="AP186" s="4">
        <f t="shared" si="67"/>
        <v>3.2128928283642229E-2</v>
      </c>
      <c r="AQ186" s="3">
        <f>MW_SIO2</f>
        <v>6.00843E-2</v>
      </c>
      <c r="AR186" s="4">
        <f t="shared" si="82"/>
        <v>153.40575217336286</v>
      </c>
      <c r="AS186" s="3">
        <f>b_ch_SiO2</f>
        <v>1.5260000000000673</v>
      </c>
      <c r="AT186" s="4">
        <f t="shared" si="68"/>
        <v>2.2807050916099724E-7</v>
      </c>
      <c r="AU186" s="4">
        <f t="shared" si="83"/>
        <v>-15.293611005093986</v>
      </c>
      <c r="AV186" s="4">
        <f t="shared" si="69"/>
        <v>-34.731318019988386</v>
      </c>
      <c r="AW186" s="4">
        <f t="shared" si="84"/>
        <v>-33.205318019988319</v>
      </c>
      <c r="AX186" s="4">
        <f t="shared" si="85"/>
        <v>-7.5731537876715726E-6</v>
      </c>
      <c r="AY186" s="4">
        <f t="shared" si="70"/>
        <v>-5093.8867870120275</v>
      </c>
      <c r="AZ186" s="4"/>
      <c r="BA186" s="4"/>
      <c r="BB186" s="4"/>
      <c r="BC186" s="4"/>
      <c r="BD186" s="4"/>
      <c r="BE186" s="300"/>
      <c r="BF186" s="1" t="s">
        <v>18</v>
      </c>
      <c r="BG186" s="357">
        <f t="shared" si="93"/>
        <v>9.2172772353099859</v>
      </c>
      <c r="BH186" s="357">
        <f t="shared" si="86"/>
        <v>3.2128928283642229E-2</v>
      </c>
      <c r="BI186" s="3">
        <f>MW_SIO2</f>
        <v>6.00843E-2</v>
      </c>
      <c r="BJ186" s="4">
        <f t="shared" si="87"/>
        <v>153.40575217336286</v>
      </c>
      <c r="BK186" s="3">
        <f>b_ch_SiO2</f>
        <v>1.5260000000000673</v>
      </c>
      <c r="BL186" s="357">
        <f t="shared" si="88"/>
        <v>2.2807050916099724E-7</v>
      </c>
      <c r="BM186" s="4">
        <f t="shared" si="89"/>
        <v>-15.293611005093986</v>
      </c>
      <c r="BN186" s="4">
        <f t="shared" si="71"/>
        <v>-34.731318019988386</v>
      </c>
      <c r="BO186" s="4">
        <f t="shared" si="90"/>
        <v>-33.205318019988319</v>
      </c>
      <c r="BP186" s="4">
        <f t="shared" si="91"/>
        <v>-7.5731537876715726E-6</v>
      </c>
      <c r="BQ186" s="357">
        <f t="shared" si="94"/>
        <v>-5093.8867870120275</v>
      </c>
      <c r="BR186" s="4"/>
      <c r="BS186" s="4"/>
      <c r="CG186" s="4"/>
      <c r="CH186" s="65" t="s">
        <v>93</v>
      </c>
      <c r="CI186" s="64" t="s">
        <v>97</v>
      </c>
    </row>
    <row r="187" spans="2:87" ht="16" thickBot="1" x14ac:dyDescent="0.25">
      <c r="C187" s="62" t="s">
        <v>20</v>
      </c>
      <c r="D187" s="62">
        <f>SUM(D180:D186)</f>
        <v>286.88405520213911</v>
      </c>
      <c r="E187" s="17"/>
      <c r="F187" s="62">
        <f>SUM(F180:F186)</f>
        <v>0.48009451399999997</v>
      </c>
      <c r="G187" s="62">
        <f>SUM(G180:G186)</f>
        <v>672624236.85419238</v>
      </c>
      <c r="H187" s="17"/>
      <c r="I187" s="62">
        <f>SUM(I180:I186)</f>
        <v>1</v>
      </c>
      <c r="J187" s="17"/>
      <c r="K187" s="17"/>
      <c r="L187" s="17"/>
      <c r="M187" s="62">
        <f>SUM(M180:M186)</f>
        <v>1.2742409241613642E-2</v>
      </c>
      <c r="N187" s="62">
        <f>SUM(N180:N186)</f>
        <v>8570853.2918241844</v>
      </c>
      <c r="O187" s="300"/>
      <c r="P187" s="4" t="s">
        <v>127</v>
      </c>
      <c r="Q187" s="4">
        <f t="shared" ref="Q187:Q191" si="95">$Q$192*R187</f>
        <v>3.143847607338162</v>
      </c>
      <c r="R187" s="4">
        <v>6.9800000000000001E-2</v>
      </c>
      <c r="S187" s="4">
        <f>R187</f>
        <v>6.9800000000000001E-2</v>
      </c>
      <c r="V187" s="62" t="s">
        <v>20</v>
      </c>
      <c r="W187" s="62">
        <f>SUM(W180:W186)</f>
        <v>286.88405520213911</v>
      </c>
      <c r="X187" s="17"/>
      <c r="Y187" s="62">
        <f>SUM(Y180:Y186)</f>
        <v>0.48009451399999997</v>
      </c>
      <c r="Z187" s="62">
        <f>SUM(Z180:Z186)</f>
        <v>672624236.85419238</v>
      </c>
      <c r="AA187" s="17"/>
      <c r="AB187" s="62">
        <f>SUM(AB180:AB186)</f>
        <v>1</v>
      </c>
      <c r="AC187" s="17"/>
      <c r="AD187" s="17"/>
      <c r="AE187" s="17"/>
      <c r="AF187" s="62">
        <f>SUM(AF180:AF186)</f>
        <v>1.2742409241613642E-2</v>
      </c>
      <c r="AG187" s="62">
        <f>SUM(AG180:AG186)</f>
        <v>8570853.2918241844</v>
      </c>
      <c r="AH187" s="4"/>
      <c r="AI187" s="4"/>
      <c r="AJ187" s="4"/>
      <c r="AK187" s="4"/>
      <c r="AL187" s="4"/>
      <c r="AM187" s="4"/>
      <c r="AN187" s="62" t="s">
        <v>20</v>
      </c>
      <c r="AO187" s="62">
        <f>SUM(AO180:AO186)</f>
        <v>286.88405520213911</v>
      </c>
      <c r="AP187" s="17"/>
      <c r="AQ187" s="62">
        <f>SUM(AQ180:AQ186)</f>
        <v>0.48009451399999997</v>
      </c>
      <c r="AR187" s="62">
        <f>SUM(AR180:AR186)</f>
        <v>672624236.85419238</v>
      </c>
      <c r="AS187" s="17"/>
      <c r="AT187" s="62">
        <f>SUM(AT180:AT186)</f>
        <v>1</v>
      </c>
      <c r="AU187" s="17"/>
      <c r="AV187" s="17"/>
      <c r="AW187" s="17"/>
      <c r="AX187" s="62">
        <f>SUM(AX180:AX186)</f>
        <v>1.2742409241613642E-2</v>
      </c>
      <c r="AY187" s="62">
        <f>SUM(AY180:AY186)</f>
        <v>8570853.2918241844</v>
      </c>
      <c r="AZ187" s="357"/>
      <c r="BA187" s="357"/>
      <c r="BB187" s="357"/>
      <c r="BC187" s="357"/>
      <c r="BD187" s="357"/>
      <c r="BE187" s="4"/>
      <c r="BF187" s="62" t="s">
        <v>20</v>
      </c>
      <c r="BG187" s="62">
        <f>SUM(BG180:BG186)</f>
        <v>286.88405520213911</v>
      </c>
      <c r="BH187" s="62">
        <f>SUM(BH180:BH186)</f>
        <v>1</v>
      </c>
      <c r="BI187" s="62">
        <f>SUM(BI180:BI186)</f>
        <v>0.48009451399999997</v>
      </c>
      <c r="BJ187" s="62">
        <f>SUM(BJ180:BJ186)</f>
        <v>672624236.85419238</v>
      </c>
      <c r="BK187" s="17"/>
      <c r="BL187" s="62">
        <f>SUM(BL180:BL186)</f>
        <v>1</v>
      </c>
      <c r="BM187" s="17"/>
      <c r="BN187" s="17"/>
      <c r="BO187" s="17"/>
      <c r="BP187" s="62">
        <f>SUM(BP180:BP186)</f>
        <v>1.2742409241613642E-2</v>
      </c>
      <c r="BQ187" s="62">
        <f>SUM(BQ180:BQ186)</f>
        <v>8570853.2918241844</v>
      </c>
      <c r="BR187" s="4"/>
      <c r="BS187" s="4"/>
      <c r="CG187" s="4"/>
      <c r="CH187" s="50">
        <f>BY197</f>
        <v>18.493734420766422</v>
      </c>
      <c r="CI187" s="48">
        <f>CI197</f>
        <v>5366.0434241372932</v>
      </c>
    </row>
    <row r="188" spans="2:87" ht="18" customHeight="1" x14ac:dyDescent="0.25">
      <c r="O188" s="300"/>
      <c r="P188" s="4" t="s">
        <v>183</v>
      </c>
      <c r="Q188" s="4">
        <f t="shared" si="95"/>
        <v>0.55850587866752444</v>
      </c>
      <c r="R188" s="4">
        <v>1.24E-2</v>
      </c>
      <c r="S188" s="4">
        <f t="shared" ref="S188:S191" si="96">R188</f>
        <v>1.24E-2</v>
      </c>
      <c r="W188" s="1" t="s">
        <v>93</v>
      </c>
      <c r="X188" s="1"/>
      <c r="Y188" s="3" t="s">
        <v>95</v>
      </c>
      <c r="Z188" s="3" t="s">
        <v>91</v>
      </c>
      <c r="AA188" s="4"/>
      <c r="AB188" s="4"/>
      <c r="AF188" s="3" t="s">
        <v>100</v>
      </c>
      <c r="AG188" s="1" t="s">
        <v>97</v>
      </c>
      <c r="AI188" s="4"/>
      <c r="AJ188" s="4"/>
      <c r="AK188" s="4"/>
      <c r="AL188" s="4"/>
      <c r="AM188" s="4"/>
      <c r="AO188" s="1" t="s">
        <v>93</v>
      </c>
      <c r="AP188" s="1"/>
      <c r="AQ188" s="3" t="s">
        <v>95</v>
      </c>
      <c r="AR188" s="3" t="s">
        <v>91</v>
      </c>
      <c r="AS188" s="4"/>
      <c r="AT188" s="4"/>
      <c r="AX188" s="3" t="s">
        <v>100</v>
      </c>
      <c r="AY188" s="1" t="s">
        <v>97</v>
      </c>
      <c r="AZ188" s="1"/>
      <c r="BA188" s="1"/>
      <c r="BB188" s="1"/>
      <c r="BC188" s="1"/>
      <c r="BD188" s="1"/>
      <c r="BE188" s="4"/>
      <c r="BG188" s="1" t="s">
        <v>93</v>
      </c>
      <c r="BH188" s="1"/>
      <c r="BI188" s="3" t="s">
        <v>95</v>
      </c>
      <c r="BJ188" s="3" t="s">
        <v>91</v>
      </c>
      <c r="BK188" s="4"/>
      <c r="BL188" s="4"/>
      <c r="BP188" s="3" t="s">
        <v>100</v>
      </c>
      <c r="BQ188" s="1" t="s">
        <v>97</v>
      </c>
      <c r="BR188" s="4"/>
      <c r="BS188" s="4"/>
      <c r="CG188" s="4"/>
      <c r="CH188" s="4"/>
    </row>
    <row r="189" spans="2:87" ht="18" x14ac:dyDescent="0.25">
      <c r="O189" s="300"/>
      <c r="P189" s="4" t="s">
        <v>312</v>
      </c>
      <c r="Q189" s="4">
        <f t="shared" si="95"/>
        <v>0.17115502733359619</v>
      </c>
      <c r="R189" s="4">
        <v>3.8E-3</v>
      </c>
      <c r="S189" s="4">
        <f t="shared" si="96"/>
        <v>3.8E-3</v>
      </c>
      <c r="AH189" s="4"/>
      <c r="AI189" s="4"/>
      <c r="AJ189" s="4"/>
      <c r="AK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X189" s="4"/>
      <c r="BY189" s="3" t="s">
        <v>1</v>
      </c>
      <c r="BZ189" s="3" t="s">
        <v>49</v>
      </c>
      <c r="CA189" s="3" t="s">
        <v>5</v>
      </c>
      <c r="CB189" s="3" t="s">
        <v>376</v>
      </c>
      <c r="CC189" s="1" t="s">
        <v>136</v>
      </c>
      <c r="CD189" s="1" t="s">
        <v>133</v>
      </c>
      <c r="CE189" s="1" t="s">
        <v>9</v>
      </c>
      <c r="CF189" s="1" t="s">
        <v>137</v>
      </c>
      <c r="CG189" s="1" t="s">
        <v>138</v>
      </c>
      <c r="CH189" s="1" t="s">
        <v>139</v>
      </c>
      <c r="CI189" s="1" t="s">
        <v>140</v>
      </c>
    </row>
    <row r="190" spans="2:87" ht="18" x14ac:dyDescent="0.25">
      <c r="O190" s="300"/>
      <c r="P190" s="1" t="s">
        <v>16</v>
      </c>
      <c r="Q190" s="4">
        <f t="shared" si="95"/>
        <v>1.9547705753363356</v>
      </c>
      <c r="R190" s="4">
        <v>4.3400000000000001E-2</v>
      </c>
      <c r="S190" s="4">
        <f t="shared" si="96"/>
        <v>4.3400000000000001E-2</v>
      </c>
      <c r="AH190" s="4"/>
      <c r="AI190" s="4"/>
      <c r="AJ190" s="4"/>
      <c r="AK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X190" s="4" t="s">
        <v>43</v>
      </c>
      <c r="BY190" s="1" t="s">
        <v>92</v>
      </c>
      <c r="BZ190" s="4" t="s">
        <v>287</v>
      </c>
      <c r="CA190" s="1" t="s">
        <v>94</v>
      </c>
      <c r="CB190" s="1" t="s">
        <v>90</v>
      </c>
      <c r="CC190" s="1" t="s">
        <v>99</v>
      </c>
      <c r="CD190" s="1" t="s">
        <v>27</v>
      </c>
      <c r="CE190" s="1" t="s">
        <v>102</v>
      </c>
      <c r="CF190" s="1" t="s">
        <v>99</v>
      </c>
      <c r="CG190" s="1" t="s">
        <v>99</v>
      </c>
      <c r="CH190" s="1" t="s">
        <v>98</v>
      </c>
      <c r="CI190" s="1" t="s">
        <v>96</v>
      </c>
    </row>
    <row r="191" spans="2:87" ht="18" customHeight="1" x14ac:dyDescent="0.25">
      <c r="O191" s="300"/>
      <c r="P191" s="1" t="s">
        <v>18</v>
      </c>
      <c r="Q191" s="4">
        <f t="shared" si="95"/>
        <v>22.448333058701145</v>
      </c>
      <c r="R191" s="4">
        <v>0.49840000000000001</v>
      </c>
      <c r="S191" s="4">
        <f t="shared" si="96"/>
        <v>0.49840000000000001</v>
      </c>
      <c r="AI191" s="4"/>
      <c r="BW191" s="348" t="s">
        <v>393</v>
      </c>
      <c r="BX191" s="62" t="s">
        <v>311</v>
      </c>
      <c r="BY191" s="62">
        <f>S186*$BY$197</f>
        <v>6.8833679514092623</v>
      </c>
      <c r="BZ191" s="62">
        <f>BY191/$BY$197</f>
        <v>0.37219999999999998</v>
      </c>
      <c r="CA191" s="62">
        <f>MW_Al2O3</f>
        <v>0.10196127799999999</v>
      </c>
      <c r="CB191" s="62">
        <f t="shared" ref="CB191:CB196" si="97">BY191/CA191</f>
        <v>67.509628031626505</v>
      </c>
      <c r="CC191" s="62">
        <f>b_ch_Al2O3</f>
        <v>31.875999999999976</v>
      </c>
      <c r="CD191" s="62">
        <f t="shared" ref="CD191:CD196" si="98">CB191/$CB$197</f>
        <v>0.26393162595128805</v>
      </c>
      <c r="CE191" s="62">
        <f t="shared" ref="CE191:CE196" si="99">LN(CD191)</f>
        <v>-1.3320652019889558</v>
      </c>
      <c r="CF191" s="62">
        <f t="shared" ref="CF191:CF196" si="100">RT0*CE191</f>
        <v>-3.0250789129021771</v>
      </c>
      <c r="CG191" s="62">
        <f t="shared" ref="CG191:CG196" si="101">CF191+CC191</f>
        <v>28.850921087097799</v>
      </c>
      <c r="CH191" s="62">
        <f t="shared" ref="CH191:CH195" si="102">CG191*CD191</f>
        <v>7.6146705127100249</v>
      </c>
      <c r="CI191" s="62">
        <f>CH191*$CB$197</f>
        <v>1947.7149509597818</v>
      </c>
    </row>
    <row r="192" spans="2:87" ht="16" thickBot="1" x14ac:dyDescent="0.25">
      <c r="P192" s="17" t="s">
        <v>20</v>
      </c>
      <c r="Q192" s="62">
        <f>($W$180*0.157)/$X$180</f>
        <v>45.040796666735844</v>
      </c>
      <c r="R192" s="17">
        <f>SUM(R186:R191)</f>
        <v>0.99930000000000008</v>
      </c>
      <c r="S192" s="17">
        <f>SUM(S186:S191)</f>
        <v>1</v>
      </c>
      <c r="BW192" s="348"/>
      <c r="BX192" s="4" t="s">
        <v>127</v>
      </c>
      <c r="BY192" s="4">
        <f>R187*$BY$197</f>
        <v>1.2908626625694963</v>
      </c>
      <c r="BZ192" s="4">
        <f t="shared" ref="BZ192:BZ196" si="103">BY192/$BY$197</f>
        <v>6.9800000000000001E-2</v>
      </c>
      <c r="CA192" s="4">
        <f>MW_CaO</f>
        <v>5.6077400000000006E-2</v>
      </c>
      <c r="CB192" s="4">
        <f t="shared" si="97"/>
        <v>23.019303009224682</v>
      </c>
      <c r="CC192" s="4">
        <f>b_ch_CaO</f>
        <v>122.25799999999992</v>
      </c>
      <c r="CD192" s="4">
        <f t="shared" si="98"/>
        <v>8.9994897744716112E-2</v>
      </c>
      <c r="CE192" s="4">
        <f t="shared" si="99"/>
        <v>-2.4080023019842853</v>
      </c>
      <c r="CF192" s="4">
        <f t="shared" si="100"/>
        <v>-5.4684988205351805</v>
      </c>
      <c r="CG192" s="4">
        <f t="shared" si="101"/>
        <v>116.78950117946475</v>
      </c>
      <c r="CH192" s="4">
        <f t="shared" si="102"/>
        <v>10.510459216302332</v>
      </c>
      <c r="CI192" s="4">
        <f t="shared" ref="CI191:CI196" si="104">CH192*$CB$197</f>
        <v>2688.4129159463023</v>
      </c>
    </row>
    <row r="193" spans="17:143" x14ac:dyDescent="0.2">
      <c r="AZ193" s="356"/>
      <c r="BA193" s="356"/>
      <c r="BB193" s="356"/>
      <c r="BC193" s="356"/>
      <c r="BD193" s="356"/>
      <c r="BP193" s="63" t="s">
        <v>1</v>
      </c>
      <c r="BQ193" s="58" t="s">
        <v>0</v>
      </c>
      <c r="BW193" s="348"/>
      <c r="BX193" s="4" t="s">
        <v>183</v>
      </c>
      <c r="BY193" s="4">
        <f>R188*$BY$197</f>
        <v>0.22932230681750362</v>
      </c>
      <c r="BZ193" s="4">
        <f t="shared" si="103"/>
        <v>1.24E-2</v>
      </c>
      <c r="CA193" s="4">
        <f>MW_MgO</f>
        <v>4.0304400000000004E-2</v>
      </c>
      <c r="CB193" s="4">
        <f t="shared" si="97"/>
        <v>5.6897586074350093</v>
      </c>
      <c r="CC193" s="4">
        <f>b_ch_MgO</f>
        <v>62.576000000000022</v>
      </c>
      <c r="CD193" s="4">
        <f t="shared" si="98"/>
        <v>2.2244341797101112E-2</v>
      </c>
      <c r="CE193" s="4">
        <f t="shared" si="99"/>
        <v>-3.8056676039638173</v>
      </c>
      <c r="CF193" s="4">
        <f t="shared" si="100"/>
        <v>-8.6425535334728654</v>
      </c>
      <c r="CG193" s="4">
        <f t="shared" si="101"/>
        <v>53.933446466527158</v>
      </c>
      <c r="CH193" s="4">
        <f t="shared" si="102"/>
        <v>1.1997140174970853</v>
      </c>
      <c r="CI193" s="4">
        <f t="shared" si="104"/>
        <v>306.86829126155817</v>
      </c>
    </row>
    <row r="194" spans="17:143" ht="18" x14ac:dyDescent="0.25">
      <c r="Q194" s="3" t="s">
        <v>314</v>
      </c>
      <c r="AZ194" s="350"/>
      <c r="BA194" s="350"/>
      <c r="BB194" s="350"/>
      <c r="BC194" s="350"/>
      <c r="BD194" s="350"/>
      <c r="BP194" s="65" t="s">
        <v>93</v>
      </c>
      <c r="BQ194" s="64" t="s">
        <v>97</v>
      </c>
      <c r="BW194" s="348"/>
      <c r="BX194" s="4" t="s">
        <v>312</v>
      </c>
      <c r="BY194" s="4">
        <f>R189*$BY$197</f>
        <v>7.0276190798912411E-2</v>
      </c>
      <c r="BZ194" s="4">
        <f t="shared" si="103"/>
        <v>3.8000000000000004E-3</v>
      </c>
      <c r="CA194" s="4">
        <f>MW_Na2O</f>
        <v>6.1978936000000005E-2</v>
      </c>
      <c r="CB194" s="4">
        <f t="shared" si="97"/>
        <v>1.1338721722959622</v>
      </c>
      <c r="CC194" s="4">
        <f>b_ch_Na2O</f>
        <v>298.64000000000004</v>
      </c>
      <c r="CD194" s="4">
        <f t="shared" si="98"/>
        <v>4.4329191965743692E-3</v>
      </c>
      <c r="CE194" s="4">
        <f t="shared" si="99"/>
        <v>-5.4186969510924596</v>
      </c>
      <c r="CF194" s="4">
        <f t="shared" si="100"/>
        <v>-12.305693338195185</v>
      </c>
      <c r="CG194" s="4">
        <f t="shared" si="101"/>
        <v>286.33430666180487</v>
      </c>
      <c r="CH194" s="4">
        <f t="shared" si="102"/>
        <v>1.269296844638927</v>
      </c>
      <c r="CI194" s="4">
        <f t="shared" si="104"/>
        <v>324.66650229747881</v>
      </c>
    </row>
    <row r="195" spans="17:143" ht="19" thickBot="1" x14ac:dyDescent="0.3">
      <c r="Q195" s="16" t="s">
        <v>313</v>
      </c>
      <c r="AZ195" s="351"/>
      <c r="BA195" s="351"/>
      <c r="BB195" s="351"/>
      <c r="BC195" s="351"/>
      <c r="BD195" s="351"/>
      <c r="BP195" s="50">
        <f>BG203</f>
        <v>10.437401363720047</v>
      </c>
      <c r="BQ195" s="48">
        <f>BQ203</f>
        <v>891683.71589033271</v>
      </c>
      <c r="BW195" s="348"/>
      <c r="BX195" s="1" t="s">
        <v>16</v>
      </c>
      <c r="BY195" s="4">
        <f>R190*$BY$197</f>
        <v>0.80262807386126278</v>
      </c>
      <c r="BZ195" s="4">
        <f t="shared" si="103"/>
        <v>4.3400000000000001E-2</v>
      </c>
      <c r="CA195" s="4">
        <f>MW_Fe2O3</f>
        <v>0.1596882</v>
      </c>
      <c r="CB195" s="4">
        <f t="shared" si="97"/>
        <v>5.0262203084590018</v>
      </c>
      <c r="CC195" s="4">
        <f>b_ch_Fe2O3</f>
        <v>17.358400000000074</v>
      </c>
      <c r="CD195" s="4">
        <f t="shared" si="98"/>
        <v>1.9650211933911133E-2</v>
      </c>
      <c r="CE195" s="4">
        <f t="shared" si="99"/>
        <v>-3.929667155284259</v>
      </c>
      <c r="CF195" s="4">
        <f t="shared" si="100"/>
        <v>-8.9241526829354534</v>
      </c>
      <c r="CG195" s="4">
        <f t="shared" si="101"/>
        <v>8.4342473170646208</v>
      </c>
      <c r="CH195" s="4">
        <f t="shared" si="102"/>
        <v>0.16573474728334117</v>
      </c>
      <c r="CI195" s="4">
        <f t="shared" si="104"/>
        <v>42.392385151596045</v>
      </c>
      <c r="CN195" s="3" t="s">
        <v>486</v>
      </c>
    </row>
    <row r="196" spans="17:143" ht="18" x14ac:dyDescent="0.25">
      <c r="BW196" s="348"/>
      <c r="BX196" s="1" t="s">
        <v>18</v>
      </c>
      <c r="BY196" s="4">
        <f>R191*$BY$197</f>
        <v>9.2172772353099859</v>
      </c>
      <c r="BZ196" s="4">
        <f t="shared" si="103"/>
        <v>0.49840000000000007</v>
      </c>
      <c r="CA196" s="3">
        <f>MW_SIO2</f>
        <v>6.00843E-2</v>
      </c>
      <c r="CB196" s="4">
        <f t="shared" si="97"/>
        <v>153.40575217336286</v>
      </c>
      <c r="CC196" s="3">
        <f>b_ch_SiO2</f>
        <v>1.5260000000000673</v>
      </c>
      <c r="CD196" s="4">
        <f t="shared" si="98"/>
        <v>0.59974600337640915</v>
      </c>
      <c r="CE196" s="4">
        <f t="shared" si="99"/>
        <v>-0.51124904110044445</v>
      </c>
      <c r="CF196" s="4">
        <f t="shared" si="100"/>
        <v>-1.1610307747437392</v>
      </c>
      <c r="CG196" s="4">
        <f t="shared" si="101"/>
        <v>0.36496922525632813</v>
      </c>
      <c r="CH196" s="4">
        <f>CG196*CD196</f>
        <v>0.2188888342028672</v>
      </c>
      <c r="CI196" s="4">
        <f t="shared" si="104"/>
        <v>55.988378520576518</v>
      </c>
      <c r="CK196" s="286" t="s">
        <v>458</v>
      </c>
      <c r="CL196" s="286"/>
      <c r="CM196" s="286"/>
      <c r="CN196" s="286"/>
      <c r="CO196" s="286"/>
      <c r="CP196" s="286"/>
    </row>
    <row r="197" spans="17:143" ht="18" x14ac:dyDescent="0.25">
      <c r="AZ197" s="1"/>
      <c r="BA197" s="1"/>
      <c r="BB197" s="1"/>
      <c r="BC197" s="1"/>
      <c r="BD197" s="1"/>
      <c r="BF197" s="25"/>
      <c r="BG197" s="3" t="s">
        <v>1</v>
      </c>
      <c r="BH197" s="3" t="s">
        <v>49</v>
      </c>
      <c r="BI197" s="3" t="s">
        <v>5</v>
      </c>
      <c r="BJ197" s="3" t="s">
        <v>376</v>
      </c>
      <c r="BK197" s="1" t="s">
        <v>136</v>
      </c>
      <c r="BL197" s="1" t="s">
        <v>133</v>
      </c>
      <c r="BM197" s="1" t="s">
        <v>9</v>
      </c>
      <c r="BN197" s="1" t="s">
        <v>137</v>
      </c>
      <c r="BO197" s="1" t="s">
        <v>138</v>
      </c>
      <c r="BP197" s="1" t="s">
        <v>139</v>
      </c>
      <c r="BQ197" s="1" t="s">
        <v>140</v>
      </c>
      <c r="BX197" s="62" t="s">
        <v>20</v>
      </c>
      <c r="BY197" s="62">
        <f>Ash_in_coal</f>
        <v>18.493734420766422</v>
      </c>
      <c r="BZ197" s="62">
        <f>SUM(BZ191:BZ196)</f>
        <v>1</v>
      </c>
      <c r="CA197" s="62">
        <f>SUM(CA191:CA196)</f>
        <v>0.48009451399999997</v>
      </c>
      <c r="CB197" s="62">
        <f>SUM(CB191:CB196)</f>
        <v>255.78453430240404</v>
      </c>
      <c r="CC197" s="17"/>
      <c r="CD197" s="62">
        <f>SUM(CD191:CD196)</f>
        <v>1</v>
      </c>
      <c r="CE197" s="17"/>
      <c r="CF197" s="17"/>
      <c r="CG197" s="17"/>
      <c r="CH197" s="62">
        <f>SUM(CH191:CH196)</f>
        <v>20.97876417263458</v>
      </c>
      <c r="CI197" s="62">
        <f>SUM(CI191:CI196)</f>
        <v>5366.0434241372932</v>
      </c>
      <c r="CK197" s="61" t="s">
        <v>268</v>
      </c>
      <c r="CL197" s="13" t="s">
        <v>239</v>
      </c>
      <c r="CM197" s="13" t="s">
        <v>239</v>
      </c>
      <c r="CN197" s="13" t="s">
        <v>239</v>
      </c>
      <c r="CO197" s="106" t="s">
        <v>326</v>
      </c>
      <c r="CP197" s="13" t="s">
        <v>320</v>
      </c>
    </row>
    <row r="198" spans="17:143" ht="18" x14ac:dyDescent="0.25">
      <c r="AZ198" s="1"/>
      <c r="BA198" s="1"/>
      <c r="BB198" s="1"/>
      <c r="BC198" s="1"/>
      <c r="BD198" s="1"/>
      <c r="BF198" s="3" t="s">
        <v>43</v>
      </c>
      <c r="BG198" s="3" t="s">
        <v>12</v>
      </c>
      <c r="BH198" s="3" t="s">
        <v>244</v>
      </c>
      <c r="BI198" s="1" t="s">
        <v>88</v>
      </c>
      <c r="BJ198" s="3" t="s">
        <v>44</v>
      </c>
      <c r="BK198" s="1" t="s">
        <v>99</v>
      </c>
      <c r="BL198" s="1" t="s">
        <v>27</v>
      </c>
      <c r="BM198" s="1" t="s">
        <v>102</v>
      </c>
      <c r="BN198" s="1" t="s">
        <v>99</v>
      </c>
      <c r="BO198" s="1" t="s">
        <v>99</v>
      </c>
      <c r="BP198" s="1" t="s">
        <v>98</v>
      </c>
      <c r="BQ198" s="1" t="s">
        <v>96</v>
      </c>
      <c r="BY198" s="1" t="s">
        <v>93</v>
      </c>
      <c r="BZ198" s="1"/>
      <c r="CA198" s="3" t="s">
        <v>95</v>
      </c>
      <c r="CB198" s="3" t="s">
        <v>91</v>
      </c>
      <c r="CC198" s="4"/>
      <c r="CD198" s="4"/>
      <c r="CH198" s="3" t="s">
        <v>100</v>
      </c>
      <c r="CI198" s="1" t="s">
        <v>97</v>
      </c>
      <c r="CK198" s="61" t="s">
        <v>102</v>
      </c>
      <c r="CL198" s="13" t="s">
        <v>484</v>
      </c>
      <c r="CM198" s="13" t="s">
        <v>485</v>
      </c>
      <c r="CN198" s="13" t="s">
        <v>50</v>
      </c>
      <c r="CO198" s="34" t="s">
        <v>102</v>
      </c>
      <c r="CP198" s="13" t="s">
        <v>50</v>
      </c>
    </row>
    <row r="199" spans="17:143" ht="17" x14ac:dyDescent="0.25">
      <c r="AZ199" s="351"/>
      <c r="BA199" s="351"/>
      <c r="BB199" s="351"/>
      <c r="BC199" s="351"/>
      <c r="BD199" s="351"/>
      <c r="BE199" s="385" t="s">
        <v>488</v>
      </c>
      <c r="BF199" s="17" t="s">
        <v>69</v>
      </c>
      <c r="BG199" s="17">
        <f>H2_to_coke_oven</f>
        <v>5.8592015710173317</v>
      </c>
      <c r="BH199" s="17">
        <f>BG199/$BG$203</f>
        <v>0.56136593456908357</v>
      </c>
      <c r="BI199" s="17">
        <f>MW_H*2</f>
        <v>2.0158800000000003E-3</v>
      </c>
      <c r="BJ199" s="17">
        <f>BG199/BI199</f>
        <v>2906.5229929446846</v>
      </c>
      <c r="BK199" s="17">
        <f>b_ch_H2</f>
        <v>236.1</v>
      </c>
      <c r="BL199" s="17">
        <f>BJ199/$BJ$203</f>
        <v>0.91544766952145873</v>
      </c>
      <c r="BM199" s="17">
        <f>LN(BL199)</f>
        <v>-8.8342077045854117E-2</v>
      </c>
      <c r="BN199" s="17">
        <f>RT0*BM199</f>
        <v>-0.20062212720095396</v>
      </c>
      <c r="BO199" s="17">
        <f>BK199+BN199</f>
        <v>235.89937787279905</v>
      </c>
      <c r="BP199" s="17">
        <f>BO199*BL199</f>
        <v>215.95353571521585</v>
      </c>
      <c r="BQ199" s="17">
        <f>BP199*$BJ$203</f>
        <v>685646.96580863697</v>
      </c>
      <c r="BY199" s="1"/>
      <c r="BZ199" s="1"/>
      <c r="CC199" s="4"/>
      <c r="CD199" s="4"/>
      <c r="CI199" s="1"/>
      <c r="CK199" s="61" t="s">
        <v>269</v>
      </c>
      <c r="CL199" s="13">
        <f>0.2</f>
        <v>0.2</v>
      </c>
      <c r="CM199" s="61">
        <f>CL199*BY210</f>
        <v>0.19483149212277429</v>
      </c>
      <c r="CN199" s="61">
        <f>3600*CM199</f>
        <v>701.39337164198741</v>
      </c>
      <c r="CO199" s="13">
        <v>1</v>
      </c>
      <c r="CP199" s="13">
        <f>CN199*CO199</f>
        <v>701.39337164198741</v>
      </c>
    </row>
    <row r="200" spans="17:143" ht="18" thickBot="1" x14ac:dyDescent="0.3">
      <c r="AZ200" s="351"/>
      <c r="BA200" s="351"/>
      <c r="BB200" s="351"/>
      <c r="BC200" s="351"/>
      <c r="BD200" s="351"/>
      <c r="BE200" s="385"/>
      <c r="BF200" s="3" t="s">
        <v>68</v>
      </c>
      <c r="BG200" s="351">
        <f>CH4_to_coke_oven</f>
        <v>4.0053644833975302</v>
      </c>
      <c r="BH200" s="351">
        <f>BG200/$BG$203</f>
        <v>0.3837511219334731</v>
      </c>
      <c r="BI200" s="351">
        <f>MW_CH4</f>
        <v>1.604276E-2</v>
      </c>
      <c r="BJ200" s="351">
        <f>BG200/BI200</f>
        <v>249.66804236911418</v>
      </c>
      <c r="BK200" s="351">
        <f>b_ch_CH4</f>
        <v>831.8</v>
      </c>
      <c r="BL200" s="351">
        <f>BJ200/$BJ$203</f>
        <v>7.8636235837663701E-2</v>
      </c>
      <c r="BM200" s="351">
        <f>LN(BL200)</f>
        <v>-2.5429226700357286</v>
      </c>
      <c r="BN200" s="351">
        <f>RT0*BM200</f>
        <v>-5.7748988073406355</v>
      </c>
      <c r="BO200" s="351">
        <f>BK200+BN200</f>
        <v>826.02510119265935</v>
      </c>
      <c r="BP200" s="351">
        <f>BO200*BL200</f>
        <v>64.955504665215983</v>
      </c>
      <c r="BQ200" s="351">
        <f>BP200*$BJ$203</f>
        <v>206232.06996252068</v>
      </c>
    </row>
    <row r="201" spans="17:143" ht="18" x14ac:dyDescent="0.25">
      <c r="AZ201" s="351"/>
      <c r="BA201" s="351"/>
      <c r="BB201" s="351"/>
      <c r="BC201" s="351"/>
      <c r="BD201" s="351"/>
      <c r="BE201" s="385"/>
      <c r="BF201" s="255" t="s">
        <v>26</v>
      </c>
      <c r="BG201" s="351">
        <f>O2_to_coke_oven</f>
        <v>0.37452468339450529</v>
      </c>
      <c r="BH201" s="351">
        <f>BG201/$BG$203</f>
        <v>3.5882943497443413E-2</v>
      </c>
      <c r="BI201" s="351">
        <f>MW_O2</f>
        <v>3.1998800000000001E-2</v>
      </c>
      <c r="BJ201" s="351">
        <f>BG201/BI201</f>
        <v>11.704335268650864</v>
      </c>
      <c r="BK201" s="351">
        <f>b_ch_O2</f>
        <v>4</v>
      </c>
      <c r="BL201" s="351">
        <f>BJ201/$BJ$203</f>
        <v>3.6864344341996287E-3</v>
      </c>
      <c r="BM201" s="351">
        <f>LN(BL201)</f>
        <v>-5.6030955660719171</v>
      </c>
      <c r="BN201" s="351">
        <f>RT0*BM201</f>
        <v>-12.724456894896331</v>
      </c>
      <c r="BO201" s="351">
        <f>BK201+BN201</f>
        <v>-8.7244568948963312</v>
      </c>
      <c r="BP201" s="351">
        <f>BO201*BL201</f>
        <v>-3.2162138317036203E-2</v>
      </c>
      <c r="BQ201" s="351">
        <f>BP201*$BJ$203</f>
        <v>-102.11396853475932</v>
      </c>
      <c r="CH201" s="63" t="s">
        <v>1</v>
      </c>
      <c r="CI201" s="58" t="s">
        <v>0</v>
      </c>
      <c r="DA201" s="63" t="s">
        <v>1</v>
      </c>
      <c r="DB201" s="58" t="s">
        <v>0</v>
      </c>
      <c r="EF201" s="63" t="s">
        <v>1</v>
      </c>
      <c r="EG201" s="58" t="s">
        <v>0</v>
      </c>
    </row>
    <row r="202" spans="17:143" ht="18" customHeight="1" x14ac:dyDescent="0.25">
      <c r="AZ202" s="351"/>
      <c r="BA202" s="351"/>
      <c r="BB202" s="351"/>
      <c r="BC202" s="351"/>
      <c r="BD202" s="351"/>
      <c r="BE202" s="385"/>
      <c r="BF202" s="7" t="s">
        <v>70</v>
      </c>
      <c r="BG202" s="3">
        <f>N2_to_coke_oven</f>
        <v>0.19831062591068094</v>
      </c>
      <c r="BH202" s="351">
        <f>BG202/$BG$203</f>
        <v>1.9000000000000003E-2</v>
      </c>
      <c r="BI202" s="3">
        <f>MW_N2</f>
        <v>2.801348E-2</v>
      </c>
      <c r="BJ202" s="3">
        <f>BG202/BI202</f>
        <v>7.0791142660847894</v>
      </c>
      <c r="BK202" s="3">
        <f>b_ch_N2</f>
        <v>0.7</v>
      </c>
      <c r="BL202" s="351">
        <f>BJ202/$BJ$203</f>
        <v>2.2296602066780094E-3</v>
      </c>
      <c r="BM202" s="3">
        <f>LN(BL202)</f>
        <v>-6.1059060788071502</v>
      </c>
      <c r="BN202" s="3">
        <f>RT0*BM202</f>
        <v>-13.866324032473202</v>
      </c>
      <c r="BO202" s="3">
        <f>BK202+BN202</f>
        <v>-13.166324032473202</v>
      </c>
      <c r="BP202" s="3">
        <f>BO202*BL202</f>
        <v>-2.9356428763433841E-2</v>
      </c>
      <c r="BQ202" s="351">
        <f>BP202*$BJ$203</f>
        <v>-93.205912290176059</v>
      </c>
      <c r="CH202" s="65" t="s">
        <v>93</v>
      </c>
      <c r="CI202" s="64" t="s">
        <v>97</v>
      </c>
      <c r="DA202" s="65" t="s">
        <v>93</v>
      </c>
      <c r="DB202" s="64" t="s">
        <v>97</v>
      </c>
      <c r="EF202" s="65" t="s">
        <v>93</v>
      </c>
      <c r="EG202" s="64" t="s">
        <v>97</v>
      </c>
    </row>
    <row r="203" spans="17:143" ht="16" customHeight="1" thickBot="1" x14ac:dyDescent="0.25">
      <c r="AZ203" s="351"/>
      <c r="BA203" s="351"/>
      <c r="BB203" s="351"/>
      <c r="BC203" s="351"/>
      <c r="BD203" s="351"/>
      <c r="BF203" s="17" t="s">
        <v>20</v>
      </c>
      <c r="BG203" s="17">
        <f>SUM(BG199:BG202)</f>
        <v>10.437401363720047</v>
      </c>
      <c r="BH203" s="17">
        <f>SUM(BH199:BH202)</f>
        <v>1</v>
      </c>
      <c r="BI203" s="17"/>
      <c r="BJ203" s="17">
        <f>SUM(BJ199:BJ202)</f>
        <v>3174.9744848485343</v>
      </c>
      <c r="BK203" s="17">
        <f>SUM(BK199:BK202)</f>
        <v>1072.5999999999999</v>
      </c>
      <c r="BL203" s="17">
        <f>SUM(BL199:BL202)</f>
        <v>1</v>
      </c>
      <c r="BM203" s="17"/>
      <c r="BN203" s="17"/>
      <c r="BO203" s="17"/>
      <c r="BP203" s="17">
        <f>SUM(BP199:BP202)</f>
        <v>280.84752181335136</v>
      </c>
      <c r="BQ203" s="17">
        <f>SUM(BQ199:BQ202)</f>
        <v>891683.71589033271</v>
      </c>
      <c r="CH203" s="50">
        <f>BY213</f>
        <v>69.582675758133661</v>
      </c>
      <c r="CI203" s="48">
        <f>CI213</f>
        <v>5935408.0537775028</v>
      </c>
      <c r="CK203" s="280" t="s">
        <v>476</v>
      </c>
      <c r="CL203" s="280"/>
      <c r="CM203" s="280"/>
      <c r="CN203" s="280"/>
      <c r="CO203" s="280"/>
      <c r="DA203" s="50">
        <f>CR211</f>
        <v>69.582675758133661</v>
      </c>
      <c r="DB203" s="48">
        <f>DB211</f>
        <v>5944558.1059355522</v>
      </c>
      <c r="EF203" s="50">
        <f>DW211</f>
        <v>10.437401363720047</v>
      </c>
      <c r="EG203" s="48">
        <f>EG211</f>
        <v>891683.71589033271</v>
      </c>
      <c r="EI203" s="359" t="s">
        <v>438</v>
      </c>
      <c r="EJ203" s="360"/>
      <c r="EK203" s="360"/>
      <c r="EL203" s="360"/>
      <c r="EM203" s="360"/>
    </row>
    <row r="204" spans="17:143" ht="18" customHeight="1" thickBot="1" x14ac:dyDescent="0.3">
      <c r="AZ204" s="1"/>
      <c r="BA204" s="1"/>
      <c r="BB204" s="1"/>
      <c r="BC204" s="1"/>
      <c r="BD204" s="1"/>
      <c r="BG204" s="1" t="s">
        <v>93</v>
      </c>
      <c r="BH204" s="1"/>
      <c r="BI204" s="3" t="s">
        <v>95</v>
      </c>
      <c r="BJ204" s="3" t="s">
        <v>91</v>
      </c>
      <c r="BK204" s="4"/>
      <c r="BL204" s="4"/>
      <c r="BP204" s="3" t="s">
        <v>100</v>
      </c>
      <c r="BQ204" s="1" t="s">
        <v>97</v>
      </c>
      <c r="CK204" s="280"/>
      <c r="CL204" s="280"/>
      <c r="CM204" s="280"/>
      <c r="CN204" s="280"/>
      <c r="CO204" s="280"/>
      <c r="EI204" s="360"/>
      <c r="EJ204" s="360"/>
      <c r="EK204" s="360"/>
      <c r="EL204" s="360"/>
      <c r="EM204" s="360"/>
    </row>
    <row r="205" spans="17:143" ht="18" customHeight="1" x14ac:dyDescent="0.25">
      <c r="BX205" s="25"/>
      <c r="BY205" s="3" t="s">
        <v>1</v>
      </c>
      <c r="BZ205" s="3" t="s">
        <v>49</v>
      </c>
      <c r="CA205" s="3" t="s">
        <v>5</v>
      </c>
      <c r="CB205" s="3" t="s">
        <v>376</v>
      </c>
      <c r="CC205" s="1" t="s">
        <v>136</v>
      </c>
      <c r="CD205" s="1" t="s">
        <v>133</v>
      </c>
      <c r="CE205" s="1" t="s">
        <v>9</v>
      </c>
      <c r="CF205" s="1" t="s">
        <v>137</v>
      </c>
      <c r="CG205" s="1" t="s">
        <v>138</v>
      </c>
      <c r="CH205" s="1" t="s">
        <v>139</v>
      </c>
      <c r="CI205" s="1" t="s">
        <v>140</v>
      </c>
      <c r="CK205" s="22" t="s">
        <v>449</v>
      </c>
      <c r="CL205" s="22" t="s">
        <v>521</v>
      </c>
      <c r="CM205" s="162" t="s">
        <v>349</v>
      </c>
      <c r="CN205" s="281" t="s">
        <v>356</v>
      </c>
      <c r="CO205" s="139" t="s">
        <v>321</v>
      </c>
      <c r="CQ205" s="25"/>
      <c r="CR205" s="3" t="s">
        <v>1</v>
      </c>
      <c r="CS205" s="3" t="s">
        <v>49</v>
      </c>
      <c r="CT205" s="3" t="s">
        <v>5</v>
      </c>
      <c r="CU205" s="3" t="s">
        <v>376</v>
      </c>
      <c r="CV205" s="1" t="s">
        <v>136</v>
      </c>
      <c r="CW205" s="1" t="s">
        <v>133</v>
      </c>
      <c r="CX205" s="1" t="s">
        <v>9</v>
      </c>
      <c r="CY205" s="1" t="s">
        <v>137</v>
      </c>
      <c r="CZ205" s="1" t="s">
        <v>138</v>
      </c>
      <c r="DA205" s="1" t="s">
        <v>139</v>
      </c>
      <c r="DB205" s="1" t="s">
        <v>140</v>
      </c>
      <c r="DV205" s="25"/>
      <c r="DW205" s="3" t="s">
        <v>1</v>
      </c>
      <c r="DX205" s="3" t="s">
        <v>49</v>
      </c>
      <c r="DY205" s="3" t="s">
        <v>5</v>
      </c>
      <c r="DZ205" s="3" t="s">
        <v>376</v>
      </c>
      <c r="EA205" s="1" t="s">
        <v>136</v>
      </c>
      <c r="EB205" s="1" t="s">
        <v>133</v>
      </c>
      <c r="EC205" s="1" t="s">
        <v>9</v>
      </c>
      <c r="ED205" s="1" t="s">
        <v>137</v>
      </c>
      <c r="EE205" s="1" t="s">
        <v>138</v>
      </c>
      <c r="EF205" s="1" t="s">
        <v>139</v>
      </c>
      <c r="EG205" s="1" t="s">
        <v>140</v>
      </c>
      <c r="EI205" s="360"/>
      <c r="EJ205" s="360"/>
      <c r="EK205" s="360"/>
      <c r="EL205" s="360"/>
      <c r="EM205" s="360"/>
    </row>
    <row r="206" spans="17:143" ht="18" x14ac:dyDescent="0.25">
      <c r="BX206" s="3" t="s">
        <v>43</v>
      </c>
      <c r="BY206" s="3" t="s">
        <v>12</v>
      </c>
      <c r="BZ206" s="3" t="s">
        <v>244</v>
      </c>
      <c r="CA206" s="1" t="s">
        <v>88</v>
      </c>
      <c r="CB206" s="3" t="s">
        <v>44</v>
      </c>
      <c r="CC206" s="1" t="s">
        <v>99</v>
      </c>
      <c r="CD206" s="1" t="s">
        <v>27</v>
      </c>
      <c r="CE206" s="1" t="s">
        <v>102</v>
      </c>
      <c r="CF206" s="1" t="s">
        <v>99</v>
      </c>
      <c r="CG206" s="1" t="s">
        <v>99</v>
      </c>
      <c r="CH206" s="1" t="s">
        <v>98</v>
      </c>
      <c r="CI206" s="1" t="s">
        <v>96</v>
      </c>
      <c r="CK206" s="214" t="s">
        <v>50</v>
      </c>
      <c r="CL206" s="9" t="s">
        <v>50</v>
      </c>
      <c r="CM206" s="1" t="s">
        <v>93</v>
      </c>
      <c r="CN206" s="282"/>
      <c r="CO206" s="137" t="s">
        <v>86</v>
      </c>
      <c r="CQ206" s="3" t="s">
        <v>43</v>
      </c>
      <c r="CR206" s="3" t="s">
        <v>12</v>
      </c>
      <c r="CS206" s="3" t="s">
        <v>244</v>
      </c>
      <c r="CT206" s="1" t="s">
        <v>88</v>
      </c>
      <c r="CU206" s="3" t="s">
        <v>44</v>
      </c>
      <c r="CV206" s="1" t="s">
        <v>99</v>
      </c>
      <c r="CW206" s="1" t="s">
        <v>27</v>
      </c>
      <c r="CX206" s="1" t="s">
        <v>102</v>
      </c>
      <c r="CY206" s="1" t="s">
        <v>99</v>
      </c>
      <c r="CZ206" s="1" t="s">
        <v>99</v>
      </c>
      <c r="DA206" s="1" t="s">
        <v>98</v>
      </c>
      <c r="DB206" s="1" t="s">
        <v>96</v>
      </c>
      <c r="DV206" s="3" t="s">
        <v>43</v>
      </c>
      <c r="DW206" s="3" t="s">
        <v>12</v>
      </c>
      <c r="DX206" s="3" t="s">
        <v>244</v>
      </c>
      <c r="DY206" s="1" t="s">
        <v>88</v>
      </c>
      <c r="DZ206" s="3" t="s">
        <v>44</v>
      </c>
      <c r="EA206" s="1" t="s">
        <v>99</v>
      </c>
      <c r="EB206" s="1" t="s">
        <v>27</v>
      </c>
      <c r="EC206" s="1" t="s">
        <v>102</v>
      </c>
      <c r="ED206" s="1" t="s">
        <v>99</v>
      </c>
      <c r="EE206" s="1" t="s">
        <v>99</v>
      </c>
      <c r="EF206" s="1" t="s">
        <v>98</v>
      </c>
      <c r="EG206" s="1" t="s">
        <v>96</v>
      </c>
    </row>
    <row r="207" spans="17:143" ht="18" customHeight="1" thickBot="1" x14ac:dyDescent="0.3">
      <c r="BW207" s="385" t="s">
        <v>492</v>
      </c>
      <c r="BX207" s="17" t="s">
        <v>69</v>
      </c>
      <c r="BY207" s="17">
        <f>$BY$213*BZ207</f>
        <v>39.801290533652448</v>
      </c>
      <c r="BZ207" s="17">
        <v>0.57199999999999995</v>
      </c>
      <c r="CA207" s="17">
        <f>MW_H*2</f>
        <v>2.0158800000000003E-3</v>
      </c>
      <c r="CB207" s="17">
        <f t="shared" ref="CB207:CB212" si="105">BY207/CA207</f>
        <v>19743.878868609463</v>
      </c>
      <c r="CC207" s="17">
        <f>b_ch_H2</f>
        <v>236.1</v>
      </c>
      <c r="CD207" s="17">
        <f>CB207/$CB$213</f>
        <v>0.92235600940319784</v>
      </c>
      <c r="CE207" s="17">
        <f>LN(CD207)</f>
        <v>-8.0824002618162957E-2</v>
      </c>
      <c r="CF207" s="17">
        <f t="shared" ref="CF207:CF212" si="106">RT0*CE207</f>
        <v>-0.18354881248416716</v>
      </c>
      <c r="CG207" s="17">
        <f>CC207+CF207</f>
        <v>235.91645118751583</v>
      </c>
      <c r="CH207" s="17">
        <f>CD207*CG207</f>
        <v>217.59895646988141</v>
      </c>
      <c r="CI207" s="17">
        <f>CH207*$CB$213</f>
        <v>4657905.8353585294</v>
      </c>
      <c r="CK207" s="105">
        <f>DB214</f>
        <v>0</v>
      </c>
      <c r="CL207" s="100">
        <f>DB203-CP199-CI203</f>
        <v>8448.6587864076719</v>
      </c>
      <c r="CM207" s="142">
        <f>DA203-CH203</f>
        <v>0</v>
      </c>
      <c r="CN207" s="140" t="s">
        <v>353</v>
      </c>
      <c r="CO207" s="137">
        <f>((CU208*(DA208-CH212)))/CP199</f>
        <v>23.131585102108211</v>
      </c>
      <c r="CP207" s="369" t="s">
        <v>499</v>
      </c>
      <c r="CQ207" s="17" t="s">
        <v>69</v>
      </c>
      <c r="CR207" s="17">
        <f>H2_out_COtreatment</f>
        <v>39.061343806782212</v>
      </c>
      <c r="CS207" s="17">
        <f>CR207/$CR$211</f>
        <v>0.56136593456908346</v>
      </c>
      <c r="CT207" s="17">
        <f>MW_H*2</f>
        <v>2.0158800000000003E-3</v>
      </c>
      <c r="CU207" s="17">
        <f>CR207/CT207</f>
        <v>19376.819952964564</v>
      </c>
      <c r="CV207" s="17">
        <f>b_ch_H2</f>
        <v>236.1</v>
      </c>
      <c r="CW207" s="17">
        <f>CU207/$CU$211</f>
        <v>0.91544766952145851</v>
      </c>
      <c r="CX207" s="17">
        <f>LN(CW207)</f>
        <v>-8.8342077045854353E-2</v>
      </c>
      <c r="CY207" s="17">
        <f>RT0*CX207</f>
        <v>-0.20062212720095451</v>
      </c>
      <c r="CZ207" s="17">
        <f>CV207+CY207</f>
        <v>235.89937787279905</v>
      </c>
      <c r="DA207" s="17">
        <f>CZ207*CW207</f>
        <v>215.95353571521579</v>
      </c>
      <c r="DB207" s="17">
        <f>DA207*$CU$211</f>
        <v>4570979.7720575798</v>
      </c>
      <c r="DU207" s="358" t="s">
        <v>488</v>
      </c>
      <c r="DV207" s="17" t="s">
        <v>69</v>
      </c>
      <c r="DW207" s="17">
        <f>H2_to_coke_oven</f>
        <v>5.8592015710173317</v>
      </c>
      <c r="DX207" s="17">
        <f>DW207/$BG$203</f>
        <v>0.56136593456908357</v>
      </c>
      <c r="DY207" s="17">
        <f>MW_H*2</f>
        <v>2.0158800000000003E-3</v>
      </c>
      <c r="DZ207" s="17">
        <f>DW207/DY207</f>
        <v>2906.5229929446846</v>
      </c>
      <c r="EA207" s="17">
        <f>b_ch_H2</f>
        <v>236.1</v>
      </c>
      <c r="EB207" s="17">
        <f>DZ207/$BJ$203</f>
        <v>0.91544766952145873</v>
      </c>
      <c r="EC207" s="17">
        <f>LN(EB207)</f>
        <v>-8.8342077045854117E-2</v>
      </c>
      <c r="ED207" s="17">
        <f>RT0*EC207</f>
        <v>-0.20062212720095396</v>
      </c>
      <c r="EE207" s="17">
        <f>EA207+ED207</f>
        <v>235.89937787279905</v>
      </c>
      <c r="EF207" s="17">
        <f>EE207*EB207</f>
        <v>215.95353571521585</v>
      </c>
      <c r="EG207" s="17">
        <f>EF207*$BJ$203</f>
        <v>685646.96580863697</v>
      </c>
    </row>
    <row r="208" spans="17:143" ht="17" x14ac:dyDescent="0.25">
      <c r="BW208" s="385"/>
      <c r="BX208" s="4" t="s">
        <v>384</v>
      </c>
      <c r="BY208" s="3">
        <f t="shared" ref="BY208:BY212" si="107">$BY$213*BZ208</f>
        <v>1.3916535151626732</v>
      </c>
      <c r="BZ208" s="3">
        <v>0.02</v>
      </c>
      <c r="CA208" s="3">
        <f>MW_C2H4</f>
        <v>2.8053759999999997E-2</v>
      </c>
      <c r="CB208" s="3">
        <f t="shared" si="105"/>
        <v>49.60666645621383</v>
      </c>
      <c r="CC208" s="3" cm="1">
        <f t="array" ref="CC208">b_ch_C2H4</f>
        <v>1361.23</v>
      </c>
      <c r="CD208" s="3">
        <f t="shared" ref="CD208:CD212" si="108">CB208/$CB$213</f>
        <v>2.3174274526721371E-3</v>
      </c>
      <c r="CE208" s="3">
        <f t="shared" ref="CE208:CE212" si="109">LN(CD208)</f>
        <v>-6.0672975651470908</v>
      </c>
      <c r="CF208" s="3">
        <f t="shared" si="106"/>
        <v>-13.778645290954278</v>
      </c>
      <c r="CG208" s="3">
        <f t="shared" ref="CG208:CG212" si="110">CC208+CF208</f>
        <v>1347.4513547090457</v>
      </c>
      <c r="CH208" s="3">
        <f t="shared" ref="CH208:CH212" si="111">CD208*CG208</f>
        <v>3.1226207605430041</v>
      </c>
      <c r="CI208" s="3">
        <f t="shared" ref="CI208:CI212" si="112">CH208*$CB$213</f>
        <v>66842.569919025103</v>
      </c>
      <c r="CK208" s="4"/>
      <c r="CL208" s="4"/>
      <c r="CN208" s="140" t="s">
        <v>354</v>
      </c>
      <c r="CO208" s="137">
        <f>DB203/(CI203+CP199)</f>
        <v>1.0014232653325597</v>
      </c>
      <c r="CP208" s="369"/>
      <c r="CQ208" s="3" t="s">
        <v>68</v>
      </c>
      <c r="CR208" s="3">
        <f>CH4_out_COtreatment</f>
        <v>26.702429889316871</v>
      </c>
      <c r="CS208" s="3">
        <f t="shared" ref="CS208:CS210" si="113">CR208/$CR$211</f>
        <v>0.38375112193347305</v>
      </c>
      <c r="CT208" s="3">
        <f>MW_CH4</f>
        <v>1.604276E-2</v>
      </c>
      <c r="CU208" s="3">
        <f t="shared" ref="CU208:CU210" si="114">CR208/CT208</f>
        <v>1664.4536157940947</v>
      </c>
      <c r="CV208" s="3">
        <f>b_ch_CH4</f>
        <v>831.8</v>
      </c>
      <c r="CW208" s="3">
        <f t="shared" ref="CW208:CW210" si="115">CU208/$CU$211</f>
        <v>7.8636235837663701E-2</v>
      </c>
      <c r="CX208" s="3">
        <f t="shared" ref="CX208:CX210" si="116">LN(CW208)</f>
        <v>-2.5429226700357286</v>
      </c>
      <c r="CY208" s="3">
        <f>RT0*CX208</f>
        <v>-5.7748988073406355</v>
      </c>
      <c r="CZ208" s="3">
        <f t="shared" ref="CZ208:CZ210" si="117">CV208+CY208</f>
        <v>826.02510119265935</v>
      </c>
      <c r="DA208" s="3">
        <f t="shared" ref="DA208:DA210" si="118">CZ208*CW208</f>
        <v>64.955504665215983</v>
      </c>
      <c r="DB208" s="3">
        <f t="shared" ref="DB208:DB210" si="119">DA208*$CU$211</f>
        <v>1374880.4664168048</v>
      </c>
      <c r="DU208" s="358"/>
      <c r="DV208" s="3" t="s">
        <v>68</v>
      </c>
      <c r="DW208" s="351">
        <f>CH4_to_coke_oven</f>
        <v>4.0053644833975302</v>
      </c>
      <c r="DX208" s="351">
        <f>DW208/$BG$203</f>
        <v>0.3837511219334731</v>
      </c>
      <c r="DY208" s="351">
        <f>MW_CH4</f>
        <v>1.604276E-2</v>
      </c>
      <c r="DZ208" s="351">
        <f>DW208/DY208</f>
        <v>249.66804236911418</v>
      </c>
      <c r="EA208" s="351">
        <f>b_ch_CH4</f>
        <v>831.8</v>
      </c>
      <c r="EB208" s="351">
        <f>DZ208/$BJ$203</f>
        <v>7.8636235837663701E-2</v>
      </c>
      <c r="EC208" s="351">
        <f>LN(EB208)</f>
        <v>-2.5429226700357286</v>
      </c>
      <c r="ED208" s="351">
        <f>RT0*EC208</f>
        <v>-5.7748988073406355</v>
      </c>
      <c r="EE208" s="351">
        <f>EA208+ED208</f>
        <v>826.02510119265935</v>
      </c>
      <c r="EF208" s="351">
        <f>EE208*EB208</f>
        <v>64.955504665215983</v>
      </c>
      <c r="EG208" s="351">
        <f>EF208*$BJ$203</f>
        <v>206232.06996252068</v>
      </c>
    </row>
    <row r="209" spans="13:137" ht="19" thickBot="1" x14ac:dyDescent="0.3">
      <c r="BW209" s="385"/>
      <c r="BX209" s="3" t="s">
        <v>126</v>
      </c>
      <c r="BY209" s="3">
        <f t="shared" si="107"/>
        <v>3.1312204091160147</v>
      </c>
      <c r="BZ209" s="3">
        <v>4.4999999999999998E-2</v>
      </c>
      <c r="CA209" s="3">
        <f>MW_CO</f>
        <v>2.8010399999999998E-2</v>
      </c>
      <c r="CB209" s="3">
        <f t="shared" si="105"/>
        <v>111.78777915045893</v>
      </c>
      <c r="CC209" s="3">
        <f>b_ch_CO</f>
        <v>275.02296000000001</v>
      </c>
      <c r="CD209" s="3">
        <f t="shared" si="108"/>
        <v>5.2222833498636167E-3</v>
      </c>
      <c r="CE209" s="3">
        <f t="shared" si="109"/>
        <v>-5.254820549383771</v>
      </c>
      <c r="CF209" s="3">
        <f t="shared" si="106"/>
        <v>-11.933535093695568</v>
      </c>
      <c r="CG209" s="3">
        <f t="shared" si="110"/>
        <v>263.08942490630443</v>
      </c>
      <c r="CH209" s="3">
        <f>CD209*CG209</f>
        <v>1.3739275232133878</v>
      </c>
      <c r="CI209" s="3">
        <f t="shared" si="112"/>
        <v>29410.182528247205</v>
      </c>
      <c r="CK209" s="4"/>
      <c r="CL209" s="4"/>
      <c r="CN209" s="141" t="s">
        <v>421</v>
      </c>
      <c r="CO209" s="138">
        <f>DB208/(CI203+CP199)</f>
        <v>0.23161305879848632</v>
      </c>
      <c r="CP209" s="369"/>
      <c r="CQ209" s="255" t="s">
        <v>26</v>
      </c>
      <c r="CR209" s="3">
        <f>O2_out_COtreatment</f>
        <v>2.4968312226300351</v>
      </c>
      <c r="CS209" s="3">
        <f t="shared" si="113"/>
        <v>3.5882943497443406E-2</v>
      </c>
      <c r="CT209" s="3">
        <f>MW_O2</f>
        <v>3.1998800000000001E-2</v>
      </c>
      <c r="CU209" s="3">
        <f t="shared" si="114"/>
        <v>78.028901791005751</v>
      </c>
      <c r="CV209" s="3">
        <f>b_ch_O2</f>
        <v>4</v>
      </c>
      <c r="CW209" s="3">
        <f t="shared" si="115"/>
        <v>3.6864344341996274E-3</v>
      </c>
      <c r="CX209" s="3">
        <f t="shared" si="116"/>
        <v>-5.6030955660719179</v>
      </c>
      <c r="CY209" s="3">
        <f>RT0*CX209</f>
        <v>-12.724456894896333</v>
      </c>
      <c r="CZ209" s="3">
        <f t="shared" si="117"/>
        <v>-8.724456894896333</v>
      </c>
      <c r="DA209" s="3">
        <f t="shared" si="118"/>
        <v>-3.2162138317036203E-2</v>
      </c>
      <c r="DB209" s="3">
        <f t="shared" si="119"/>
        <v>-680.75979023172897</v>
      </c>
      <c r="DU209" s="358"/>
      <c r="DV209" s="255" t="s">
        <v>26</v>
      </c>
      <c r="DW209" s="351">
        <f>O2_to_coke_oven</f>
        <v>0.37452468339450529</v>
      </c>
      <c r="DX209" s="351">
        <f>DW209/$BG$203</f>
        <v>3.5882943497443413E-2</v>
      </c>
      <c r="DY209" s="351">
        <f>MW_O2</f>
        <v>3.1998800000000001E-2</v>
      </c>
      <c r="DZ209" s="351">
        <f>DW209/DY209</f>
        <v>11.704335268650864</v>
      </c>
      <c r="EA209" s="351">
        <f>b_ch_O2</f>
        <v>4</v>
      </c>
      <c r="EB209" s="351">
        <f>DZ209/$BJ$203</f>
        <v>3.6864344341996287E-3</v>
      </c>
      <c r="EC209" s="351">
        <f>LN(EB209)</f>
        <v>-5.6030955660719171</v>
      </c>
      <c r="ED209" s="351">
        <f>RT0*EC209</f>
        <v>-12.724456894896331</v>
      </c>
      <c r="EE209" s="351">
        <f>EA209+ED209</f>
        <v>-8.7244568948963312</v>
      </c>
      <c r="EF209" s="351">
        <f>EE209*EB209</f>
        <v>-3.2162138317036203E-2</v>
      </c>
      <c r="EG209" s="351">
        <f>EF209*$BJ$203</f>
        <v>-102.11396853475932</v>
      </c>
    </row>
    <row r="210" spans="13:137" ht="18" x14ac:dyDescent="0.25">
      <c r="BP210" s="63" t="s">
        <v>1</v>
      </c>
      <c r="BQ210" s="58" t="s">
        <v>0</v>
      </c>
      <c r="BW210" s="385"/>
      <c r="BX210" s="7" t="s">
        <v>67</v>
      </c>
      <c r="BY210" s="3">
        <f t="shared" si="107"/>
        <v>0.97415746061387132</v>
      </c>
      <c r="BZ210" s="3">
        <v>1.4E-2</v>
      </c>
      <c r="CA210" s="3">
        <f>MW_CO2</f>
        <v>4.4009800000000002E-2</v>
      </c>
      <c r="CB210" s="3">
        <f t="shared" si="105"/>
        <v>22.135012215776289</v>
      </c>
      <c r="CC210" s="3">
        <f>b_ch_CO2</f>
        <v>19.900000000000034</v>
      </c>
      <c r="CD210" s="3">
        <f t="shared" si="108"/>
        <v>1.0340603116186133E-3</v>
      </c>
      <c r="CE210" s="3">
        <f t="shared" si="109"/>
        <v>-6.8742621761456677</v>
      </c>
      <c r="CF210" s="3">
        <f t="shared" si="106"/>
        <v>-15.611236987325567</v>
      </c>
      <c r="CG210" s="3">
        <f t="shared" si="110"/>
        <v>4.2887630126744671</v>
      </c>
      <c r="CH210" s="3">
        <f t="shared" si="111"/>
        <v>4.4348396173445421E-3</v>
      </c>
      <c r="CI210" s="3">
        <f t="shared" si="112"/>
        <v>94.931821676118844</v>
      </c>
      <c r="CP210" s="369"/>
      <c r="CQ210" s="7" t="s">
        <v>70</v>
      </c>
      <c r="CR210" s="3">
        <f>N2_out_COtreatment</f>
        <v>1.3220708394045395</v>
      </c>
      <c r="CS210" s="3">
        <f t="shared" si="113"/>
        <v>1.9E-2</v>
      </c>
      <c r="CT210" s="3">
        <f>MW_N2</f>
        <v>2.801348E-2</v>
      </c>
      <c r="CU210" s="3">
        <f t="shared" si="114"/>
        <v>47.194095107231931</v>
      </c>
      <c r="CV210" s="3">
        <f>b_ch_N2</f>
        <v>0.7</v>
      </c>
      <c r="CW210" s="3">
        <f t="shared" si="115"/>
        <v>2.229660206678009E-3</v>
      </c>
      <c r="CX210" s="3">
        <f t="shared" si="116"/>
        <v>-6.1059060788071511</v>
      </c>
      <c r="CY210" s="3">
        <f>RT0*CX210</f>
        <v>-13.866324032473203</v>
      </c>
      <c r="CZ210" s="3">
        <f t="shared" si="117"/>
        <v>-13.166324032473204</v>
      </c>
      <c r="DA210" s="3">
        <f t="shared" si="118"/>
        <v>-2.9356428763433841E-2</v>
      </c>
      <c r="DB210" s="3">
        <f t="shared" si="119"/>
        <v>-621.37274860117384</v>
      </c>
      <c r="DU210" s="358"/>
      <c r="DV210" s="7" t="s">
        <v>70</v>
      </c>
      <c r="DW210" s="3">
        <f>N2_to_coke_oven</f>
        <v>0.19831062591068094</v>
      </c>
      <c r="DX210" s="351">
        <f>DW210/$BG$203</f>
        <v>1.9000000000000003E-2</v>
      </c>
      <c r="DY210" s="3">
        <f>MW_N2</f>
        <v>2.801348E-2</v>
      </c>
      <c r="DZ210" s="3">
        <f>DW210/DY210</f>
        <v>7.0791142660847894</v>
      </c>
      <c r="EA210" s="3">
        <f>b_ch_N2</f>
        <v>0.7</v>
      </c>
      <c r="EB210" s="351">
        <f>DZ210/$BJ$203</f>
        <v>2.2296602066780094E-3</v>
      </c>
      <c r="EC210" s="3">
        <f>LN(EB210)</f>
        <v>-6.1059060788071502</v>
      </c>
      <c r="ED210" s="3">
        <f>RT0*EC210</f>
        <v>-13.866324032473202</v>
      </c>
      <c r="EE210" s="3">
        <f>EA210+ED210</f>
        <v>-13.166324032473202</v>
      </c>
      <c r="EF210" s="3">
        <f>EE210*EB210</f>
        <v>-2.9356428763433841E-2</v>
      </c>
      <c r="EG210" s="351">
        <f>EF210*$BJ$203</f>
        <v>-93.205912290176059</v>
      </c>
    </row>
    <row r="211" spans="13:137" ht="18" x14ac:dyDescent="0.25">
      <c r="BP211" s="65" t="s">
        <v>93</v>
      </c>
      <c r="BQ211" s="64" t="s">
        <v>97</v>
      </c>
      <c r="BW211" s="385"/>
      <c r="BX211" s="7" t="s">
        <v>70</v>
      </c>
      <c r="BY211" s="3">
        <f t="shared" si="107"/>
        <v>1.3220708394045395</v>
      </c>
      <c r="BZ211" s="3">
        <v>1.9E-2</v>
      </c>
      <c r="CA211" s="3">
        <f>MW_N2</f>
        <v>2.801348E-2</v>
      </c>
      <c r="CB211" s="3">
        <f t="shared" si="105"/>
        <v>47.194095107231931</v>
      </c>
      <c r="CC211" s="3">
        <f>b_ch_N2</f>
        <v>0.7</v>
      </c>
      <c r="CD211" s="3">
        <f t="shared" si="108"/>
        <v>2.2047216517170204E-3</v>
      </c>
      <c r="CE211" s="3">
        <f t="shared" si="109"/>
        <v>-6.1171540131006124</v>
      </c>
      <c r="CF211" s="3">
        <f t="shared" si="106"/>
        <v>-13.891867743692485</v>
      </c>
      <c r="CG211" s="3">
        <f t="shared" si="110"/>
        <v>-13.191867743692486</v>
      </c>
      <c r="CH211" s="3">
        <f t="shared" si="111"/>
        <v>-2.9084396441106181E-2</v>
      </c>
      <c r="CI211" s="3">
        <f t="shared" si="112"/>
        <v>-622.57826093784831</v>
      </c>
      <c r="CQ211" s="17" t="s">
        <v>20</v>
      </c>
      <c r="CR211" s="17">
        <f>SUM(CR207:CR210)</f>
        <v>69.582675758133661</v>
      </c>
      <c r="CS211" s="17">
        <f>SUM(CS207:CS210)</f>
        <v>0.99999999999999989</v>
      </c>
      <c r="CT211" s="17"/>
      <c r="CU211" s="17">
        <f>SUM(CU207:CU210)</f>
        <v>21166.4965656569</v>
      </c>
      <c r="CV211" s="17">
        <f>SUM(CV207:CV210)</f>
        <v>1072.5999999999999</v>
      </c>
      <c r="CW211" s="17">
        <f>SUM(CW207:CW210)</f>
        <v>0.99999999999999978</v>
      </c>
      <c r="CX211" s="17"/>
      <c r="CY211" s="17"/>
      <c r="CZ211" s="17"/>
      <c r="DA211" s="17">
        <f>SUM(DA207:DA210)</f>
        <v>280.84752181335125</v>
      </c>
      <c r="DB211" s="17">
        <f>SUM(DB207:DB210)</f>
        <v>5944558.1059355522</v>
      </c>
      <c r="DV211" s="17" t="s">
        <v>20</v>
      </c>
      <c r="DW211" s="17">
        <f>SUM(DW207:DW210)</f>
        <v>10.437401363720047</v>
      </c>
      <c r="DX211" s="17">
        <f>SUM(DX207:DX210)</f>
        <v>1</v>
      </c>
      <c r="DY211" s="17"/>
      <c r="DZ211" s="17">
        <f>SUM(DZ207:DZ210)</f>
        <v>3174.9744848485343</v>
      </c>
      <c r="EA211" s="17">
        <f>SUM(EA207:EA210)</f>
        <v>1072.5999999999999</v>
      </c>
      <c r="EB211" s="17">
        <f>SUM(EB207:EB210)</f>
        <v>1</v>
      </c>
      <c r="EC211" s="17"/>
      <c r="ED211" s="17"/>
      <c r="EE211" s="17"/>
      <c r="EF211" s="17">
        <f>SUM(EF207:EF210)</f>
        <v>280.84752181335136</v>
      </c>
      <c r="EG211" s="17">
        <f>SUM(EG207:EG210)</f>
        <v>891683.71589033271</v>
      </c>
    </row>
    <row r="212" spans="13:137" ht="19" thickBot="1" x14ac:dyDescent="0.3">
      <c r="BP212" s="50">
        <f>BG218</f>
        <v>266.54186951700353</v>
      </c>
      <c r="BQ212" s="48">
        <f>BQ218</f>
        <v>7.8280438423951431</v>
      </c>
      <c r="BW212" s="385"/>
      <c r="BX212" s="3" t="s">
        <v>68</v>
      </c>
      <c r="BY212" s="3">
        <f t="shared" si="107"/>
        <v>22.962283000184108</v>
      </c>
      <c r="BZ212" s="3">
        <v>0.33</v>
      </c>
      <c r="CA212" s="3">
        <f>MW_CH4</f>
        <v>1.604276E-2</v>
      </c>
      <c r="CB212" s="3">
        <f t="shared" si="105"/>
        <v>1431.3174915154318</v>
      </c>
      <c r="CC212" s="3">
        <f>b_ch_CH4</f>
        <v>831.8</v>
      </c>
      <c r="CD212" s="3">
        <f t="shared" si="108"/>
        <v>6.6865497830930945E-2</v>
      </c>
      <c r="CE212" s="3">
        <f t="shared" si="109"/>
        <v>-2.7050721723709388</v>
      </c>
      <c r="CF212" s="3">
        <f t="shared" si="106"/>
        <v>-6.1431353167242753</v>
      </c>
      <c r="CG212" s="3">
        <f t="shared" si="110"/>
        <v>825.65686468327567</v>
      </c>
      <c r="CH212" s="3">
        <f t="shared" si="111"/>
        <v>55.207957294572815</v>
      </c>
      <c r="CI212" s="3">
        <f t="shared" si="112"/>
        <v>1181777.1124109626</v>
      </c>
      <c r="CR212" s="1" t="s">
        <v>93</v>
      </c>
      <c r="CS212" s="1"/>
      <c r="CT212" s="3" t="s">
        <v>95</v>
      </c>
      <c r="CU212" s="3" t="s">
        <v>91</v>
      </c>
      <c r="CV212" s="4"/>
      <c r="CW212" s="4"/>
      <c r="DA212" s="3" t="s">
        <v>100</v>
      </c>
      <c r="DB212" s="1" t="s">
        <v>97</v>
      </c>
      <c r="DW212" s="1" t="s">
        <v>93</v>
      </c>
      <c r="DX212" s="1"/>
      <c r="DY212" s="3" t="s">
        <v>95</v>
      </c>
      <c r="DZ212" s="3" t="s">
        <v>91</v>
      </c>
      <c r="EA212" s="4"/>
      <c r="EB212" s="4"/>
      <c r="EF212" s="3" t="s">
        <v>100</v>
      </c>
      <c r="EG212" s="1" t="s">
        <v>97</v>
      </c>
    </row>
    <row r="213" spans="13:137" x14ac:dyDescent="0.2">
      <c r="BX213" s="17" t="s">
        <v>20</v>
      </c>
      <c r="BY213" s="17">
        <f>COG_needed</f>
        <v>69.582675758133661</v>
      </c>
      <c r="BZ213" s="17">
        <f>SUM(BZ207:BZ212)</f>
        <v>1</v>
      </c>
      <c r="CA213" s="17"/>
      <c r="CB213" s="17">
        <f>SUM(CB207:CB212)</f>
        <v>21405.919913054571</v>
      </c>
      <c r="CC213" s="17">
        <f>SUM(CC207:CC212)</f>
        <v>2724.7529599999998</v>
      </c>
      <c r="CD213" s="17">
        <f>SUM(CD207:CD212)</f>
        <v>1.0000000000000002</v>
      </c>
      <c r="CE213" s="17"/>
      <c r="CF213" s="17"/>
      <c r="CG213" s="17"/>
      <c r="CH213" s="17">
        <f>SUM(CH207:CH212)</f>
        <v>277.27881249138687</v>
      </c>
      <c r="CI213" s="17">
        <f>SUM(CI207:CI212)</f>
        <v>5935408.0537775028</v>
      </c>
    </row>
    <row r="214" spans="13:137" ht="18" x14ac:dyDescent="0.25">
      <c r="BG214" s="3" t="s">
        <v>1</v>
      </c>
      <c r="BH214" s="3" t="s">
        <v>49</v>
      </c>
      <c r="BI214" s="1" t="s">
        <v>5</v>
      </c>
      <c r="BJ214" s="1" t="s">
        <v>134</v>
      </c>
      <c r="BK214" s="1" t="s">
        <v>136</v>
      </c>
      <c r="BL214" s="1" t="s">
        <v>133</v>
      </c>
      <c r="BM214" s="1" t="s">
        <v>9</v>
      </c>
      <c r="BN214" s="1" t="s">
        <v>137</v>
      </c>
      <c r="BO214" s="1" t="s">
        <v>138</v>
      </c>
      <c r="BP214" s="1" t="s">
        <v>139</v>
      </c>
      <c r="BQ214" s="1" t="s">
        <v>140</v>
      </c>
      <c r="BY214" s="1" t="s">
        <v>93</v>
      </c>
      <c r="BZ214" s="1"/>
      <c r="CA214" s="3" t="s">
        <v>95</v>
      </c>
      <c r="CB214" s="3" t="s">
        <v>91</v>
      </c>
      <c r="CC214" s="4"/>
      <c r="CD214" s="4"/>
      <c r="CH214" s="3" t="s">
        <v>100</v>
      </c>
      <c r="CI214" s="1" t="s">
        <v>97</v>
      </c>
    </row>
    <row r="215" spans="13:137" ht="18" x14ac:dyDescent="0.25">
      <c r="BF215" s="95" t="s">
        <v>43</v>
      </c>
      <c r="BG215" s="3" t="s">
        <v>12</v>
      </c>
      <c r="BH215" s="3" t="s">
        <v>244</v>
      </c>
      <c r="BI215" s="2" t="s">
        <v>94</v>
      </c>
      <c r="BJ215" s="2" t="s">
        <v>90</v>
      </c>
      <c r="BK215" s="2" t="s">
        <v>99</v>
      </c>
      <c r="BL215" s="2" t="s">
        <v>27</v>
      </c>
      <c r="BM215" s="2" t="s">
        <v>102</v>
      </c>
      <c r="BN215" s="2" t="s">
        <v>99</v>
      </c>
      <c r="BO215" s="2" t="s">
        <v>99</v>
      </c>
      <c r="BP215" s="2" t="s">
        <v>98</v>
      </c>
      <c r="BQ215" s="2" t="s">
        <v>96</v>
      </c>
    </row>
    <row r="216" spans="13:137" ht="18" customHeight="1" x14ac:dyDescent="0.25">
      <c r="BE216" s="348" t="s">
        <v>87</v>
      </c>
      <c r="BF216" s="1" t="s">
        <v>307</v>
      </c>
      <c r="BG216" s="17">
        <f>O2_in_coke_oven</f>
        <v>62.106254798246304</v>
      </c>
      <c r="BH216" s="17">
        <f>BG216/$BG$218</f>
        <v>0.23300750051310176</v>
      </c>
      <c r="BI216" s="3">
        <f>MW_O2</f>
        <v>3.1998800000000001E-2</v>
      </c>
      <c r="BJ216" s="3">
        <f>BH216/BI216</f>
        <v>7.2817574569390651</v>
      </c>
      <c r="BK216" s="3">
        <f>b_ch_O2</f>
        <v>4</v>
      </c>
      <c r="BL216" s="3">
        <f>BJ216/BJ218</f>
        <v>0.21008403361344538</v>
      </c>
      <c r="BM216" s="1">
        <f>LN(BL216)</f>
        <v>-1.5602476682433286</v>
      </c>
      <c r="BN216" s="1">
        <f>RT0*BM216</f>
        <v>-3.5432742429276503</v>
      </c>
      <c r="BO216" s="1">
        <f>BK216+BN216</f>
        <v>0.45672575707234975</v>
      </c>
      <c r="BP216" s="1">
        <f>BO216*BL216</f>
        <v>9.5950789300913816E-2</v>
      </c>
      <c r="BQ216" s="1">
        <f>BJ218*BP216</f>
        <v>3.3257661873377229</v>
      </c>
    </row>
    <row r="217" spans="13:137" ht="19" thickBot="1" x14ac:dyDescent="0.3">
      <c r="BE217" s="348"/>
      <c r="BF217" s="60" t="s">
        <v>70</v>
      </c>
      <c r="BG217" s="3">
        <f>N2_in_coke_oven</f>
        <v>204.43561471875722</v>
      </c>
      <c r="BH217" s="3">
        <f>BG217/$BG$218</f>
        <v>0.76699249948689818</v>
      </c>
      <c r="BI217" s="28">
        <f>MW_N2</f>
        <v>2.801348E-2</v>
      </c>
      <c r="BJ217" s="28">
        <f>BH217/BI217</f>
        <v>27.379408038090883</v>
      </c>
      <c r="BK217" s="28">
        <f>b_ch_N2</f>
        <v>0.7</v>
      </c>
      <c r="BL217" s="28">
        <f>BJ217/BJ218</f>
        <v>0.78991596638655459</v>
      </c>
      <c r="BM217" s="2">
        <f>LN(BL217)</f>
        <v>-0.23582871084152554</v>
      </c>
      <c r="BN217" s="2">
        <f>RT0*BM217</f>
        <v>-0.53555971521393941</v>
      </c>
      <c r="BO217" s="2">
        <f>BK217+BN217</f>
        <v>0.16444028478606054</v>
      </c>
      <c r="BP217" s="2">
        <f>BO217*BL217</f>
        <v>0.12989400646966126</v>
      </c>
      <c r="BQ217" s="2">
        <f>BJ218*BP217</f>
        <v>4.5022776550574202</v>
      </c>
    </row>
    <row r="218" spans="13:137" x14ac:dyDescent="0.2">
      <c r="BF218" s="3" t="s">
        <v>20</v>
      </c>
      <c r="BG218" s="17">
        <f>SUM(BG216:BG217)</f>
        <v>266.54186951700353</v>
      </c>
      <c r="BH218" s="17">
        <f>SUM(BH216:BH217)</f>
        <v>1</v>
      </c>
      <c r="BI218" s="3">
        <f>SUM(BI216:BI217)</f>
        <v>6.0012280000000001E-2</v>
      </c>
      <c r="BJ218" s="3">
        <f>SUM(BJ216:BJ217)</f>
        <v>34.661165495029948</v>
      </c>
      <c r="BP218" s="3">
        <f>SUM(BP216:BP217)</f>
        <v>0.22584479577057509</v>
      </c>
      <c r="BQ218" s="3">
        <f>SUM(BQ216:BQ217)</f>
        <v>7.8280438423951431</v>
      </c>
      <c r="CH218" s="63" t="s">
        <v>1</v>
      </c>
      <c r="CI218" s="58" t="s">
        <v>0</v>
      </c>
    </row>
    <row r="219" spans="13:137" ht="18" x14ac:dyDescent="0.25">
      <c r="BG219" s="1" t="s">
        <v>93</v>
      </c>
      <c r="BH219" s="1"/>
      <c r="BI219" s="3" t="s">
        <v>95</v>
      </c>
      <c r="BJ219" s="3" t="s">
        <v>91</v>
      </c>
      <c r="BK219" s="4"/>
      <c r="BL219" s="4"/>
      <c r="BP219" s="3" t="s">
        <v>100</v>
      </c>
      <c r="BQ219" s="1" t="s">
        <v>97</v>
      </c>
      <c r="CH219" s="65" t="s">
        <v>93</v>
      </c>
      <c r="CI219" s="64" t="s">
        <v>97</v>
      </c>
    </row>
    <row r="220" spans="13:137" ht="16" thickBot="1" x14ac:dyDescent="0.25">
      <c r="CH220" s="50">
        <f>BY227</f>
        <v>276.97927088072356</v>
      </c>
      <c r="CI220" s="48">
        <f>CI227</f>
        <v>24560.677586239479</v>
      </c>
    </row>
    <row r="221" spans="13:137" x14ac:dyDescent="0.2">
      <c r="M221" s="16" t="s">
        <v>246</v>
      </c>
      <c r="N221" s="3" t="s">
        <v>196</v>
      </c>
      <c r="O221" s="3" t="s">
        <v>245</v>
      </c>
      <c r="P221" s="3" t="s">
        <v>247</v>
      </c>
    </row>
    <row r="222" spans="13:137" ht="18" x14ac:dyDescent="0.25">
      <c r="BX222" s="25"/>
      <c r="BY222" s="3" t="s">
        <v>1</v>
      </c>
      <c r="BZ222" s="3" t="s">
        <v>49</v>
      </c>
      <c r="CA222" s="3" t="s">
        <v>5</v>
      </c>
      <c r="CB222" s="3" t="s">
        <v>376</v>
      </c>
      <c r="CC222" s="1" t="s">
        <v>136</v>
      </c>
      <c r="CD222" s="1" t="s">
        <v>133</v>
      </c>
      <c r="CE222" s="1" t="s">
        <v>9</v>
      </c>
      <c r="CF222" s="1" t="s">
        <v>137</v>
      </c>
      <c r="CG222" s="1" t="s">
        <v>138</v>
      </c>
      <c r="CH222" s="1" t="s">
        <v>139</v>
      </c>
      <c r="CI222" s="1" t="s">
        <v>140</v>
      </c>
    </row>
    <row r="223" spans="13:137" ht="18" x14ac:dyDescent="0.25">
      <c r="BX223" s="3" t="s">
        <v>43</v>
      </c>
      <c r="BY223" s="3" t="s">
        <v>12</v>
      </c>
      <c r="BZ223" s="3" t="s">
        <v>244</v>
      </c>
      <c r="CA223" s="1" t="s">
        <v>88</v>
      </c>
      <c r="CB223" s="3" t="s">
        <v>44</v>
      </c>
      <c r="CC223" s="1" t="s">
        <v>99</v>
      </c>
      <c r="CD223" s="1" t="s">
        <v>27</v>
      </c>
      <c r="CE223" s="1" t="s">
        <v>102</v>
      </c>
      <c r="CF223" s="1" t="s">
        <v>99</v>
      </c>
      <c r="CG223" s="1" t="s">
        <v>99</v>
      </c>
      <c r="CH223" s="1" t="s">
        <v>98</v>
      </c>
      <c r="CI223" s="1" t="s">
        <v>96</v>
      </c>
    </row>
    <row r="224" spans="13:137" ht="17" x14ac:dyDescent="0.25">
      <c r="BW224" s="369" t="s">
        <v>538</v>
      </c>
      <c r="BX224" s="17" t="s">
        <v>71</v>
      </c>
      <c r="BY224" s="17">
        <f>H2O_out_coke_oven</f>
        <v>61.357504924999432</v>
      </c>
      <c r="BZ224" s="17">
        <f>BY224/BY227</f>
        <v>0.22152381559059706</v>
      </c>
      <c r="CA224" s="17">
        <f>MW_H2O</f>
        <v>1.8015280000000002E-2</v>
      </c>
      <c r="CB224" s="17">
        <f>BY224/CA224</f>
        <v>3405.8590776829128</v>
      </c>
      <c r="CC224" s="17">
        <f>b_ch_H2O</f>
        <v>9.5113440000000082</v>
      </c>
      <c r="CD224" s="17">
        <f>CB224/$CB$227</f>
        <v>0.31074322138852228</v>
      </c>
      <c r="CE224" s="17">
        <f>LN(CD224)</f>
        <v>-1.1687883625427635</v>
      </c>
      <c r="CF224" s="17">
        <f>RT0*CE224</f>
        <v>-2.6542822557742132</v>
      </c>
      <c r="CG224" s="17">
        <f>CF224+CC224</f>
        <v>6.8570617442257955</v>
      </c>
      <c r="CH224" s="17">
        <f>CD224*CG224</f>
        <v>2.1307854556607233</v>
      </c>
      <c r="CI224" s="17">
        <f>CH224*$CB$227</f>
        <v>23354.185987803656</v>
      </c>
    </row>
    <row r="225" spans="43:87" ht="18" x14ac:dyDescent="0.25">
      <c r="BW225" s="369"/>
      <c r="BX225" s="365" t="s">
        <v>67</v>
      </c>
      <c r="BY225" s="351">
        <f>CO2_out_coke_oven</f>
        <v>10.987840611056242</v>
      </c>
      <c r="BZ225" s="351">
        <f>BY225/BY227</f>
        <v>3.9670263323741545E-2</v>
      </c>
      <c r="CA225" s="351">
        <f>MW_CO2</f>
        <v>4.4009800000000002E-2</v>
      </c>
      <c r="CB225" s="351">
        <f t="shared" ref="CB225:CB226" si="120">BY225/CA225</f>
        <v>249.6680423691142</v>
      </c>
      <c r="CC225" s="351">
        <f>b_ch_CO2</f>
        <v>19.900000000000034</v>
      </c>
      <c r="CD225" s="351">
        <f t="shared" ref="CD225:CD226" si="121">CB225/$CB$227</f>
        <v>2.2779172594635341E-2</v>
      </c>
      <c r="CE225" s="351">
        <f t="shared" ref="CE225:CE226" si="122">LN(CD225)</f>
        <v>-3.7819086431927476</v>
      </c>
      <c r="CF225" s="351">
        <f>RT0*CE225</f>
        <v>-8.5885976677136551</v>
      </c>
      <c r="CG225" s="351">
        <f t="shared" ref="CG225:CG226" si="123">CF225+CC225</f>
        <v>11.311402332286379</v>
      </c>
      <c r="CH225" s="351">
        <f t="shared" ref="CH225:CH226" si="124">CD225*CG225</f>
        <v>0.25766438601451219</v>
      </c>
      <c r="CI225" s="351">
        <f t="shared" ref="CI225:CI226" si="125">CH225*$CB$227</f>
        <v>2824.095676751373</v>
      </c>
    </row>
    <row r="226" spans="43:87" ht="18" x14ac:dyDescent="0.25">
      <c r="BW226" s="369"/>
      <c r="BX226" s="366" t="s">
        <v>70</v>
      </c>
      <c r="BY226" s="351">
        <f>N2_out_coke_oven</f>
        <v>204.63392534466789</v>
      </c>
      <c r="BZ226" s="351">
        <f>BY226/BY227</f>
        <v>0.73880592108566145</v>
      </c>
      <c r="CA226" s="351">
        <f>MW_N2</f>
        <v>2.801348E-2</v>
      </c>
      <c r="CB226" s="351">
        <f t="shared" si="120"/>
        <v>7304.8377190077026</v>
      </c>
      <c r="CC226" s="351">
        <f>b_ch_N2</f>
        <v>0.7</v>
      </c>
      <c r="CD226" s="351">
        <f t="shared" si="121"/>
        <v>0.66647760601684236</v>
      </c>
      <c r="CE226" s="351">
        <f t="shared" si="122"/>
        <v>-0.40574873930242544</v>
      </c>
      <c r="CF226" s="351">
        <f>RT0*CE226</f>
        <v>-0.92144284931976372</v>
      </c>
      <c r="CG226" s="351">
        <f t="shared" si="123"/>
        <v>-0.22144284931976377</v>
      </c>
      <c r="CH226" s="351">
        <f t="shared" si="124"/>
        <v>-0.14758670008418451</v>
      </c>
      <c r="CI226" s="351">
        <f t="shared" si="125"/>
        <v>-1617.6040783155495</v>
      </c>
    </row>
    <row r="227" spans="43:87" x14ac:dyDescent="0.2">
      <c r="AQ227" s="16"/>
      <c r="BX227" s="17" t="s">
        <v>20</v>
      </c>
      <c r="BY227" s="17">
        <f>SUM(BY224:BY226)</f>
        <v>276.97927088072356</v>
      </c>
      <c r="BZ227" s="17">
        <f>SUM(BZ224:BZ226)</f>
        <v>1</v>
      </c>
      <c r="CA227" s="17">
        <f>SUM(CA224:CA226)</f>
        <v>9.0038560000000004E-2</v>
      </c>
      <c r="CB227" s="17">
        <f>SUM(CB224:CB226)</f>
        <v>10960.36483905973</v>
      </c>
      <c r="CC227" s="17">
        <f>SUM(CC223:CC226)</f>
        <v>30.111344000000042</v>
      </c>
      <c r="CD227" s="17"/>
      <c r="CE227" s="17"/>
      <c r="CF227" s="17"/>
      <c r="CG227" s="17"/>
      <c r="CH227" s="17">
        <f>SUM(CH224:CH226)</f>
        <v>2.2408631415910509</v>
      </c>
      <c r="CI227" s="17">
        <f>SUM(CI224:CI226)</f>
        <v>24560.677586239479</v>
      </c>
    </row>
    <row r="228" spans="43:87" ht="18" x14ac:dyDescent="0.25">
      <c r="BY228" s="1" t="s">
        <v>93</v>
      </c>
      <c r="BZ228" s="1"/>
      <c r="CA228" s="3" t="s">
        <v>95</v>
      </c>
      <c r="CB228" s="3" t="s">
        <v>91</v>
      </c>
      <c r="CC228" s="4"/>
      <c r="CD228" s="4"/>
      <c r="CH228" s="3" t="s">
        <v>100</v>
      </c>
      <c r="CI228" s="1" t="s">
        <v>97</v>
      </c>
    </row>
  </sheetData>
  <mergeCells count="79">
    <mergeCell ref="BE216:BE217"/>
    <mergeCell ref="EL133:EL135"/>
    <mergeCell ref="BY130:BY133"/>
    <mergeCell ref="BF132:BF133"/>
    <mergeCell ref="CP207:CP210"/>
    <mergeCell ref="DU207:DU210"/>
    <mergeCell ref="EI203:EM205"/>
    <mergeCell ref="BW224:BW226"/>
    <mergeCell ref="BQ162:BW162"/>
    <mergeCell ref="DN144:DN147"/>
    <mergeCell ref="CK196:CP196"/>
    <mergeCell ref="BE199:BE202"/>
    <mergeCell ref="AZ176:BD177"/>
    <mergeCell ref="BC178:BC179"/>
    <mergeCell ref="BE181:BE186"/>
    <mergeCell ref="BW207:BW212"/>
    <mergeCell ref="B118:B119"/>
    <mergeCell ref="U118:U119"/>
    <mergeCell ref="AM118:AM119"/>
    <mergeCell ref="BE118:BE119"/>
    <mergeCell ref="B181:B186"/>
    <mergeCell ref="H161:H162"/>
    <mergeCell ref="G160:I160"/>
    <mergeCell ref="BD46:BD47"/>
    <mergeCell ref="O186:O191"/>
    <mergeCell ref="U181:U186"/>
    <mergeCell ref="AM181:AM186"/>
    <mergeCell ref="BW191:BW196"/>
    <mergeCell ref="AW98:BC98"/>
    <mergeCell ref="AZ114:BD115"/>
    <mergeCell ref="BD59:BD62"/>
    <mergeCell ref="O114:S115"/>
    <mergeCell ref="B46:B47"/>
    <mergeCell ref="B48:B51"/>
    <mergeCell ref="T46:T47"/>
    <mergeCell ref="T48:T51"/>
    <mergeCell ref="G23:I24"/>
    <mergeCell ref="H25:H26"/>
    <mergeCell ref="H101:H102"/>
    <mergeCell ref="O152:U152"/>
    <mergeCell ref="AJ44:AJ45"/>
    <mergeCell ref="AF98:AL98"/>
    <mergeCell ref="AL46:AL47"/>
    <mergeCell ref="AL48:AL51"/>
    <mergeCell ref="G99:I100"/>
    <mergeCell ref="O25:U25"/>
    <mergeCell ref="O98:U98"/>
    <mergeCell ref="R44:R45"/>
    <mergeCell ref="O42:S43"/>
    <mergeCell ref="H41:J42"/>
    <mergeCell ref="BB44:BB45"/>
    <mergeCell ref="AF25:AL25"/>
    <mergeCell ref="AX25:BD25"/>
    <mergeCell ref="AY42:BC43"/>
    <mergeCell ref="AG42:AK43"/>
    <mergeCell ref="AK116:AK117"/>
    <mergeCell ref="BC116:BC117"/>
    <mergeCell ref="BU116:BU117"/>
    <mergeCell ref="EA114:EG116"/>
    <mergeCell ref="BR114:BV115"/>
    <mergeCell ref="AH114:AL115"/>
    <mergeCell ref="DN132:DN133"/>
    <mergeCell ref="DN118:DN121"/>
    <mergeCell ref="DG114:DM116"/>
    <mergeCell ref="EE117:EE118"/>
    <mergeCell ref="EA100:EG100"/>
    <mergeCell ref="DK117:DK118"/>
    <mergeCell ref="EY114:FE116"/>
    <mergeCell ref="CK203:CO204"/>
    <mergeCell ref="CN205:CN206"/>
    <mergeCell ref="S178:S179"/>
    <mergeCell ref="O176:T177"/>
    <mergeCell ref="BU178:BU179"/>
    <mergeCell ref="AK178:AK179"/>
    <mergeCell ref="R116:R117"/>
    <mergeCell ref="AF157:AL157"/>
    <mergeCell ref="AW157:BC157"/>
    <mergeCell ref="AH176:AL177"/>
    <mergeCell ref="BR176:BV177"/>
  </mergeCells>
  <conditionalFormatting sqref="Q46">
    <cfRule type="cellIs" dxfId="19" priority="9" operator="notEqual">
      <formula>0</formula>
    </cfRule>
  </conditionalFormatting>
  <conditionalFormatting sqref="Q118">
    <cfRule type="cellIs" dxfId="18" priority="10" operator="notEqual">
      <formula>0</formula>
    </cfRule>
  </conditionalFormatting>
  <conditionalFormatting sqref="R180">
    <cfRule type="cellIs" dxfId="17" priority="8" operator="notEqual">
      <formula>0</formula>
    </cfRule>
  </conditionalFormatting>
  <conditionalFormatting sqref="AI46">
    <cfRule type="cellIs" dxfId="16" priority="19" operator="notEqual">
      <formula>0</formula>
    </cfRule>
  </conditionalFormatting>
  <conditionalFormatting sqref="AJ118">
    <cfRule type="cellIs" dxfId="15" priority="17" operator="notEqual">
      <formula>0</formula>
    </cfRule>
  </conditionalFormatting>
  <conditionalFormatting sqref="AJ180">
    <cfRule type="cellIs" dxfId="14" priority="14" operator="notEqual">
      <formula>0</formula>
    </cfRule>
  </conditionalFormatting>
  <conditionalFormatting sqref="AN180">
    <cfRule type="expression" dxfId="13" priority="6">
      <formula>ifdigit(subscript)</formula>
    </cfRule>
  </conditionalFormatting>
  <conditionalFormatting sqref="BA46">
    <cfRule type="cellIs" dxfId="12" priority="18" operator="notEqual">
      <formula>0</formula>
    </cfRule>
  </conditionalFormatting>
  <conditionalFormatting sqref="BB118">
    <cfRule type="cellIs" dxfId="11" priority="16" operator="notEqual">
      <formula>0</formula>
    </cfRule>
  </conditionalFormatting>
  <conditionalFormatting sqref="BT180">
    <cfRule type="cellIs" dxfId="10" priority="15" operator="notEqual">
      <formula>0</formula>
    </cfRule>
  </conditionalFormatting>
  <conditionalFormatting sqref="BT118">
    <cfRule type="cellIs" dxfId="9" priority="13" operator="notEqual">
      <formula>0</formula>
    </cfRule>
  </conditionalFormatting>
  <conditionalFormatting sqref="CM207">
    <cfRule type="cellIs" dxfId="8" priority="3" operator="notEqual">
      <formula>0</formula>
    </cfRule>
  </conditionalFormatting>
  <conditionalFormatting sqref="BV58:BW58">
    <cfRule type="cellIs" dxfId="7" priority="27" operator="notEqual">
      <formula>0</formula>
    </cfRule>
  </conditionalFormatting>
  <conditionalFormatting sqref="DJ119">
    <cfRule type="cellIs" dxfId="6" priority="12" operator="notEqual">
      <formula>0</formula>
    </cfRule>
  </conditionalFormatting>
  <conditionalFormatting sqref="ED119">
    <cfRule type="cellIs" dxfId="5" priority="11" operator="notEqual">
      <formula>0</formula>
    </cfRule>
  </conditionalFormatting>
  <conditionalFormatting sqref="BB180">
    <cfRule type="cellIs" dxfId="4" priority="2" operator="notEqual">
      <formula>0</formula>
    </cfRule>
  </conditionalFormatting>
  <conditionalFormatting sqref="BF180">
    <cfRule type="expression" dxfId="3" priority="1">
      <formula>ifdigit(subscript)</formula>
    </cfRule>
  </conditionalFormatting>
  <hyperlinks>
    <hyperlink ref="M221" r:id="rId1" xr:uid="{1E2DEDF9-8E7F-4D28-AC57-53303B92B7F0}"/>
    <hyperlink ref="P113" r:id="rId2" display="https://www.energy.gov/sites/prod/files/2013/11/f4/stone.pdf " xr:uid="{AF245922-834D-4662-9DA0-F382834AE844}"/>
    <hyperlink ref="O96" r:id="rId3" xr:uid="{A4251BDA-C4C5-46A2-8B17-065A47022922}"/>
    <hyperlink ref="O23" r:id="rId4" xr:uid="{A96D993E-4285-49E6-8621-01844CEAF159}"/>
    <hyperlink ref="AW23" r:id="rId5" xr:uid="{E8D50ABA-90E2-44F2-9580-617CC2437586}"/>
    <hyperlink ref="R173" r:id="rId6" xr:uid="{377314BC-714F-45E1-97D2-18DBE180EBB9}"/>
    <hyperlink ref="BD168" r:id="rId7" xr:uid="{05A5374B-6767-4F84-A755-EAF8CD6ED31A}"/>
    <hyperlink ref="Q195" r:id="rId8" xr:uid="{B13F52D2-2BA9-4991-ADC9-1EF93F450CCB}"/>
    <hyperlink ref="AY92" r:id="rId9" xr:uid="{C0E610DB-FD23-49C0-9161-DEEFFEB47B1F}"/>
    <hyperlink ref="AA111" r:id="rId10" xr:uid="{8F21522B-D8EB-49FD-88DB-792AD0FBF37F}"/>
    <hyperlink ref="EA98" r:id="rId11" xr:uid="{E520A503-6F94-42E6-B461-D6CD1E365E64}"/>
    <hyperlink ref="BN101" r:id="rId12" xr:uid="{56AA5492-5E7B-6740-9CD6-917BF070EA2B}"/>
    <hyperlink ref="AF22" r:id="rId13" xr:uid="{9679CAA2-2512-3646-B9B7-B3BAD1D49758}"/>
  </hyperlinks>
  <pageMargins left="0.7" right="0.7" top="0.75" bottom="0.75" header="0.3" footer="0.3"/>
  <pageSetup scale="10" orientation="landscape" r:id="rId14"/>
  <drawing r:id="rId1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70289-26C7-E74A-8076-7D97EB6A8FB2}">
  <dimension ref="B41:BI175"/>
  <sheetViews>
    <sheetView topLeftCell="A116" zoomScale="106" workbookViewId="0">
      <selection activeCell="N146" sqref="N146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6" width="10.83203125" style="3"/>
    <col min="7" max="7" width="11.1640625" style="3" bestFit="1" customWidth="1"/>
    <col min="8" max="34" width="10.83203125" style="3"/>
    <col min="35" max="35" width="16" style="3" customWidth="1"/>
    <col min="36" max="44" width="10.83203125" style="3"/>
    <col min="45" max="45" width="11.1640625" style="3" bestFit="1" customWidth="1"/>
    <col min="46" max="16384" width="10.83203125" style="3"/>
  </cols>
  <sheetData>
    <row r="41" spans="27:56" ht="112" x14ac:dyDescent="0.2">
      <c r="AG41" s="387"/>
      <c r="AH41" s="208" t="s">
        <v>431</v>
      </c>
      <c r="AI41" s="208" t="s">
        <v>432</v>
      </c>
      <c r="AJ41" s="208" t="s">
        <v>433</v>
      </c>
      <c r="AK41" s="208" t="s">
        <v>467</v>
      </c>
      <c r="AL41" s="208" t="s">
        <v>468</v>
      </c>
      <c r="AM41" s="208" t="s">
        <v>469</v>
      </c>
      <c r="AN41" s="208" t="s">
        <v>462</v>
      </c>
      <c r="AO41" s="208" t="s">
        <v>459</v>
      </c>
      <c r="AP41" s="208" t="s">
        <v>489</v>
      </c>
      <c r="AQ41" s="208" t="s">
        <v>455</v>
      </c>
      <c r="AR41" s="208" t="s">
        <v>483</v>
      </c>
      <c r="AS41" s="208" t="s">
        <v>498</v>
      </c>
      <c r="AT41" s="208" t="s">
        <v>542</v>
      </c>
      <c r="AU41" s="208" t="s">
        <v>84</v>
      </c>
      <c r="AV41" s="208" t="s">
        <v>445</v>
      </c>
      <c r="BA41" s="208"/>
      <c r="BB41" s="208" t="s">
        <v>438</v>
      </c>
      <c r="BC41" s="208" t="s">
        <v>369</v>
      </c>
    </row>
    <row r="42" spans="27:56" x14ac:dyDescent="0.2">
      <c r="AA42" s="205"/>
      <c r="AG42" s="205" t="s">
        <v>441</v>
      </c>
      <c r="AH42" s="246">
        <f>'Ore-&gt;PI'!N42</f>
        <v>109233.7126431732</v>
      </c>
      <c r="AI42" s="246"/>
      <c r="AJ42" s="246"/>
      <c r="AK42" s="246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246"/>
      <c r="AW42" s="370">
        <f>SUM(AH42:AV42)</f>
        <v>109233.7126431732</v>
      </c>
      <c r="AX42" s="374"/>
      <c r="AY42" s="374"/>
      <c r="BA42" s="205" t="s">
        <v>441</v>
      </c>
      <c r="BB42" s="353"/>
      <c r="BC42" s="353"/>
      <c r="BD42" s="370">
        <f>SUM(BB42:BC42)</f>
        <v>0</v>
      </c>
    </row>
    <row r="43" spans="27:56" x14ac:dyDescent="0.2">
      <c r="AA43" s="205"/>
      <c r="AG43" s="205" t="s">
        <v>443</v>
      </c>
      <c r="AH43" s="246"/>
      <c r="AI43" s="246">
        <f>'Ore-&gt;PI'!N114</f>
        <v>25394.240916408646</v>
      </c>
      <c r="AJ43" s="246"/>
      <c r="AK43" s="246"/>
      <c r="AL43" s="246"/>
      <c r="AM43" s="246"/>
      <c r="AN43" s="246"/>
      <c r="AO43" s="246"/>
      <c r="AP43" s="246"/>
      <c r="AQ43" s="246"/>
      <c r="AR43" s="246"/>
      <c r="AS43" s="246"/>
      <c r="AT43" s="246"/>
      <c r="AU43" s="246"/>
      <c r="AV43" s="246"/>
      <c r="AW43" s="370">
        <f>SUM(AH43:AV43)</f>
        <v>25394.240916408646</v>
      </c>
      <c r="AX43" s="374"/>
      <c r="AY43" s="374"/>
      <c r="BA43" s="205" t="s">
        <v>443</v>
      </c>
      <c r="BB43" s="353"/>
      <c r="BC43" s="353"/>
      <c r="BD43" s="370">
        <f>SUM(BB43:BC43)</f>
        <v>0</v>
      </c>
    </row>
    <row r="44" spans="27:56" x14ac:dyDescent="0.2">
      <c r="AA44" s="205"/>
      <c r="AG44" s="205" t="s">
        <v>444</v>
      </c>
      <c r="AH44" s="246"/>
      <c r="AI44" s="246"/>
      <c r="AJ44" s="246">
        <f>'Ore-&gt;PI'!N176</f>
        <v>8570853.2918241844</v>
      </c>
      <c r="AK44" s="246"/>
      <c r="AL44" s="246"/>
      <c r="AM44" s="246"/>
      <c r="AN44" s="246"/>
      <c r="AO44" s="246"/>
      <c r="AP44" s="246"/>
      <c r="AQ44" s="246"/>
      <c r="AR44" s="246"/>
      <c r="AS44" s="246"/>
      <c r="AT44" s="246"/>
      <c r="AU44" s="246"/>
      <c r="AV44" s="246"/>
      <c r="AW44" s="370">
        <f>SUM(AH44:AV44)</f>
        <v>8570853.2918241844</v>
      </c>
      <c r="AX44" s="374"/>
      <c r="AY44" s="374"/>
      <c r="BA44" s="205" t="s">
        <v>444</v>
      </c>
      <c r="BB44" s="353"/>
      <c r="BC44" s="353"/>
      <c r="BD44" s="370">
        <f>SUM(BB44:BC44)</f>
        <v>0</v>
      </c>
    </row>
    <row r="45" spans="27:56" x14ac:dyDescent="0.2">
      <c r="AA45" s="205"/>
      <c r="AG45" s="205" t="s">
        <v>466</v>
      </c>
      <c r="AH45" s="246"/>
      <c r="AI45" s="246"/>
      <c r="AJ45" s="246"/>
      <c r="AK45" s="246"/>
      <c r="AL45" s="246"/>
      <c r="AM45" s="246"/>
      <c r="AN45" s="246"/>
      <c r="AO45" s="246"/>
      <c r="AP45" s="246"/>
      <c r="AQ45" s="246">
        <f>'Ore-&gt;PI'!BQ212</f>
        <v>7.8280438423951431</v>
      </c>
      <c r="AR45" s="246"/>
      <c r="AS45" s="246">
        <f>'Ore-&gt;PI'!BQ128</f>
        <v>2228.753251272266</v>
      </c>
      <c r="AT45" s="246"/>
      <c r="AU45" s="246"/>
      <c r="AV45" s="352">
        <f>'Ore-&gt;PI'!DY128</f>
        <v>18633.952798957667</v>
      </c>
      <c r="AW45" s="370">
        <f>SUM(AH45:AV45)</f>
        <v>20870.534094072329</v>
      </c>
      <c r="AX45" s="374"/>
      <c r="AY45" s="374"/>
      <c r="BA45" s="205" t="s">
        <v>466</v>
      </c>
      <c r="BB45" s="353"/>
      <c r="BC45" s="353"/>
      <c r="BD45" s="370">
        <f t="shared" ref="BD45:BD49" si="0">SUM(BB45:BC45)</f>
        <v>0</v>
      </c>
    </row>
    <row r="46" spans="27:56" x14ac:dyDescent="0.2">
      <c r="AA46" s="205"/>
      <c r="AG46" s="205" t="s">
        <v>518</v>
      </c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>
        <f>'Ore-&gt;PI'!BQ140</f>
        <v>1078370532.5161049</v>
      </c>
      <c r="AT46" s="246"/>
      <c r="AU46" s="246"/>
      <c r="AV46" s="246"/>
      <c r="AW46" s="370">
        <f>SUM(AH46:AV46)</f>
        <v>1078370532.5161049</v>
      </c>
      <c r="AX46" s="374"/>
      <c r="AY46" s="374"/>
      <c r="BA46" s="205" t="s">
        <v>518</v>
      </c>
      <c r="BB46" s="353"/>
      <c r="BC46" s="353"/>
      <c r="BD46" s="370">
        <f t="shared" si="0"/>
        <v>0</v>
      </c>
    </row>
    <row r="47" spans="27:56" x14ac:dyDescent="0.2">
      <c r="AA47" s="205"/>
      <c r="AG47" s="205" t="s">
        <v>525</v>
      </c>
      <c r="AH47" s="246"/>
      <c r="AI47" s="246"/>
      <c r="AJ47" s="246"/>
      <c r="AK47" s="246">
        <f>'Ore-&gt;PI'!AF42</f>
        <v>109233.7126431732</v>
      </c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370">
        <f>SUM(AH47:AV47)</f>
        <v>109233.7126431732</v>
      </c>
      <c r="AX47" s="374"/>
      <c r="AY47" s="374"/>
      <c r="BA47" s="205" t="s">
        <v>525</v>
      </c>
      <c r="BB47" s="353"/>
      <c r="BC47" s="353"/>
      <c r="BD47" s="370">
        <f t="shared" si="0"/>
        <v>0</v>
      </c>
    </row>
    <row r="48" spans="27:56" x14ac:dyDescent="0.2">
      <c r="AA48" s="205"/>
      <c r="AG48" s="205" t="s">
        <v>533</v>
      </c>
      <c r="AH48" s="246"/>
      <c r="AI48" s="246"/>
      <c r="AJ48" s="246"/>
      <c r="AK48" s="246"/>
      <c r="AL48" s="246">
        <f>'Ore-&gt;PI'!AG114</f>
        <v>25394.240916408646</v>
      </c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370">
        <f>SUM(AH48:AV48)</f>
        <v>25394.240916408646</v>
      </c>
      <c r="AX48" s="374"/>
      <c r="AY48" s="374"/>
      <c r="BA48" s="205" t="s">
        <v>533</v>
      </c>
      <c r="BB48" s="353"/>
      <c r="BC48" s="353"/>
      <c r="BD48" s="370">
        <f t="shared" si="0"/>
        <v>0</v>
      </c>
    </row>
    <row r="49" spans="27:61" x14ac:dyDescent="0.2">
      <c r="AA49" s="205"/>
      <c r="AG49" s="205" t="s">
        <v>534</v>
      </c>
      <c r="AH49" s="246"/>
      <c r="AI49" s="246"/>
      <c r="AJ49" s="246"/>
      <c r="AK49" s="246"/>
      <c r="AL49" s="246"/>
      <c r="AM49" s="246">
        <f>'Ore-&gt;PI'!AG176</f>
        <v>8570853.2918241844</v>
      </c>
      <c r="AN49" s="246"/>
      <c r="AO49" s="246"/>
      <c r="AP49" s="246"/>
      <c r="AQ49" s="246"/>
      <c r="AR49" s="246"/>
      <c r="AS49" s="246"/>
      <c r="AT49" s="246"/>
      <c r="AU49" s="246"/>
      <c r="AV49" s="246"/>
      <c r="AW49" s="370">
        <f>SUM(AH49:AV49)</f>
        <v>8570853.2918241844</v>
      </c>
      <c r="AX49" s="374"/>
      <c r="AY49" s="374"/>
      <c r="BA49" s="205" t="s">
        <v>534</v>
      </c>
      <c r="BB49" s="353"/>
      <c r="BC49" s="353"/>
      <c r="BD49" s="370">
        <f t="shared" si="0"/>
        <v>0</v>
      </c>
    </row>
    <row r="50" spans="27:61" x14ac:dyDescent="0.2">
      <c r="AA50" s="205"/>
      <c r="AG50" s="205" t="s">
        <v>526</v>
      </c>
      <c r="AH50" s="246"/>
      <c r="AI50" s="246"/>
      <c r="AJ50" s="246"/>
      <c r="AK50" s="246"/>
      <c r="AL50" s="246"/>
      <c r="AM50" s="246"/>
      <c r="AN50" s="246">
        <f>'Ore-&gt;PI'!AX42</f>
        <v>109233.7126431732</v>
      </c>
      <c r="AO50" s="246"/>
      <c r="AP50" s="246"/>
      <c r="AQ50" s="246"/>
      <c r="AR50" s="246"/>
      <c r="AS50" s="246"/>
      <c r="AT50" s="246"/>
      <c r="AU50" s="246"/>
      <c r="AV50" s="246"/>
      <c r="AW50" s="370">
        <f>SUM(AH50:AV50)</f>
        <v>109233.7126431732</v>
      </c>
      <c r="AX50" s="374"/>
      <c r="AY50" s="374"/>
      <c r="BA50" s="205" t="s">
        <v>526</v>
      </c>
      <c r="BB50" s="353"/>
      <c r="BC50" s="353"/>
      <c r="BD50" s="370">
        <f>SUM(BB50:BC50)</f>
        <v>0</v>
      </c>
    </row>
    <row r="51" spans="27:61" x14ac:dyDescent="0.2">
      <c r="AA51" s="362"/>
      <c r="AG51" s="205" t="s">
        <v>529</v>
      </c>
      <c r="AH51" s="246"/>
      <c r="AI51" s="246"/>
      <c r="AJ51" s="246"/>
      <c r="AK51" s="246"/>
      <c r="AL51" s="246"/>
      <c r="AM51" s="246"/>
      <c r="AN51" s="246"/>
      <c r="AO51" s="246">
        <f>'Ore-&gt;PI'!AY114</f>
        <v>25394.240916408646</v>
      </c>
      <c r="AP51" s="246"/>
      <c r="AQ51" s="246"/>
      <c r="AR51" s="246"/>
      <c r="AS51" s="246"/>
      <c r="AT51" s="246"/>
      <c r="AU51" s="246"/>
      <c r="AV51" s="246"/>
      <c r="AW51" s="370">
        <f>SUM(AH51:AV51)</f>
        <v>25394.240916408646</v>
      </c>
      <c r="AX51" s="374"/>
      <c r="AY51" s="374"/>
      <c r="BA51" s="205" t="s">
        <v>529</v>
      </c>
      <c r="BB51" s="353"/>
      <c r="BC51" s="353"/>
      <c r="BD51" s="370">
        <f>SUM(BB51:BC51)</f>
        <v>0</v>
      </c>
    </row>
    <row r="52" spans="27:61" ht="16" x14ac:dyDescent="0.2">
      <c r="AA52" s="206"/>
      <c r="AG52" s="205" t="s">
        <v>530</v>
      </c>
      <c r="AH52" s="246"/>
      <c r="AI52" s="246"/>
      <c r="AJ52" s="246"/>
      <c r="AK52" s="246"/>
      <c r="AL52" s="246"/>
      <c r="AM52" s="246"/>
      <c r="AN52" s="246"/>
      <c r="AO52" s="246"/>
      <c r="AP52" s="246">
        <f>'Ore-&gt;PI'!AY176</f>
        <v>8570853.2918241844</v>
      </c>
      <c r="AQ52" s="246"/>
      <c r="AR52" s="246"/>
      <c r="AS52" s="246"/>
      <c r="AT52" s="246"/>
      <c r="AU52" s="246"/>
      <c r="AV52" s="246"/>
      <c r="AW52" s="370">
        <f>SUM(AH52:AV52)</f>
        <v>8570853.2918241844</v>
      </c>
      <c r="AX52" s="374"/>
      <c r="AY52" s="374"/>
      <c r="BA52" s="205" t="s">
        <v>530</v>
      </c>
      <c r="BB52" s="353"/>
      <c r="BC52" s="353"/>
      <c r="BD52" s="370">
        <f>SUM(BB52:BC52)</f>
        <v>0</v>
      </c>
    </row>
    <row r="53" spans="27:61" x14ac:dyDescent="0.2">
      <c r="AA53" s="207"/>
      <c r="AG53" s="205" t="s">
        <v>531</v>
      </c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>
        <f>'Ore-&gt;PI'!BP42</f>
        <v>88965.799815334409</v>
      </c>
      <c r="AV53" s="246"/>
      <c r="AW53" s="370">
        <f>SUM(AH53:AV53)</f>
        <v>88965.799815334409</v>
      </c>
      <c r="AX53" s="374"/>
      <c r="AY53" s="374"/>
      <c r="BA53" s="205" t="s">
        <v>531</v>
      </c>
      <c r="BB53" s="353"/>
      <c r="BC53" s="364"/>
      <c r="BD53" s="370">
        <f>SUM(BB53:BC53)</f>
        <v>0</v>
      </c>
    </row>
    <row r="54" spans="27:61" x14ac:dyDescent="0.2">
      <c r="AA54" s="207"/>
      <c r="AG54" s="205" t="s">
        <v>493</v>
      </c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352"/>
      <c r="AV54" s="246"/>
      <c r="AW54" s="370">
        <f>SUM(AH54:AV54)</f>
        <v>0</v>
      </c>
      <c r="AX54" s="374"/>
      <c r="AY54" s="374"/>
      <c r="BA54" s="205" t="s">
        <v>493</v>
      </c>
      <c r="BB54" s="353"/>
      <c r="BC54" s="353">
        <f>'Ore-&gt;PI'!BP55</f>
        <v>21743.416787545681</v>
      </c>
      <c r="BD54" s="370">
        <f>SUM(BB54:BC54)</f>
        <v>21743.416787545681</v>
      </c>
    </row>
    <row r="55" spans="27:61" x14ac:dyDescent="0.2">
      <c r="AA55" s="207"/>
      <c r="AG55" s="205" t="s">
        <v>532</v>
      </c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>
        <f>'Ore-&gt;PI'!BQ114</f>
        <v>25394.240916408646</v>
      </c>
      <c r="AT55" s="246"/>
      <c r="AU55" s="246"/>
      <c r="AV55" s="352"/>
      <c r="AW55" s="370">
        <f>SUM(AH55:AV55)</f>
        <v>25394.240916408646</v>
      </c>
      <c r="AX55" s="374"/>
      <c r="AY55" s="374"/>
      <c r="BA55" s="205" t="s">
        <v>532</v>
      </c>
      <c r="BB55" s="353"/>
      <c r="BC55" s="353"/>
      <c r="BD55" s="370">
        <f>SUM(BB55:BC55)</f>
        <v>0</v>
      </c>
    </row>
    <row r="56" spans="27:61" x14ac:dyDescent="0.2">
      <c r="AA56" s="207"/>
      <c r="AG56" s="205" t="s">
        <v>535</v>
      </c>
      <c r="AH56" s="246"/>
      <c r="AI56" s="246"/>
      <c r="AJ56" s="246"/>
      <c r="AK56" s="246"/>
      <c r="AL56" s="246"/>
      <c r="AM56" s="246"/>
      <c r="AN56" s="246"/>
      <c r="AO56" s="246"/>
      <c r="AP56" s="246"/>
      <c r="AQ56" s="246">
        <f>'Ore-&gt;PI'!BQ176</f>
        <v>8570853.2918241844</v>
      </c>
      <c r="AR56" s="246"/>
      <c r="AS56" s="246"/>
      <c r="AT56" s="246"/>
      <c r="AU56" s="246"/>
      <c r="AV56" s="246"/>
      <c r="AW56" s="370">
        <f>SUM(AH56:AV56)</f>
        <v>8570853.2918241844</v>
      </c>
      <c r="AX56" s="374"/>
      <c r="AY56" s="374"/>
      <c r="BA56" s="205" t="s">
        <v>535</v>
      </c>
      <c r="BB56" s="353"/>
      <c r="BC56" s="353"/>
      <c r="BD56" s="370">
        <f>SUM(BB56:BC56)</f>
        <v>0</v>
      </c>
      <c r="BE56" s="25"/>
      <c r="BF56" s="25"/>
      <c r="BG56" s="25"/>
      <c r="BH56" s="25"/>
      <c r="BI56" s="25"/>
    </row>
    <row r="57" spans="27:61" x14ac:dyDescent="0.2">
      <c r="AA57" s="207"/>
      <c r="AG57" s="205" t="s">
        <v>470</v>
      </c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>
        <f>'Ore-&gt;PI'!CI176</f>
        <v>6791339.3350291392</v>
      </c>
      <c r="AV57" s="246"/>
      <c r="AW57" s="370">
        <f>SUM(AH57:AV57)</f>
        <v>6791339.3350291392</v>
      </c>
      <c r="AX57" s="374"/>
      <c r="AY57" s="374"/>
      <c r="BA57" s="205" t="s">
        <v>470</v>
      </c>
      <c r="BB57" s="353"/>
      <c r="BC57" s="353"/>
      <c r="BD57" s="370">
        <f t="shared" ref="BD57:BD69" si="1">SUM(BB57:BC57)</f>
        <v>0</v>
      </c>
    </row>
    <row r="58" spans="27:61" x14ac:dyDescent="0.2">
      <c r="AA58" s="207"/>
      <c r="AG58" s="205" t="s">
        <v>492</v>
      </c>
      <c r="AH58" s="246"/>
      <c r="AI58" s="246"/>
      <c r="AJ58" s="246"/>
      <c r="AK58" s="246"/>
      <c r="AL58" s="246"/>
      <c r="AM58" s="246"/>
      <c r="AN58" s="246"/>
      <c r="AO58" s="246"/>
      <c r="AP58" s="246"/>
      <c r="AQ58" s="246"/>
      <c r="AR58" s="246">
        <f>'Ore-&gt;PI'!CI203</f>
        <v>5935408.0537775028</v>
      </c>
      <c r="AS58" s="246"/>
      <c r="AT58" s="246"/>
      <c r="AU58" s="246"/>
      <c r="AV58" s="246"/>
      <c r="AW58" s="370">
        <f>SUM(AH58:AV58)</f>
        <v>5935408.0537775028</v>
      </c>
      <c r="AX58" s="374"/>
      <c r="AY58" s="374"/>
      <c r="BA58" s="205" t="s">
        <v>492</v>
      </c>
      <c r="BB58" s="353"/>
      <c r="BC58" s="353"/>
      <c r="BD58" s="370">
        <f t="shared" si="1"/>
        <v>0</v>
      </c>
    </row>
    <row r="59" spans="27:61" x14ac:dyDescent="0.2">
      <c r="AA59" s="207"/>
      <c r="AG59" s="205" t="s">
        <v>539</v>
      </c>
      <c r="AH59" s="246"/>
      <c r="AI59" s="246"/>
      <c r="AJ59" s="246"/>
      <c r="AK59" s="246"/>
      <c r="AL59" s="246"/>
      <c r="AM59" s="246"/>
      <c r="AN59" s="246"/>
      <c r="AO59" s="246"/>
      <c r="AP59" s="246"/>
      <c r="AQ59" s="246"/>
      <c r="AR59" s="246"/>
      <c r="AS59" s="246"/>
      <c r="AT59" s="246"/>
      <c r="AU59" s="246"/>
      <c r="AV59" s="246"/>
      <c r="AW59" s="370">
        <f>SUM(AH59:AV59)</f>
        <v>0</v>
      </c>
      <c r="AX59" s="374"/>
      <c r="AY59" s="374"/>
      <c r="BA59" s="205" t="s">
        <v>539</v>
      </c>
      <c r="BB59" s="353"/>
      <c r="BC59" s="353">
        <f>'Ore-&gt;PI'!CI220</f>
        <v>24560.677586239479</v>
      </c>
      <c r="BD59" s="370">
        <f t="shared" si="1"/>
        <v>24560.677586239479</v>
      </c>
    </row>
    <row r="60" spans="27:61" ht="16" x14ac:dyDescent="0.2">
      <c r="AA60" s="372"/>
      <c r="AG60" s="205" t="s">
        <v>393</v>
      </c>
      <c r="AH60" s="246"/>
      <c r="AI60" s="246"/>
      <c r="AJ60" s="246"/>
      <c r="AK60" s="246"/>
      <c r="AL60" s="246"/>
      <c r="AM60" s="246"/>
      <c r="AN60" s="246"/>
      <c r="AO60" s="246"/>
      <c r="AP60" s="246"/>
      <c r="AQ60" s="246"/>
      <c r="AR60" s="246"/>
      <c r="AS60" s="246"/>
      <c r="AT60" s="246"/>
      <c r="AU60" s="246"/>
      <c r="AV60" s="246"/>
      <c r="AW60" s="370">
        <f>SUM(AH60:AV60)</f>
        <v>0</v>
      </c>
      <c r="AX60" s="374"/>
      <c r="AY60" s="374"/>
      <c r="BA60" s="205" t="s">
        <v>393</v>
      </c>
      <c r="BB60" s="353"/>
      <c r="BC60" s="353">
        <f>'Ore-&gt;PI'!CI187</f>
        <v>5366.0434241372932</v>
      </c>
      <c r="BD60" s="370">
        <f t="shared" si="1"/>
        <v>5366.0434241372932</v>
      </c>
    </row>
    <row r="61" spans="27:61" x14ac:dyDescent="0.2">
      <c r="AA61" s="207"/>
      <c r="AG61" s="205" t="s">
        <v>499</v>
      </c>
      <c r="AH61" s="246"/>
      <c r="AI61" s="246"/>
      <c r="AJ61" s="246"/>
      <c r="AK61" s="246"/>
      <c r="AL61" s="246"/>
      <c r="AM61" s="246"/>
      <c r="AN61" s="246"/>
      <c r="AO61" s="246"/>
      <c r="AP61" s="246"/>
      <c r="AQ61" s="246">
        <f>'Ore-&gt;PI'!BQ195</f>
        <v>891683.71589033271</v>
      </c>
      <c r="AR61" s="246"/>
      <c r="AS61" s="246"/>
      <c r="AT61" s="246">
        <f>'Ore-&gt;PI'!EG203</f>
        <v>891683.71589033271</v>
      </c>
      <c r="AU61" s="246"/>
      <c r="AV61" s="352">
        <f>'Ore-&gt;PI'!DY140</f>
        <v>4161190.674154886</v>
      </c>
      <c r="AW61" s="370">
        <f t="shared" ref="AW61:AW69" si="2">SUM(AH61:AV61)</f>
        <v>5944558.1059355512</v>
      </c>
      <c r="AX61" s="25"/>
      <c r="AY61" s="25"/>
      <c r="BA61" s="205" t="s">
        <v>499</v>
      </c>
      <c r="BB61" s="353">
        <f>'Ore-&gt;PI'!EG203</f>
        <v>891683.71589033271</v>
      </c>
      <c r="BC61" s="353"/>
      <c r="BD61" s="370">
        <f t="shared" si="1"/>
        <v>891683.71589033271</v>
      </c>
    </row>
    <row r="62" spans="27:61" x14ac:dyDescent="0.2">
      <c r="AA62" s="207"/>
      <c r="AG62" s="205" t="s">
        <v>430</v>
      </c>
      <c r="AH62" s="246"/>
      <c r="AI62" s="246"/>
      <c r="AJ62" s="246"/>
      <c r="AK62" s="246"/>
      <c r="AL62" s="246"/>
      <c r="AM62" s="246"/>
      <c r="AN62" s="246"/>
      <c r="AO62" s="246"/>
      <c r="AP62" s="246"/>
      <c r="AQ62" s="246"/>
      <c r="AR62" s="246"/>
      <c r="AS62" s="246"/>
      <c r="AT62" s="246"/>
      <c r="AU62" s="246">
        <f>'Ore-&gt;PI'!CK114</f>
        <v>242016.07607977447</v>
      </c>
      <c r="AV62" s="246"/>
      <c r="AW62" s="370">
        <f t="shared" si="2"/>
        <v>242016.07607977447</v>
      </c>
      <c r="BA62" s="205" t="s">
        <v>430</v>
      </c>
      <c r="BB62" s="353"/>
      <c r="BC62" s="353"/>
      <c r="BD62" s="370">
        <f t="shared" si="1"/>
        <v>0</v>
      </c>
    </row>
    <row r="63" spans="27:61" x14ac:dyDescent="0.2">
      <c r="AA63" s="207"/>
      <c r="AG63" s="205" t="s">
        <v>497</v>
      </c>
      <c r="AH63" s="246"/>
      <c r="AI63" s="246"/>
      <c r="AJ63" s="246"/>
      <c r="AK63" s="246"/>
      <c r="AL63" s="246"/>
      <c r="AM63" s="246"/>
      <c r="AN63" s="246"/>
      <c r="AO63" s="246"/>
      <c r="AP63" s="246"/>
      <c r="AQ63" s="246"/>
      <c r="AR63" s="246"/>
      <c r="AS63" s="246"/>
      <c r="AT63" s="246"/>
      <c r="AU63" s="246"/>
      <c r="AV63" s="246"/>
      <c r="AW63" s="370">
        <f t="shared" si="2"/>
        <v>0</v>
      </c>
      <c r="BA63" s="205" t="s">
        <v>497</v>
      </c>
      <c r="BB63" s="353"/>
      <c r="BC63" s="353">
        <f>'Ore-&gt;PI'!CK102</f>
        <v>7739.2511800711582</v>
      </c>
      <c r="BD63" s="370">
        <f t="shared" si="1"/>
        <v>7739.2511800711582</v>
      </c>
    </row>
    <row r="64" spans="27:61" x14ac:dyDescent="0.2">
      <c r="AA64" s="207"/>
      <c r="AG64" s="205" t="s">
        <v>537</v>
      </c>
      <c r="AH64" s="246"/>
      <c r="AI64" s="246"/>
      <c r="AJ64" s="246"/>
      <c r="AK64" s="246"/>
      <c r="AL64" s="246"/>
      <c r="AM64" s="246"/>
      <c r="AN64" s="246"/>
      <c r="AO64" s="246"/>
      <c r="AP64" s="246"/>
      <c r="AQ64" s="246"/>
      <c r="AR64" s="246"/>
      <c r="AS64" s="246"/>
      <c r="AT64" s="246"/>
      <c r="AU64" s="246"/>
      <c r="AV64" s="246"/>
      <c r="AW64" s="370">
        <f t="shared" si="2"/>
        <v>0</v>
      </c>
      <c r="BA64" s="205" t="s">
        <v>537</v>
      </c>
      <c r="BB64" s="353"/>
      <c r="BC64" s="353">
        <f>'Ore-&gt;PI'!CK126</f>
        <v>5011910.8458600137</v>
      </c>
      <c r="BD64" s="370">
        <f t="shared" si="1"/>
        <v>5011910.8458600137</v>
      </c>
    </row>
    <row r="65" spans="2:56" x14ac:dyDescent="0.2">
      <c r="AA65" s="207"/>
      <c r="AG65" s="205" t="s">
        <v>536</v>
      </c>
      <c r="AH65" s="246"/>
      <c r="AI65" s="246"/>
      <c r="AJ65" s="246"/>
      <c r="AK65" s="246"/>
      <c r="AL65" s="246"/>
      <c r="AM65" s="246"/>
      <c r="AN65" s="246"/>
      <c r="AO65" s="246"/>
      <c r="AP65" s="246"/>
      <c r="AQ65" s="246"/>
      <c r="AR65" s="246"/>
      <c r="AS65" s="246"/>
      <c r="AT65" s="246"/>
      <c r="AU65" s="246"/>
      <c r="AV65" s="352">
        <f>'Ore-&gt;PI'!DY114</f>
        <v>7072531.8830895294</v>
      </c>
      <c r="AW65" s="370">
        <f t="shared" si="2"/>
        <v>7072531.8830895294</v>
      </c>
      <c r="BA65" s="205" t="s">
        <v>536</v>
      </c>
      <c r="BB65" s="353"/>
      <c r="BC65" s="353"/>
      <c r="BD65" s="370">
        <f t="shared" si="1"/>
        <v>0</v>
      </c>
    </row>
    <row r="66" spans="2:56" x14ac:dyDescent="0.2">
      <c r="AA66" s="207"/>
      <c r="AG66" s="205" t="s">
        <v>439</v>
      </c>
      <c r="AH66" s="246"/>
      <c r="AI66" s="246"/>
      <c r="AJ66" s="246"/>
      <c r="AK66" s="246"/>
      <c r="AL66" s="246"/>
      <c r="AM66" s="246"/>
      <c r="AN66" s="246"/>
      <c r="AO66" s="246"/>
      <c r="AP66" s="246"/>
      <c r="AQ66" s="246"/>
      <c r="AR66" s="246"/>
      <c r="AS66" s="246"/>
      <c r="AT66" s="246"/>
      <c r="AU66" s="246"/>
      <c r="AV66" s="246"/>
      <c r="AW66" s="370">
        <f t="shared" si="2"/>
        <v>0</v>
      </c>
      <c r="BA66" s="205" t="s">
        <v>439</v>
      </c>
      <c r="BB66" s="353">
        <f>'Ore-&gt;PI'!EW114</f>
        <v>4157895.2984628798</v>
      </c>
      <c r="BC66" s="353"/>
      <c r="BD66" s="370">
        <f t="shared" si="1"/>
        <v>4157895.2984628798</v>
      </c>
    </row>
    <row r="67" spans="2:56" x14ac:dyDescent="0.2">
      <c r="AA67" s="207"/>
      <c r="AG67" s="205" t="s">
        <v>496</v>
      </c>
      <c r="AH67" s="246"/>
      <c r="AI67" s="246"/>
      <c r="AJ67" s="246"/>
      <c r="AK67" s="246"/>
      <c r="AL67" s="246"/>
      <c r="AM67" s="246"/>
      <c r="AN67" s="246"/>
      <c r="AO67" s="246"/>
      <c r="AP67" s="246"/>
      <c r="AQ67" s="246"/>
      <c r="AR67" s="246"/>
      <c r="AS67" s="246"/>
      <c r="AT67" s="246"/>
      <c r="AU67" s="246"/>
      <c r="AV67" s="246"/>
      <c r="AW67" s="370">
        <f t="shared" si="2"/>
        <v>0</v>
      </c>
      <c r="BA67" s="205" t="s">
        <v>496</v>
      </c>
      <c r="BB67" s="353"/>
      <c r="BC67" s="353">
        <f>'Ore-&gt;PI'!EW129</f>
        <v>352719.3378356871</v>
      </c>
      <c r="BD67" s="370">
        <f t="shared" si="1"/>
        <v>352719.3378356871</v>
      </c>
    </row>
    <row r="68" spans="2:56" x14ac:dyDescent="0.2">
      <c r="AA68" s="207"/>
      <c r="AG68" s="205" t="s">
        <v>495</v>
      </c>
      <c r="AH68" s="246"/>
      <c r="AI68" s="246"/>
      <c r="AJ68" s="246"/>
      <c r="AK68" s="246"/>
      <c r="AL68" s="246"/>
      <c r="AM68" s="246"/>
      <c r="AN68" s="246"/>
      <c r="AO68" s="246"/>
      <c r="AP68" s="246"/>
      <c r="AQ68" s="246"/>
      <c r="AR68" s="246"/>
      <c r="AS68" s="246"/>
      <c r="AT68" s="246"/>
      <c r="AU68" s="246"/>
      <c r="AV68" s="246"/>
      <c r="AW68" s="370">
        <f t="shared" si="2"/>
        <v>0</v>
      </c>
      <c r="BA68" s="205" t="s">
        <v>495</v>
      </c>
      <c r="BB68" s="353"/>
      <c r="BC68" s="353">
        <f>'Ore-&gt;PI'!EW92</f>
        <v>67875.356217847453</v>
      </c>
      <c r="BD68" s="370">
        <f t="shared" si="1"/>
        <v>67875.356217847453</v>
      </c>
    </row>
    <row r="69" spans="2:56" x14ac:dyDescent="0.2">
      <c r="AA69" s="207"/>
      <c r="AG69" s="205" t="s">
        <v>543</v>
      </c>
      <c r="AH69" s="246"/>
      <c r="AI69" s="246"/>
      <c r="AJ69" s="246"/>
      <c r="AK69" s="246"/>
      <c r="AL69" s="246"/>
      <c r="AM69" s="246"/>
      <c r="AN69" s="246"/>
      <c r="AO69" s="246"/>
      <c r="AP69" s="246"/>
      <c r="AQ69" s="246"/>
      <c r="AR69" s="246"/>
      <c r="AS69" s="246"/>
      <c r="AT69" s="246"/>
      <c r="AU69" s="246"/>
      <c r="AV69" s="246"/>
      <c r="AW69" s="370">
        <f t="shared" si="2"/>
        <v>0</v>
      </c>
      <c r="BA69" s="205" t="s">
        <v>543</v>
      </c>
      <c r="BB69" s="353">
        <f>'Ore-&gt;PI'!EG203</f>
        <v>891683.71589033271</v>
      </c>
      <c r="BC69" s="353"/>
      <c r="BD69" s="370">
        <f t="shared" si="1"/>
        <v>891683.71589033271</v>
      </c>
    </row>
    <row r="70" spans="2:56" x14ac:dyDescent="0.2">
      <c r="AA70" s="207"/>
      <c r="AH70" s="302" t="s">
        <v>434</v>
      </c>
      <c r="AI70" s="302"/>
      <c r="AJ70" s="302"/>
      <c r="AK70" s="302"/>
      <c r="AL70" s="302"/>
      <c r="AM70" s="302"/>
      <c r="AN70" s="302"/>
      <c r="AO70" s="302"/>
      <c r="AP70" s="302"/>
      <c r="AQ70" s="302"/>
      <c r="AR70" s="302"/>
      <c r="AS70" s="302"/>
      <c r="AT70" s="302"/>
      <c r="AU70" s="302"/>
      <c r="AV70" s="302"/>
      <c r="AW70" s="25" t="s">
        <v>510</v>
      </c>
      <c r="BB70" s="302" t="s">
        <v>437</v>
      </c>
      <c r="BC70" s="302"/>
      <c r="BD70" s="25" t="s">
        <v>528</v>
      </c>
    </row>
    <row r="71" spans="2:56" x14ac:dyDescent="0.2">
      <c r="AA71" s="207"/>
      <c r="AH71" s="371">
        <f>SUM(AH42:AH68)</f>
        <v>109233.7126431732</v>
      </c>
      <c r="AI71" s="371">
        <f t="shared" ref="AI71:AR71" si="3">SUM(AI42:AI68)</f>
        <v>25394.240916408646</v>
      </c>
      <c r="AJ71" s="371">
        <f t="shared" si="3"/>
        <v>8570853.2918241844</v>
      </c>
      <c r="AK71" s="371">
        <f t="shared" si="3"/>
        <v>109233.7126431732</v>
      </c>
      <c r="AL71" s="371">
        <f t="shared" si="3"/>
        <v>25394.240916408646</v>
      </c>
      <c r="AM71" s="371">
        <f t="shared" si="3"/>
        <v>8570853.2918241844</v>
      </c>
      <c r="AN71" s="371">
        <f t="shared" si="3"/>
        <v>109233.7126431732</v>
      </c>
      <c r="AO71" s="371">
        <f t="shared" si="3"/>
        <v>25394.240916408646</v>
      </c>
      <c r="AP71" s="371">
        <f t="shared" si="3"/>
        <v>8570853.2918241844</v>
      </c>
      <c r="AQ71" s="371">
        <f t="shared" si="3"/>
        <v>9462544.8357583601</v>
      </c>
      <c r="AR71" s="371">
        <f t="shared" si="3"/>
        <v>5935408.0537775028</v>
      </c>
      <c r="AS71" s="371">
        <f>SUM(AS42:AS68)</f>
        <v>1078398155.5102727</v>
      </c>
      <c r="AT71" s="371">
        <f>SUM(AT42:AT68)</f>
        <v>891683.71589033271</v>
      </c>
      <c r="AU71" s="371">
        <f>SUM(AU42:AU68)</f>
        <v>7122321.2109242482</v>
      </c>
      <c r="AV71" s="371">
        <f>SUM(AV42:AV68)</f>
        <v>11252356.510043373</v>
      </c>
      <c r="BB71" s="25"/>
      <c r="BC71" s="25"/>
    </row>
    <row r="72" spans="2:56" x14ac:dyDescent="0.2">
      <c r="AA72" s="207"/>
      <c r="AH72" s="302" t="s">
        <v>509</v>
      </c>
      <c r="AI72" s="302"/>
      <c r="AJ72" s="302"/>
      <c r="AK72" s="302"/>
      <c r="AL72" s="302"/>
      <c r="AM72" s="302"/>
      <c r="AN72" s="302"/>
      <c r="AO72" s="302"/>
      <c r="AP72" s="302"/>
      <c r="AQ72" s="302"/>
      <c r="AR72" s="302"/>
      <c r="AS72" s="302"/>
      <c r="AT72" s="302"/>
      <c r="AU72" s="302"/>
      <c r="AV72" s="302"/>
      <c r="BB72" s="25"/>
      <c r="BC72" s="25"/>
    </row>
    <row r="73" spans="2:56" x14ac:dyDescent="0.2">
      <c r="AA73" s="207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BB73" s="25"/>
      <c r="BC73" s="25"/>
    </row>
    <row r="74" spans="2:56" x14ac:dyDescent="0.2">
      <c r="AA74" s="207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BB74" s="25"/>
      <c r="BC74" s="25"/>
    </row>
    <row r="75" spans="2:56" x14ac:dyDescent="0.2">
      <c r="C75" s="303"/>
      <c r="D75" s="303"/>
      <c r="E75" s="249"/>
      <c r="F75" s="249"/>
      <c r="G75" s="249"/>
      <c r="H75" s="249"/>
      <c r="I75" s="249"/>
      <c r="J75" s="249"/>
      <c r="K75" s="249"/>
      <c r="L75" s="249"/>
      <c r="M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  <c r="AA75" s="207"/>
      <c r="AB75" s="249"/>
      <c r="AC75" s="249"/>
      <c r="AD75" s="249"/>
      <c r="AE75" s="249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BB75" s="25"/>
      <c r="BC75" s="25"/>
    </row>
    <row r="76" spans="2:56" ht="155" x14ac:dyDescent="0.2">
      <c r="B76" s="256" t="s">
        <v>477</v>
      </c>
      <c r="C76" s="208" t="s">
        <v>441</v>
      </c>
      <c r="D76" s="208" t="s">
        <v>443</v>
      </c>
      <c r="E76" s="208" t="s">
        <v>444</v>
      </c>
      <c r="F76" s="208" t="s">
        <v>466</v>
      </c>
      <c r="G76" s="383" t="s">
        <v>518</v>
      </c>
      <c r="H76" s="210" t="s">
        <v>525</v>
      </c>
      <c r="I76" s="210" t="s">
        <v>533</v>
      </c>
      <c r="J76" s="211" t="s">
        <v>534</v>
      </c>
      <c r="K76" s="210" t="s">
        <v>526</v>
      </c>
      <c r="L76" s="210" t="s">
        <v>529</v>
      </c>
      <c r="M76" s="210" t="s">
        <v>530</v>
      </c>
      <c r="N76" s="210" t="s">
        <v>531</v>
      </c>
      <c r="O76" s="211" t="s">
        <v>493</v>
      </c>
      <c r="P76" s="211" t="s">
        <v>532</v>
      </c>
      <c r="Q76" s="211" t="s">
        <v>535</v>
      </c>
      <c r="R76" s="211" t="s">
        <v>470</v>
      </c>
      <c r="S76" s="248" t="s">
        <v>492</v>
      </c>
      <c r="T76" s="248" t="s">
        <v>539</v>
      </c>
      <c r="U76" s="211" t="s">
        <v>393</v>
      </c>
      <c r="V76" s="211" t="s">
        <v>499</v>
      </c>
      <c r="W76" s="211" t="s">
        <v>430</v>
      </c>
      <c r="X76" s="211" t="s">
        <v>497</v>
      </c>
      <c r="Y76" s="211" t="s">
        <v>537</v>
      </c>
      <c r="Z76" s="211" t="s">
        <v>536</v>
      </c>
      <c r="AA76" s="211" t="s">
        <v>439</v>
      </c>
      <c r="AB76" s="211" t="s">
        <v>496</v>
      </c>
      <c r="AC76" s="211" t="s">
        <v>495</v>
      </c>
      <c r="AD76" s="211" t="s">
        <v>543</v>
      </c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BB76" s="25"/>
      <c r="BC76" s="25"/>
    </row>
    <row r="77" spans="2:56" x14ac:dyDescent="0.2">
      <c r="B77" s="205" t="s">
        <v>431</v>
      </c>
      <c r="C77" s="246"/>
      <c r="D77" s="246"/>
      <c r="E77" s="246"/>
      <c r="F77" s="246"/>
      <c r="G77" s="246"/>
      <c r="H77" s="246">
        <f>'Ore-&gt;PI'!AF42</f>
        <v>109233.7126431732</v>
      </c>
      <c r="I77" s="246"/>
      <c r="J77" s="246"/>
      <c r="K77" s="246"/>
      <c r="L77" s="246"/>
      <c r="M77" s="246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246"/>
      <c r="AE77" s="370">
        <f>SUM(C77:AC77)</f>
        <v>109233.7126431732</v>
      </c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BC77" s="25"/>
      <c r="BD77" s="25"/>
    </row>
    <row r="78" spans="2:56" x14ac:dyDescent="0.2">
      <c r="B78" s="205" t="s">
        <v>432</v>
      </c>
      <c r="C78" s="246"/>
      <c r="D78" s="246"/>
      <c r="E78" s="246"/>
      <c r="F78" s="246"/>
      <c r="G78" s="246"/>
      <c r="H78" s="246"/>
      <c r="I78" s="246">
        <f>'Ore-&gt;PI'!AG114</f>
        <v>25394.240916408646</v>
      </c>
      <c r="J78" s="246"/>
      <c r="K78" s="246"/>
      <c r="L78" s="246"/>
      <c r="M78" s="246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246"/>
      <c r="AE78" s="370">
        <f>SUM(C78:AC78)</f>
        <v>25394.240916408646</v>
      </c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BC78" s="25"/>
      <c r="BD78" s="25"/>
    </row>
    <row r="79" spans="2:56" x14ac:dyDescent="0.2">
      <c r="B79" s="205" t="s">
        <v>433</v>
      </c>
      <c r="C79" s="246"/>
      <c r="D79" s="246"/>
      <c r="E79" s="246"/>
      <c r="F79" s="246"/>
      <c r="G79" s="246"/>
      <c r="H79" s="246"/>
      <c r="I79" s="246"/>
      <c r="J79" s="246">
        <f>'Ore-&gt;PI'!AG176</f>
        <v>8570853.2918241844</v>
      </c>
      <c r="K79" s="246"/>
      <c r="L79" s="246"/>
      <c r="M79" s="246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246"/>
      <c r="AE79" s="370">
        <f>SUM(C79:AC79)</f>
        <v>8570853.2918241844</v>
      </c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BC79" s="25"/>
      <c r="BD79" s="25"/>
    </row>
    <row r="80" spans="2:56" x14ac:dyDescent="0.2">
      <c r="B80" s="205" t="s">
        <v>467</v>
      </c>
      <c r="C80" s="246"/>
      <c r="D80" s="246"/>
      <c r="E80" s="246"/>
      <c r="F80" s="246"/>
      <c r="G80" s="246"/>
      <c r="H80" s="246"/>
      <c r="I80" s="246"/>
      <c r="J80" s="246"/>
      <c r="K80" s="246">
        <f>'Ore-&gt;PI'!AX42</f>
        <v>109233.7126431732</v>
      </c>
      <c r="L80" s="246"/>
      <c r="M80" s="246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246"/>
      <c r="AE80" s="370">
        <f>SUM(C80:AC80)</f>
        <v>109233.7126431732</v>
      </c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BC80" s="25"/>
      <c r="BD80" s="25"/>
    </row>
    <row r="81" spans="2:56" x14ac:dyDescent="0.2">
      <c r="B81" s="205" t="s">
        <v>468</v>
      </c>
      <c r="C81" s="246"/>
      <c r="D81" s="246"/>
      <c r="E81" s="246"/>
      <c r="F81" s="246"/>
      <c r="G81" s="246"/>
      <c r="H81" s="246"/>
      <c r="I81" s="246"/>
      <c r="J81" s="246"/>
      <c r="K81" s="246"/>
      <c r="L81" s="246">
        <f>'Ore-&gt;PI'!AY114</f>
        <v>25394.240916408646</v>
      </c>
      <c r="M81" s="246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246"/>
      <c r="AE81" s="370">
        <f>SUM(C81:AC81)</f>
        <v>25394.240916408646</v>
      </c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BC81" s="25"/>
      <c r="BD81" s="25"/>
    </row>
    <row r="82" spans="2:56" x14ac:dyDescent="0.2">
      <c r="B82" s="205" t="s">
        <v>469</v>
      </c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246">
        <f>'Ore-&gt;PI'!AY176</f>
        <v>8570853.2918241844</v>
      </c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246"/>
      <c r="AE82" s="370">
        <f>SUM(C82:AC82)</f>
        <v>8570853.2918241844</v>
      </c>
    </row>
    <row r="83" spans="2:56" x14ac:dyDescent="0.2">
      <c r="B83" s="205" t="s">
        <v>462</v>
      </c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246"/>
      <c r="N83" s="246">
        <f>'Ore-&gt;PI'!BP42</f>
        <v>88965.799815334409</v>
      </c>
      <c r="O83" s="246">
        <f>'Ore-&gt;PI'!BP55</f>
        <v>21743.416787545681</v>
      </c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246"/>
      <c r="AE83" s="370">
        <f>SUM(C83:AC83)</f>
        <v>110709.21660288009</v>
      </c>
    </row>
    <row r="84" spans="2:56" x14ac:dyDescent="0.2">
      <c r="B84" s="205" t="s">
        <v>459</v>
      </c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246"/>
      <c r="N84" s="246"/>
      <c r="O84" s="246"/>
      <c r="P84" s="246">
        <f>'Ore-&gt;PI'!BQ114</f>
        <v>25394.240916408646</v>
      </c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246"/>
      <c r="AE84" s="370">
        <f>SUM(C84:AC84)</f>
        <v>25394.240916408646</v>
      </c>
    </row>
    <row r="85" spans="2:56" x14ac:dyDescent="0.2">
      <c r="B85" s="205" t="s">
        <v>489</v>
      </c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246"/>
      <c r="N85" s="246"/>
      <c r="O85" s="246"/>
      <c r="P85" s="246"/>
      <c r="Q85" s="246">
        <f>'Ore-&gt;PI'!BQ176</f>
        <v>8570853.2918241844</v>
      </c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246"/>
      <c r="AE85" s="370">
        <f>SUM(C85:AC85)</f>
        <v>8570853.2918241844</v>
      </c>
    </row>
    <row r="86" spans="2:56" x14ac:dyDescent="0.2">
      <c r="B86" s="205" t="s">
        <v>455</v>
      </c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246"/>
      <c r="N86" s="246"/>
      <c r="O86" s="246"/>
      <c r="P86" s="246"/>
      <c r="Q86" s="246"/>
      <c r="R86" s="246">
        <f>'Ore-&gt;PI'!CI176</f>
        <v>6791339.3350291392</v>
      </c>
      <c r="S86" s="246">
        <f>'Ore-&gt;PI'!CI203</f>
        <v>5935408.0537775028</v>
      </c>
      <c r="T86" s="246">
        <f>'Ore-&gt;PI'!CI220</f>
        <v>24560.677586239479</v>
      </c>
      <c r="U86" s="246">
        <f>'Ore-&gt;PI'!CI187</f>
        <v>5366.0434241372932</v>
      </c>
      <c r="V86" s="246"/>
      <c r="W86" s="246"/>
      <c r="X86" s="246"/>
      <c r="Y86" s="246"/>
      <c r="Z86" s="246"/>
      <c r="AA86" s="246"/>
      <c r="AB86" s="246"/>
      <c r="AC86" s="246"/>
      <c r="AD86" s="246"/>
      <c r="AE86" s="370">
        <f>SUM(C86:AC86)</f>
        <v>12756674.109817017</v>
      </c>
    </row>
    <row r="87" spans="2:56" x14ac:dyDescent="0.2">
      <c r="B87" s="205" t="s">
        <v>494</v>
      </c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246"/>
      <c r="N87" s="246"/>
      <c r="O87" s="246"/>
      <c r="P87" s="246"/>
      <c r="Q87" s="246"/>
      <c r="R87" s="246"/>
      <c r="S87" s="246"/>
      <c r="T87" s="246"/>
      <c r="U87" s="246"/>
      <c r="V87" s="246">
        <f>'Ore-&gt;PI'!DB203</f>
        <v>5944558.1059355522</v>
      </c>
      <c r="W87" s="246"/>
      <c r="X87" s="246"/>
      <c r="Y87" s="246"/>
      <c r="Z87" s="246"/>
      <c r="AA87" s="246"/>
      <c r="AB87" s="246"/>
      <c r="AC87" s="246"/>
      <c r="AD87" s="246"/>
      <c r="AE87" s="370">
        <f>SUM(C87:AC87)</f>
        <v>5944558.1059355522</v>
      </c>
    </row>
    <row r="88" spans="2:56" x14ac:dyDescent="0.2">
      <c r="B88" s="205" t="s">
        <v>460</v>
      </c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246"/>
      <c r="N88" s="246"/>
      <c r="O88" s="246"/>
      <c r="P88" s="246"/>
      <c r="Q88" s="246"/>
      <c r="R88" s="246"/>
      <c r="S88" s="246"/>
      <c r="T88" s="246"/>
      <c r="U88" s="246"/>
      <c r="V88" s="246"/>
      <c r="W88" s="246">
        <f>'Ore-&gt;PI'!CK114</f>
        <v>242016.07607977447</v>
      </c>
      <c r="X88" s="246">
        <f>'Ore-&gt;PI'!CK102</f>
        <v>7739.2511800711582</v>
      </c>
      <c r="Y88" s="246">
        <f>'Ore-&gt;PI'!CK126</f>
        <v>5011910.8458600137</v>
      </c>
      <c r="Z88" s="246"/>
      <c r="AA88" s="246"/>
      <c r="AB88" s="246"/>
      <c r="AC88" s="246"/>
      <c r="AD88" s="246"/>
      <c r="AE88" s="370">
        <f>SUM(C88:AC88)</f>
        <v>5261666.1731198598</v>
      </c>
    </row>
    <row r="89" spans="2:56" x14ac:dyDescent="0.2">
      <c r="B89" s="205" t="s">
        <v>541</v>
      </c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246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246"/>
      <c r="AA89" s="246"/>
      <c r="AB89" s="246"/>
      <c r="AC89" s="246"/>
      <c r="AD89" s="246">
        <f>'Ore-&gt;PI'!EG203</f>
        <v>891683.71589033271</v>
      </c>
      <c r="AE89" s="370">
        <f>SUM(C89:AC89)</f>
        <v>0</v>
      </c>
    </row>
    <row r="90" spans="2:56" x14ac:dyDescent="0.2">
      <c r="B90" s="205" t="s">
        <v>84</v>
      </c>
      <c r="C90" s="246"/>
      <c r="D90" s="246"/>
      <c r="E90" s="246"/>
      <c r="F90" s="246"/>
      <c r="G90" s="246"/>
      <c r="H90" s="246"/>
      <c r="I90" s="246"/>
      <c r="J90" s="246"/>
      <c r="K90" s="246"/>
      <c r="L90" s="246"/>
      <c r="M90" s="246"/>
      <c r="N90" s="246"/>
      <c r="O90" s="246"/>
      <c r="P90" s="246"/>
      <c r="Q90" s="246"/>
      <c r="R90" s="246"/>
      <c r="S90" s="246"/>
      <c r="T90" s="246"/>
      <c r="U90" s="246"/>
      <c r="V90" s="246"/>
      <c r="W90" s="246"/>
      <c r="X90" s="246"/>
      <c r="Y90" s="246"/>
      <c r="Z90" s="352">
        <f>'Ore-&gt;PI'!DY114</f>
        <v>7072531.8830895294</v>
      </c>
      <c r="AA90" s="246"/>
      <c r="AB90" s="246"/>
      <c r="AC90" s="246"/>
      <c r="AD90" s="246"/>
      <c r="AE90" s="370">
        <f>SUM(C90:AC90)</f>
        <v>7072531.8830895294</v>
      </c>
    </row>
    <row r="91" spans="2:56" x14ac:dyDescent="0.2">
      <c r="B91" s="205" t="s">
        <v>445</v>
      </c>
      <c r="C91" s="246"/>
      <c r="D91" s="246"/>
      <c r="E91" s="246"/>
      <c r="F91" s="352"/>
      <c r="G91" s="246"/>
      <c r="H91" s="246"/>
      <c r="I91" s="246"/>
      <c r="J91" s="246"/>
      <c r="K91" s="246"/>
      <c r="L91" s="246"/>
      <c r="M91" s="246"/>
      <c r="N91" s="246"/>
      <c r="O91" s="246"/>
      <c r="P91" s="246"/>
      <c r="Q91" s="246"/>
      <c r="R91" s="246"/>
      <c r="S91" s="246"/>
      <c r="T91" s="246"/>
      <c r="U91" s="246"/>
      <c r="V91" s="363"/>
      <c r="W91" s="246"/>
      <c r="X91" s="246"/>
      <c r="Y91" s="246"/>
      <c r="Z91" s="246"/>
      <c r="AA91" s="246">
        <f>'Ore-&gt;PI'!EW114</f>
        <v>4157895.2984628798</v>
      </c>
      <c r="AB91" s="246">
        <f>'Ore-&gt;PI'!EW129</f>
        <v>352719.3378356871</v>
      </c>
      <c r="AC91" s="246">
        <f>'Ore-&gt;PI'!EW92</f>
        <v>67875.356217847453</v>
      </c>
      <c r="AD91" s="246"/>
      <c r="AE91" s="370">
        <f>SUM(C91:AC91)</f>
        <v>4578489.9925164143</v>
      </c>
    </row>
    <row r="92" spans="2:56" x14ac:dyDescent="0.2">
      <c r="B92" s="205"/>
      <c r="C92" s="302" t="s">
        <v>435</v>
      </c>
      <c r="D92" s="302"/>
      <c r="E92" s="302"/>
      <c r="F92" s="302"/>
      <c r="G92" s="302"/>
      <c r="H92" s="302"/>
      <c r="I92" s="302"/>
      <c r="J92" s="302"/>
      <c r="K92" s="302"/>
      <c r="L92" s="302"/>
      <c r="M92" s="302"/>
      <c r="N92" s="302"/>
      <c r="O92" s="302"/>
      <c r="P92" s="302"/>
      <c r="Q92" s="302"/>
      <c r="R92" s="302"/>
      <c r="S92" s="302"/>
      <c r="T92" s="302"/>
      <c r="U92" s="302"/>
      <c r="V92" s="302"/>
      <c r="W92" s="302"/>
      <c r="X92" s="302"/>
      <c r="Y92" s="302"/>
      <c r="Z92" s="302"/>
      <c r="AA92" s="302"/>
      <c r="AB92" s="302"/>
      <c r="AC92" s="302"/>
      <c r="AD92" s="25"/>
      <c r="AE92" s="25" t="s">
        <v>506</v>
      </c>
    </row>
    <row r="93" spans="2:56" x14ac:dyDescent="0.2">
      <c r="B93" s="205"/>
      <c r="C93" s="370">
        <f>SUM(C77:C91)</f>
        <v>0</v>
      </c>
      <c r="D93" s="370">
        <f>SUM(D77:D91)</f>
        <v>0</v>
      </c>
      <c r="E93" s="370">
        <f>SUM(E77:E91)</f>
        <v>0</v>
      </c>
      <c r="F93" s="370">
        <f>SUM(F77:F91)</f>
        <v>0</v>
      </c>
      <c r="G93" s="370">
        <f>SUM(G77:G91)</f>
        <v>0</v>
      </c>
      <c r="H93" s="370">
        <f>SUM(H77:H91)</f>
        <v>109233.7126431732</v>
      </c>
      <c r="I93" s="370">
        <f>SUM(I77:I91)</f>
        <v>25394.240916408646</v>
      </c>
      <c r="J93" s="370">
        <f>SUM(J77:J91)</f>
        <v>8570853.2918241844</v>
      </c>
      <c r="K93" s="370">
        <f>SUM(K77:K91)</f>
        <v>109233.7126431732</v>
      </c>
      <c r="L93" s="370">
        <f>SUM(L77:L91)</f>
        <v>25394.240916408646</v>
      </c>
      <c r="M93" s="370">
        <f>SUM(M77:M91)</f>
        <v>8570853.2918241844</v>
      </c>
      <c r="N93" s="370">
        <f>SUM(N77:N91)</f>
        <v>88965.799815334409</v>
      </c>
      <c r="O93" s="370">
        <f>SUM(O77:O91)</f>
        <v>21743.416787545681</v>
      </c>
      <c r="P93" s="370">
        <f>SUM(P77:P91)</f>
        <v>25394.240916408646</v>
      </c>
      <c r="Q93" s="370">
        <f>SUM(Q77:Q91)</f>
        <v>8570853.2918241844</v>
      </c>
      <c r="R93" s="370">
        <f>SUM(R77:R91)</f>
        <v>6791339.3350291392</v>
      </c>
      <c r="S93" s="370">
        <f>SUM(S77:S91)</f>
        <v>5935408.0537775028</v>
      </c>
      <c r="T93" s="370">
        <f>SUM(T77:T91)</f>
        <v>24560.677586239479</v>
      </c>
      <c r="U93" s="370">
        <f>SUM(U77:U91)</f>
        <v>5366.0434241372932</v>
      </c>
      <c r="V93" s="370">
        <f>SUM(V77:V91)</f>
        <v>5944558.1059355522</v>
      </c>
      <c r="W93" s="370">
        <f>SUM(W77:W91)</f>
        <v>242016.07607977447</v>
      </c>
      <c r="X93" s="370">
        <f>SUM(X77:X91)</f>
        <v>7739.2511800711582</v>
      </c>
      <c r="Y93" s="370">
        <f>SUM(Y77:Y91)</f>
        <v>5011910.8458600137</v>
      </c>
      <c r="Z93" s="370">
        <f>SUM(Z77:Z91)</f>
        <v>7072531.8830895294</v>
      </c>
      <c r="AA93" s="370">
        <f>SUM(AA77:AA91)</f>
        <v>4157895.2984628798</v>
      </c>
      <c r="AB93" s="370">
        <f>SUM(AB77:AB91)</f>
        <v>352719.3378356871</v>
      </c>
      <c r="AC93" s="370">
        <f>SUM(AC77:AC91)</f>
        <v>67875.356217847453</v>
      </c>
      <c r="AD93" s="370">
        <f>SUM(AD77:AD91)</f>
        <v>891683.71589033271</v>
      </c>
    </row>
    <row r="94" spans="2:56" x14ac:dyDescent="0.2">
      <c r="B94" s="205"/>
      <c r="C94" s="302" t="s">
        <v>507</v>
      </c>
      <c r="D94" s="302"/>
      <c r="E94" s="302"/>
      <c r="F94" s="302"/>
      <c r="G94" s="302"/>
      <c r="H94" s="302"/>
      <c r="I94" s="302"/>
      <c r="J94" s="302"/>
      <c r="K94" s="302"/>
      <c r="L94" s="302"/>
      <c r="M94" s="302"/>
      <c r="N94" s="302"/>
      <c r="O94" s="302"/>
      <c r="P94" s="302"/>
      <c r="Q94" s="302"/>
      <c r="R94" s="302"/>
      <c r="S94" s="302"/>
      <c r="T94" s="302"/>
      <c r="U94" s="302"/>
      <c r="V94" s="302"/>
      <c r="W94" s="302"/>
      <c r="X94" s="302"/>
      <c r="Y94" s="302"/>
      <c r="Z94" s="302"/>
      <c r="AA94" s="302"/>
      <c r="AB94" s="302"/>
      <c r="AC94" s="302"/>
    </row>
    <row r="95" spans="2:56" x14ac:dyDescent="0.2">
      <c r="B95" s="205"/>
    </row>
    <row r="96" spans="2:56" x14ac:dyDescent="0.2">
      <c r="B96" s="205"/>
    </row>
    <row r="97" spans="2:29" x14ac:dyDescent="0.2">
      <c r="B97" s="205"/>
    </row>
    <row r="98" spans="2:29" x14ac:dyDescent="0.2">
      <c r="B98" s="205"/>
    </row>
    <row r="99" spans="2:29" x14ac:dyDescent="0.2">
      <c r="B99" s="205"/>
    </row>
    <row r="100" spans="2:29" x14ac:dyDescent="0.2">
      <c r="B100" s="205"/>
    </row>
    <row r="101" spans="2:29" x14ac:dyDescent="0.2">
      <c r="B101" s="205"/>
    </row>
    <row r="102" spans="2:29" x14ac:dyDescent="0.2">
      <c r="B102" s="205"/>
    </row>
    <row r="103" spans="2:29" x14ac:dyDescent="0.2">
      <c r="B103" s="205"/>
    </row>
    <row r="104" spans="2:29" x14ac:dyDescent="0.2">
      <c r="B104" s="205"/>
    </row>
    <row r="105" spans="2:29" ht="155" x14ac:dyDescent="0.2">
      <c r="B105" s="205"/>
      <c r="C105" s="208" t="s">
        <v>441</v>
      </c>
      <c r="D105" s="208" t="s">
        <v>443</v>
      </c>
      <c r="E105" s="208" t="s">
        <v>444</v>
      </c>
      <c r="F105" s="208" t="s">
        <v>466</v>
      </c>
      <c r="G105" s="383" t="s">
        <v>518</v>
      </c>
      <c r="H105" s="210" t="s">
        <v>525</v>
      </c>
      <c r="I105" s="210" t="s">
        <v>533</v>
      </c>
      <c r="J105" s="211" t="s">
        <v>534</v>
      </c>
      <c r="K105" s="210" t="s">
        <v>526</v>
      </c>
      <c r="L105" s="210" t="s">
        <v>529</v>
      </c>
      <c r="M105" s="210" t="s">
        <v>530</v>
      </c>
      <c r="N105" s="210" t="s">
        <v>531</v>
      </c>
      <c r="O105" s="211" t="s">
        <v>493</v>
      </c>
      <c r="P105" s="211" t="s">
        <v>532</v>
      </c>
      <c r="Q105" s="211" t="s">
        <v>535</v>
      </c>
      <c r="R105" s="211" t="s">
        <v>470</v>
      </c>
      <c r="S105" s="248" t="s">
        <v>492</v>
      </c>
      <c r="T105" s="248" t="s">
        <v>539</v>
      </c>
      <c r="U105" s="211" t="s">
        <v>393</v>
      </c>
      <c r="V105" s="211" t="s">
        <v>499</v>
      </c>
      <c r="W105" s="211" t="s">
        <v>430</v>
      </c>
      <c r="X105" s="211" t="s">
        <v>497</v>
      </c>
      <c r="Y105" s="211" t="s">
        <v>537</v>
      </c>
      <c r="Z105" s="211" t="s">
        <v>536</v>
      </c>
      <c r="AA105" s="211" t="s">
        <v>439</v>
      </c>
      <c r="AB105" s="211" t="s">
        <v>496</v>
      </c>
      <c r="AC105" s="211" t="s">
        <v>495</v>
      </c>
    </row>
    <row r="106" spans="2:29" x14ac:dyDescent="0.2">
      <c r="B106" s="205" t="s">
        <v>440</v>
      </c>
      <c r="C106" s="353">
        <f>'Ore-&gt;PI'!N42</f>
        <v>109233.7126431732</v>
      </c>
      <c r="D106" s="353"/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</row>
    <row r="107" spans="2:29" ht="16" x14ac:dyDescent="0.2">
      <c r="B107" s="206" t="s">
        <v>442</v>
      </c>
      <c r="C107" s="353"/>
      <c r="D107" s="353">
        <f>'Ore-&gt;PI'!N114</f>
        <v>25394.240916408646</v>
      </c>
      <c r="E107" s="353"/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</row>
    <row r="108" spans="2:29" x14ac:dyDescent="0.2">
      <c r="B108" s="207" t="s">
        <v>471</v>
      </c>
      <c r="C108" s="353"/>
      <c r="D108" s="353"/>
      <c r="E108" s="353">
        <f>'Ore-&gt;PI'!N176</f>
        <v>8570853.2918241844</v>
      </c>
      <c r="F108" s="353"/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</row>
    <row r="109" spans="2:29" x14ac:dyDescent="0.2">
      <c r="B109" s="205" t="s">
        <v>527</v>
      </c>
      <c r="C109" s="353"/>
      <c r="D109" s="353"/>
      <c r="E109" s="353"/>
      <c r="F109" s="367">
        <f>'Ore-&gt;PI'!BQ128+'Ore-&gt;PI'!DY128+'Ore-&gt;PI'!BQ212</f>
        <v>20870.534094072325</v>
      </c>
      <c r="G109" s="353"/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</row>
    <row r="110" spans="2:29" x14ac:dyDescent="0.2">
      <c r="B110" s="384" t="s">
        <v>517</v>
      </c>
      <c r="C110" s="353"/>
      <c r="D110" s="353"/>
      <c r="E110" s="353"/>
      <c r="F110" s="353"/>
      <c r="G110" s="353">
        <f>'Ore-&gt;PI'!BQ140</f>
        <v>1078370532.5161049</v>
      </c>
      <c r="H110" s="353"/>
      <c r="I110" s="353"/>
      <c r="J110" s="353"/>
      <c r="K110" s="353"/>
      <c r="L110" s="353"/>
      <c r="M110" s="353"/>
      <c r="N110" s="353"/>
      <c r="O110" s="353"/>
      <c r="P110" s="353"/>
      <c r="Q110" s="353"/>
      <c r="R110" s="353"/>
      <c r="S110" s="353"/>
      <c r="T110" s="353"/>
      <c r="U110" s="353"/>
      <c r="V110" s="353">
        <f>'Ore-&gt;PI'!BQ195</f>
        <v>891683.71589033271</v>
      </c>
      <c r="W110" s="353"/>
      <c r="X110" s="353"/>
      <c r="Y110" s="353"/>
      <c r="Z110" s="353"/>
      <c r="AA110" s="353"/>
      <c r="AB110" s="353"/>
      <c r="AC110" s="353"/>
    </row>
    <row r="111" spans="2:29" x14ac:dyDescent="0.2">
      <c r="C111" s="302" t="s">
        <v>60</v>
      </c>
      <c r="D111" s="302"/>
      <c r="E111" s="302"/>
      <c r="F111" s="302"/>
      <c r="G111" s="302"/>
      <c r="H111" s="302"/>
      <c r="I111" s="302"/>
      <c r="J111" s="302"/>
      <c r="K111" s="302"/>
      <c r="L111" s="302"/>
      <c r="M111" s="302"/>
      <c r="N111" s="302"/>
      <c r="O111" s="302"/>
      <c r="P111" s="302"/>
      <c r="Q111" s="302"/>
      <c r="R111" s="302"/>
      <c r="S111" s="302"/>
      <c r="T111" s="302"/>
      <c r="U111" s="302"/>
      <c r="V111" s="302"/>
      <c r="W111" s="302"/>
      <c r="X111" s="302"/>
      <c r="Y111" s="302"/>
      <c r="Z111" s="302"/>
      <c r="AA111" s="302"/>
      <c r="AB111" s="302"/>
      <c r="AC111" s="302"/>
    </row>
    <row r="112" spans="2:29" x14ac:dyDescent="0.2">
      <c r="C112" s="370">
        <f>SUM(C106:C110)</f>
        <v>109233.7126431732</v>
      </c>
      <c r="D112" s="370">
        <f>SUM(D106:D110)</f>
        <v>25394.240916408646</v>
      </c>
      <c r="E112" s="370">
        <f>SUM(E106:E110)</f>
        <v>8570853.2918241844</v>
      </c>
      <c r="F112" s="370">
        <f>SUM(F106:F110)</f>
        <v>20870.534094072325</v>
      </c>
      <c r="G112" s="370">
        <f>SUM(G106:G110)</f>
        <v>1078370532.5161049</v>
      </c>
      <c r="H112" s="370">
        <f>SUM(H106:H110)</f>
        <v>0</v>
      </c>
      <c r="I112" s="370">
        <f>SUM(I106:I110)</f>
        <v>0</v>
      </c>
      <c r="J112" s="370">
        <f>SUM(J106:J110)</f>
        <v>0</v>
      </c>
      <c r="K112" s="370">
        <f>SUM(K106:K110)</f>
        <v>0</v>
      </c>
      <c r="L112" s="370">
        <f>SUM(L106:L110)</f>
        <v>0</v>
      </c>
      <c r="M112" s="370">
        <f>SUM(M106:M110)</f>
        <v>0</v>
      </c>
      <c r="N112" s="370">
        <f>SUM(N106:N110)</f>
        <v>0</v>
      </c>
      <c r="O112" s="370">
        <f>SUM(O106:O110)</f>
        <v>0</v>
      </c>
      <c r="P112" s="370">
        <f>SUM(P106:P110)</f>
        <v>0</v>
      </c>
      <c r="Q112" s="370">
        <f>SUM(Q106:Q110)</f>
        <v>0</v>
      </c>
      <c r="R112" s="370">
        <f>SUM(R106:R110)</f>
        <v>0</v>
      </c>
      <c r="S112" s="370">
        <f>SUM(S106:S110)</f>
        <v>0</v>
      </c>
      <c r="T112" s="370">
        <f>SUM(T106:T110)</f>
        <v>0</v>
      </c>
      <c r="U112" s="370">
        <f>SUM(U106:U110)</f>
        <v>0</v>
      </c>
      <c r="V112" s="370">
        <f>SUM(V106:V110)</f>
        <v>891683.71589033271</v>
      </c>
      <c r="W112" s="370">
        <f>SUM(W106:W110)</f>
        <v>0</v>
      </c>
      <c r="X112" s="370">
        <f>SUM(X106:X110)</f>
        <v>0</v>
      </c>
      <c r="Y112" s="370">
        <f>SUM(Y106:Y110)</f>
        <v>0</v>
      </c>
      <c r="Z112" s="370">
        <f>SUM(Z106:Z110)</f>
        <v>0</v>
      </c>
      <c r="AA112" s="370">
        <f>SUM(AA106:AA110)</f>
        <v>0</v>
      </c>
      <c r="AB112" s="370">
        <f>SUM(AB106:AB110)</f>
        <v>0</v>
      </c>
      <c r="AC112" s="370">
        <f>SUM(AC106:AC110)</f>
        <v>0</v>
      </c>
    </row>
    <row r="113" spans="2:29" x14ac:dyDescent="0.2">
      <c r="C113" s="302" t="s">
        <v>508</v>
      </c>
      <c r="D113" s="302"/>
      <c r="E113" s="302"/>
      <c r="F113" s="302"/>
      <c r="G113" s="302"/>
      <c r="H113" s="302"/>
      <c r="I113" s="302"/>
      <c r="J113" s="302"/>
      <c r="K113" s="302"/>
      <c r="L113" s="302"/>
      <c r="M113" s="302"/>
      <c r="N113" s="302"/>
      <c r="O113" s="302"/>
      <c r="P113" s="302"/>
      <c r="Q113" s="302"/>
      <c r="R113" s="302"/>
      <c r="S113" s="302"/>
      <c r="T113" s="302"/>
      <c r="U113" s="302"/>
      <c r="V113" s="302"/>
      <c r="W113" s="302"/>
      <c r="X113" s="302"/>
      <c r="Y113" s="302"/>
      <c r="Z113" s="302"/>
      <c r="AA113" s="302"/>
      <c r="AB113" s="302"/>
      <c r="AC113" s="302"/>
    </row>
    <row r="117" spans="2:29" x14ac:dyDescent="0.2">
      <c r="C117" s="302" t="s">
        <v>505</v>
      </c>
      <c r="D117" s="302"/>
      <c r="E117" s="302"/>
      <c r="F117" s="302"/>
      <c r="G117" s="302"/>
      <c r="H117" s="302"/>
      <c r="I117" s="302"/>
      <c r="J117" s="302"/>
      <c r="K117" s="302"/>
      <c r="L117" s="361"/>
      <c r="M117" s="361"/>
      <c r="N117" s="361"/>
      <c r="O117" s="361"/>
      <c r="P117" s="25"/>
      <c r="Q117" s="25"/>
    </row>
    <row r="120" spans="2:29" x14ac:dyDescent="0.2">
      <c r="B120" s="205" t="s">
        <v>441</v>
      </c>
      <c r="C120" s="370" cm="1">
        <f t="array" ref="C120:C146">TRANSPOSE(C112:AC112)</f>
        <v>109233.7126431732</v>
      </c>
      <c r="E120" s="370" cm="1">
        <f t="array" ref="E120:E146">TRANSPOSE(C93:AC93)</f>
        <v>0</v>
      </c>
      <c r="G120" s="371">
        <f>AW42</f>
        <v>109233.7126431732</v>
      </c>
      <c r="I120" s="370" cm="1">
        <f t="array" ref="I120:I147">BD42:BD69</f>
        <v>0</v>
      </c>
      <c r="K120" s="370">
        <f>C120+E120-G120-I120</f>
        <v>0</v>
      </c>
    </row>
    <row r="121" spans="2:29" x14ac:dyDescent="0.2">
      <c r="B121" s="205" t="s">
        <v>443</v>
      </c>
      <c r="C121" s="370">
        <v>25394.240916408646</v>
      </c>
      <c r="E121" s="370">
        <v>0</v>
      </c>
      <c r="G121" s="371">
        <f>AW43</f>
        <v>25394.240916408646</v>
      </c>
      <c r="I121" s="370">
        <v>0</v>
      </c>
      <c r="K121" s="370">
        <f>C121+E121-G121-I121</f>
        <v>0</v>
      </c>
    </row>
    <row r="122" spans="2:29" x14ac:dyDescent="0.2">
      <c r="B122" s="205" t="s">
        <v>444</v>
      </c>
      <c r="C122" s="370">
        <v>8570853.2918241844</v>
      </c>
      <c r="E122" s="370">
        <v>0</v>
      </c>
      <c r="G122" s="371">
        <f>AW44</f>
        <v>8570853.2918241844</v>
      </c>
      <c r="I122" s="370">
        <v>0</v>
      </c>
      <c r="K122" s="370">
        <f t="shared" ref="K122:K147" si="4">C122+E122-G122-I122</f>
        <v>0</v>
      </c>
    </row>
    <row r="123" spans="2:29" x14ac:dyDescent="0.2">
      <c r="B123" s="205" t="s">
        <v>466</v>
      </c>
      <c r="C123" s="370">
        <v>20870.534094072325</v>
      </c>
      <c r="E123" s="370">
        <v>0</v>
      </c>
      <c r="G123" s="371">
        <f>AW45</f>
        <v>20870.534094072329</v>
      </c>
      <c r="I123" s="370">
        <v>0</v>
      </c>
      <c r="K123" s="370">
        <f>C123+E123-G123-I123</f>
        <v>-3.637978807091713E-12</v>
      </c>
    </row>
    <row r="124" spans="2:29" x14ac:dyDescent="0.2">
      <c r="B124" s="205" t="s">
        <v>518</v>
      </c>
      <c r="C124" s="370">
        <v>1078370532.5161049</v>
      </c>
      <c r="E124" s="370">
        <v>0</v>
      </c>
      <c r="G124" s="371">
        <f>AW46</f>
        <v>1078370532.5161049</v>
      </c>
      <c r="I124" s="370">
        <v>0</v>
      </c>
      <c r="K124" s="370">
        <f t="shared" si="4"/>
        <v>0</v>
      </c>
    </row>
    <row r="125" spans="2:29" x14ac:dyDescent="0.2">
      <c r="B125" s="205" t="s">
        <v>525</v>
      </c>
      <c r="C125" s="370">
        <v>0</v>
      </c>
      <c r="E125" s="370">
        <v>109233.7126431732</v>
      </c>
      <c r="G125" s="371">
        <f>AW47</f>
        <v>109233.7126431732</v>
      </c>
      <c r="I125" s="370">
        <v>0</v>
      </c>
      <c r="K125" s="370">
        <f t="shared" si="4"/>
        <v>0</v>
      </c>
    </row>
    <row r="126" spans="2:29" x14ac:dyDescent="0.2">
      <c r="B126" s="205" t="s">
        <v>533</v>
      </c>
      <c r="C126" s="370">
        <v>0</v>
      </c>
      <c r="E126" s="370">
        <v>25394.240916408646</v>
      </c>
      <c r="G126" s="371">
        <f>AW48</f>
        <v>25394.240916408646</v>
      </c>
      <c r="I126" s="370">
        <v>0</v>
      </c>
      <c r="K126" s="370">
        <f t="shared" si="4"/>
        <v>0</v>
      </c>
    </row>
    <row r="127" spans="2:29" x14ac:dyDescent="0.2">
      <c r="B127" s="205" t="s">
        <v>534</v>
      </c>
      <c r="C127" s="370">
        <v>0</v>
      </c>
      <c r="E127" s="370">
        <v>8570853.2918241844</v>
      </c>
      <c r="G127" s="371">
        <f>AW49</f>
        <v>8570853.2918241844</v>
      </c>
      <c r="I127" s="370">
        <v>0</v>
      </c>
      <c r="K127" s="370">
        <f t="shared" si="4"/>
        <v>0</v>
      </c>
    </row>
    <row r="128" spans="2:29" x14ac:dyDescent="0.2">
      <c r="B128" s="205" t="s">
        <v>526</v>
      </c>
      <c r="C128" s="370">
        <v>0</v>
      </c>
      <c r="E128" s="370">
        <v>109233.7126431732</v>
      </c>
      <c r="G128" s="371">
        <f>AW50</f>
        <v>109233.7126431732</v>
      </c>
      <c r="I128" s="370">
        <v>0</v>
      </c>
      <c r="K128" s="370">
        <f t="shared" si="4"/>
        <v>0</v>
      </c>
    </row>
    <row r="129" spans="2:17" x14ac:dyDescent="0.2">
      <c r="B129" s="205" t="s">
        <v>529</v>
      </c>
      <c r="C129" s="370">
        <v>0</v>
      </c>
      <c r="E129" s="370">
        <v>25394.240916408646</v>
      </c>
      <c r="G129" s="371">
        <f>AW51</f>
        <v>25394.240916408646</v>
      </c>
      <c r="I129" s="370">
        <v>0</v>
      </c>
      <c r="K129" s="370">
        <f t="shared" si="4"/>
        <v>0</v>
      </c>
    </row>
    <row r="130" spans="2:17" x14ac:dyDescent="0.2">
      <c r="B130" s="205" t="s">
        <v>530</v>
      </c>
      <c r="C130" s="370">
        <v>0</v>
      </c>
      <c r="E130" s="370">
        <v>8570853.2918241844</v>
      </c>
      <c r="G130" s="371">
        <f>AW52</f>
        <v>8570853.2918241844</v>
      </c>
      <c r="I130" s="370">
        <v>0</v>
      </c>
      <c r="K130" s="370">
        <f t="shared" si="4"/>
        <v>0</v>
      </c>
    </row>
    <row r="131" spans="2:17" x14ac:dyDescent="0.2">
      <c r="B131" s="205" t="s">
        <v>531</v>
      </c>
      <c r="C131" s="370">
        <v>0</v>
      </c>
      <c r="E131" s="370">
        <v>88965.799815334409</v>
      </c>
      <c r="G131" s="371">
        <f>AW53</f>
        <v>88965.799815334409</v>
      </c>
      <c r="I131" s="370">
        <v>0</v>
      </c>
      <c r="K131" s="370">
        <f t="shared" si="4"/>
        <v>0</v>
      </c>
    </row>
    <row r="132" spans="2:17" x14ac:dyDescent="0.2">
      <c r="B132" s="205" t="s">
        <v>493</v>
      </c>
      <c r="C132" s="370">
        <v>0</v>
      </c>
      <c r="E132" s="370">
        <v>21743.416787545681</v>
      </c>
      <c r="G132" s="371">
        <f>AW54</f>
        <v>0</v>
      </c>
      <c r="I132" s="370">
        <v>21743.416787545681</v>
      </c>
      <c r="K132" s="370">
        <f t="shared" si="4"/>
        <v>0</v>
      </c>
    </row>
    <row r="133" spans="2:17" x14ac:dyDescent="0.2">
      <c r="B133" s="205" t="s">
        <v>532</v>
      </c>
      <c r="C133" s="370">
        <v>0</v>
      </c>
      <c r="D133" s="386" t="s">
        <v>512</v>
      </c>
      <c r="E133" s="370">
        <v>25394.240916408646</v>
      </c>
      <c r="F133" s="172" t="s">
        <v>514</v>
      </c>
      <c r="G133" s="371">
        <f>AW55</f>
        <v>25394.240916408646</v>
      </c>
      <c r="H133" s="172" t="s">
        <v>514</v>
      </c>
      <c r="I133" s="370">
        <v>0</v>
      </c>
      <c r="J133" s="386" t="s">
        <v>515</v>
      </c>
      <c r="K133" s="370">
        <f t="shared" si="4"/>
        <v>0</v>
      </c>
    </row>
    <row r="134" spans="2:17" x14ac:dyDescent="0.2">
      <c r="B134" s="205" t="s">
        <v>535</v>
      </c>
      <c r="C134" s="370">
        <v>0</v>
      </c>
      <c r="E134" s="370">
        <v>8570853.2918241844</v>
      </c>
      <c r="G134" s="371">
        <f>AW56</f>
        <v>8570853.2918241844</v>
      </c>
      <c r="I134" s="370">
        <v>0</v>
      </c>
      <c r="K134" s="370">
        <f t="shared" si="4"/>
        <v>0</v>
      </c>
    </row>
    <row r="135" spans="2:17" x14ac:dyDescent="0.2">
      <c r="B135" s="205" t="s">
        <v>470</v>
      </c>
      <c r="C135" s="370">
        <v>0</v>
      </c>
      <c r="E135" s="370">
        <v>6791339.3350291392</v>
      </c>
      <c r="G135" s="371">
        <f>AW57</f>
        <v>6791339.3350291392</v>
      </c>
      <c r="I135" s="370">
        <v>0</v>
      </c>
      <c r="K135" s="370">
        <f t="shared" si="4"/>
        <v>0</v>
      </c>
    </row>
    <row r="136" spans="2:17" x14ac:dyDescent="0.2">
      <c r="B136" s="205" t="s">
        <v>492</v>
      </c>
      <c r="C136" s="370">
        <v>0</v>
      </c>
      <c r="E136" s="370">
        <v>5935408.0537775028</v>
      </c>
      <c r="G136" s="371">
        <f>AW58</f>
        <v>5935408.0537775028</v>
      </c>
      <c r="I136" s="370">
        <v>0</v>
      </c>
      <c r="K136" s="370">
        <f t="shared" si="4"/>
        <v>0</v>
      </c>
    </row>
    <row r="137" spans="2:17" x14ac:dyDescent="0.2">
      <c r="B137" s="205" t="s">
        <v>539</v>
      </c>
      <c r="C137" s="370">
        <v>0</v>
      </c>
      <c r="E137" s="370">
        <v>24560.677586239479</v>
      </c>
      <c r="G137" s="371">
        <f>AW59</f>
        <v>0</v>
      </c>
      <c r="I137" s="370">
        <v>24560.677586239479</v>
      </c>
      <c r="K137" s="370">
        <f t="shared" si="4"/>
        <v>0</v>
      </c>
    </row>
    <row r="138" spans="2:17" x14ac:dyDescent="0.2">
      <c r="B138" s="205" t="s">
        <v>393</v>
      </c>
      <c r="C138" s="370">
        <v>0</v>
      </c>
      <c r="E138" s="370">
        <v>5366.0434241372932</v>
      </c>
      <c r="G138" s="371">
        <f>AW60</f>
        <v>0</v>
      </c>
      <c r="I138" s="370">
        <v>5366.0434241372932</v>
      </c>
      <c r="K138" s="370">
        <f>C138+E138-G138-I138</f>
        <v>0</v>
      </c>
    </row>
    <row r="139" spans="2:17" x14ac:dyDescent="0.2">
      <c r="B139" s="205" t="s">
        <v>499</v>
      </c>
      <c r="C139" s="370">
        <v>891683.71589033271</v>
      </c>
      <c r="E139" s="370">
        <v>5944558.1059355522</v>
      </c>
      <c r="G139" s="371">
        <f>AW61</f>
        <v>5944558.1059355512</v>
      </c>
      <c r="I139" s="370">
        <v>891683.71589033271</v>
      </c>
      <c r="K139" s="370">
        <f>C139+E139-G139-I139</f>
        <v>1.280568540096283E-9</v>
      </c>
    </row>
    <row r="140" spans="2:17" x14ac:dyDescent="0.2">
      <c r="B140" s="205" t="s">
        <v>430</v>
      </c>
      <c r="C140" s="370">
        <v>0</v>
      </c>
      <c r="E140" s="370">
        <v>242016.07607977447</v>
      </c>
      <c r="G140" s="371">
        <f>AW62</f>
        <v>242016.07607977447</v>
      </c>
      <c r="I140" s="370">
        <v>0</v>
      </c>
      <c r="K140" s="370">
        <f t="shared" si="4"/>
        <v>0</v>
      </c>
      <c r="M140" s="25"/>
      <c r="O140" s="25"/>
      <c r="P140" s="25"/>
      <c r="Q140" s="25"/>
    </row>
    <row r="141" spans="2:17" x14ac:dyDescent="0.2">
      <c r="B141" s="205" t="s">
        <v>497</v>
      </c>
      <c r="C141" s="370">
        <v>0</v>
      </c>
      <c r="E141" s="370">
        <v>7739.2511800711582</v>
      </c>
      <c r="G141" s="371">
        <f>AW63</f>
        <v>0</v>
      </c>
      <c r="I141" s="370">
        <v>7739.2511800711582</v>
      </c>
      <c r="K141" s="370">
        <f t="shared" si="4"/>
        <v>0</v>
      </c>
      <c r="M141" s="25"/>
      <c r="O141" s="25"/>
      <c r="P141" s="25"/>
      <c r="Q141" s="25"/>
    </row>
    <row r="142" spans="2:17" x14ac:dyDescent="0.2">
      <c r="B142" s="205" t="s">
        <v>537</v>
      </c>
      <c r="C142" s="370">
        <v>0</v>
      </c>
      <c r="E142" s="370">
        <v>5011910.8458600137</v>
      </c>
      <c r="G142" s="371">
        <f>AW64</f>
        <v>0</v>
      </c>
      <c r="I142" s="370">
        <v>5011910.8458600137</v>
      </c>
      <c r="K142" s="370">
        <f t="shared" si="4"/>
        <v>0</v>
      </c>
      <c r="M142" s="25"/>
      <c r="O142" s="25"/>
      <c r="P142" s="25"/>
      <c r="Q142" s="25"/>
    </row>
    <row r="143" spans="2:17" x14ac:dyDescent="0.2">
      <c r="B143" s="205" t="s">
        <v>536</v>
      </c>
      <c r="C143" s="370">
        <v>0</v>
      </c>
      <c r="E143" s="370">
        <v>7072531.8830895294</v>
      </c>
      <c r="G143" s="371">
        <f>AW65</f>
        <v>7072531.8830895294</v>
      </c>
      <c r="I143" s="370">
        <v>0</v>
      </c>
      <c r="K143" s="370">
        <f t="shared" si="4"/>
        <v>0</v>
      </c>
      <c r="M143" s="25"/>
      <c r="O143" s="25"/>
      <c r="P143" s="25"/>
      <c r="Q143" s="25"/>
    </row>
    <row r="144" spans="2:17" x14ac:dyDescent="0.2">
      <c r="B144" s="205" t="s">
        <v>439</v>
      </c>
      <c r="C144" s="370">
        <v>0</v>
      </c>
      <c r="E144" s="370">
        <v>4157895.2984628798</v>
      </c>
      <c r="G144" s="371">
        <f>AW66</f>
        <v>0</v>
      </c>
      <c r="I144" s="370">
        <v>4157895.2984628798</v>
      </c>
      <c r="K144" s="370">
        <f t="shared" si="4"/>
        <v>0</v>
      </c>
      <c r="M144" s="25"/>
      <c r="O144" s="25"/>
      <c r="P144" s="25"/>
      <c r="Q144" s="25"/>
    </row>
    <row r="145" spans="2:17" x14ac:dyDescent="0.2">
      <c r="B145" s="205" t="s">
        <v>496</v>
      </c>
      <c r="C145" s="370">
        <v>0</v>
      </c>
      <c r="E145" s="370">
        <v>352719.3378356871</v>
      </c>
      <c r="G145" s="371">
        <f>AW67</f>
        <v>0</v>
      </c>
      <c r="I145" s="370">
        <v>352719.3378356871</v>
      </c>
      <c r="K145" s="370">
        <f t="shared" si="4"/>
        <v>0</v>
      </c>
    </row>
    <row r="146" spans="2:17" x14ac:dyDescent="0.2">
      <c r="B146" s="205" t="s">
        <v>495</v>
      </c>
      <c r="C146" s="370">
        <v>0</v>
      </c>
      <c r="E146" s="370">
        <v>67875.356217847453</v>
      </c>
      <c r="G146" s="371">
        <f>AW68</f>
        <v>0</v>
      </c>
      <c r="I146" s="370">
        <v>67875.356217847453</v>
      </c>
      <c r="K146" s="370">
        <f t="shared" si="4"/>
        <v>0</v>
      </c>
    </row>
    <row r="147" spans="2:17" x14ac:dyDescent="0.2">
      <c r="B147" s="205" t="s">
        <v>543</v>
      </c>
      <c r="C147" s="370"/>
      <c r="E147" s="370">
        <f>AD93</f>
        <v>891683.71589033271</v>
      </c>
      <c r="G147" s="371">
        <f>AW69</f>
        <v>0</v>
      </c>
      <c r="I147" s="370">
        <v>891683.71589033271</v>
      </c>
      <c r="K147" s="370">
        <f t="shared" si="4"/>
        <v>0</v>
      </c>
    </row>
    <row r="148" spans="2:17" ht="17" x14ac:dyDescent="0.2">
      <c r="B148" s="205"/>
      <c r="C148" s="3" t="s">
        <v>511</v>
      </c>
      <c r="E148" s="3" t="s">
        <v>513</v>
      </c>
      <c r="G148" s="25" t="s">
        <v>510</v>
      </c>
      <c r="I148" s="25" t="s">
        <v>41</v>
      </c>
      <c r="K148" s="25">
        <f>SUM(K120:K146)</f>
        <v>1.2769305612891912E-9</v>
      </c>
      <c r="L148" s="172"/>
    </row>
    <row r="149" spans="2:17" x14ac:dyDescent="0.2">
      <c r="B149" s="205"/>
      <c r="G149" s="25"/>
      <c r="I149" s="25"/>
    </row>
    <row r="150" spans="2:17" x14ac:dyDescent="0.2">
      <c r="B150" s="205"/>
    </row>
    <row r="151" spans="2:17" x14ac:dyDescent="0.2">
      <c r="B151" s="205"/>
      <c r="N151" s="361"/>
      <c r="O151" s="361"/>
      <c r="P151" s="361"/>
      <c r="Q151" s="361"/>
    </row>
    <row r="152" spans="2:17" x14ac:dyDescent="0.2">
      <c r="B152" s="205"/>
    </row>
    <row r="153" spans="2:17" x14ac:dyDescent="0.2">
      <c r="B153" s="205"/>
    </row>
    <row r="154" spans="2:17" x14ac:dyDescent="0.2">
      <c r="B154" s="205"/>
    </row>
    <row r="155" spans="2:17" x14ac:dyDescent="0.2">
      <c r="C155" s="302" t="s">
        <v>516</v>
      </c>
      <c r="D155" s="302"/>
      <c r="E155" s="302"/>
      <c r="F155" s="302"/>
      <c r="G155" s="302"/>
      <c r="H155" s="361"/>
      <c r="I155" s="361"/>
      <c r="J155" s="361"/>
      <c r="K155" s="361"/>
    </row>
    <row r="158" spans="2:17" x14ac:dyDescent="0.2">
      <c r="B158" s="205" t="s">
        <v>431</v>
      </c>
      <c r="C158" s="371">
        <f>AH71</f>
        <v>109233.7126431732</v>
      </c>
      <c r="E158" s="370">
        <f>AE77</f>
        <v>109233.7126431732</v>
      </c>
      <c r="G158" s="370">
        <f>C158-E158</f>
        <v>0</v>
      </c>
    </row>
    <row r="159" spans="2:17" x14ac:dyDescent="0.2">
      <c r="B159" s="205" t="s">
        <v>432</v>
      </c>
      <c r="C159" s="371">
        <f>AI71</f>
        <v>25394.240916408646</v>
      </c>
      <c r="E159" s="370">
        <f>AE78</f>
        <v>25394.240916408646</v>
      </c>
      <c r="G159" s="370">
        <f t="shared" ref="G159:G172" si="5">C159-E159</f>
        <v>0</v>
      </c>
      <c r="L159" s="361"/>
      <c r="M159" s="361"/>
    </row>
    <row r="160" spans="2:17" x14ac:dyDescent="0.2">
      <c r="B160" s="205" t="s">
        <v>433</v>
      </c>
      <c r="C160" s="371">
        <f>AJ71</f>
        <v>8570853.2918241844</v>
      </c>
      <c r="E160" s="370">
        <f>AE79</f>
        <v>8570853.2918241844</v>
      </c>
      <c r="G160" s="370">
        <f t="shared" si="5"/>
        <v>0</v>
      </c>
    </row>
    <row r="161" spans="2:7" x14ac:dyDescent="0.2">
      <c r="B161" s="205" t="s">
        <v>467</v>
      </c>
      <c r="C161" s="371">
        <f>AK71</f>
        <v>109233.7126431732</v>
      </c>
      <c r="D161" s="373"/>
      <c r="E161" s="370">
        <f>AE80</f>
        <v>109233.7126431732</v>
      </c>
      <c r="F161" s="373"/>
      <c r="G161" s="370">
        <f t="shared" si="5"/>
        <v>0</v>
      </c>
    </row>
    <row r="162" spans="2:7" x14ac:dyDescent="0.2">
      <c r="B162" s="205" t="s">
        <v>468</v>
      </c>
      <c r="C162" s="371">
        <f>AL71</f>
        <v>25394.240916408646</v>
      </c>
      <c r="E162" s="370">
        <f>AE81</f>
        <v>25394.240916408646</v>
      </c>
      <c r="G162" s="370">
        <f t="shared" si="5"/>
        <v>0</v>
      </c>
    </row>
    <row r="163" spans="2:7" x14ac:dyDescent="0.2">
      <c r="B163" s="205" t="s">
        <v>469</v>
      </c>
      <c r="C163" s="371">
        <f>AM71</f>
        <v>8570853.2918241844</v>
      </c>
      <c r="E163" s="370">
        <f>AE82</f>
        <v>8570853.2918241844</v>
      </c>
      <c r="G163" s="370">
        <f t="shared" si="5"/>
        <v>0</v>
      </c>
    </row>
    <row r="164" spans="2:7" x14ac:dyDescent="0.2">
      <c r="B164" s="205" t="s">
        <v>462</v>
      </c>
      <c r="C164" s="371">
        <f>AN71</f>
        <v>109233.7126431732</v>
      </c>
      <c r="E164" s="370">
        <f>AE83</f>
        <v>110709.21660288009</v>
      </c>
      <c r="G164" s="370">
        <f t="shared" si="5"/>
        <v>-1475.5039597068826</v>
      </c>
    </row>
    <row r="165" spans="2:7" x14ac:dyDescent="0.2">
      <c r="B165" s="205" t="s">
        <v>459</v>
      </c>
      <c r="C165" s="371">
        <f>AO71</f>
        <v>25394.240916408646</v>
      </c>
      <c r="D165" s="172" t="s">
        <v>519</v>
      </c>
      <c r="E165" s="370">
        <f>AE84</f>
        <v>25394.240916408646</v>
      </c>
      <c r="F165" s="172" t="s">
        <v>515</v>
      </c>
      <c r="G165" s="370">
        <f t="shared" si="5"/>
        <v>0</v>
      </c>
    </row>
    <row r="166" spans="2:7" x14ac:dyDescent="0.2">
      <c r="B166" s="205" t="s">
        <v>489</v>
      </c>
      <c r="C166" s="371">
        <f>AP71</f>
        <v>8570853.2918241844</v>
      </c>
      <c r="E166" s="370">
        <f>AE85</f>
        <v>8570853.2918241844</v>
      </c>
      <c r="G166" s="370">
        <f t="shared" si="5"/>
        <v>0</v>
      </c>
    </row>
    <row r="167" spans="2:7" x14ac:dyDescent="0.2">
      <c r="B167" s="205" t="s">
        <v>455</v>
      </c>
      <c r="C167" s="371">
        <f>AQ71</f>
        <v>9462544.8357583601</v>
      </c>
      <c r="E167" s="370">
        <f>AE86</f>
        <v>12756674.109817017</v>
      </c>
      <c r="G167" s="370">
        <f t="shared" si="5"/>
        <v>-3294129.2740586568</v>
      </c>
    </row>
    <row r="168" spans="2:7" x14ac:dyDescent="0.2">
      <c r="B168" s="205" t="s">
        <v>483</v>
      </c>
      <c r="C168" s="371">
        <f>AR71</f>
        <v>5935408.0537775028</v>
      </c>
      <c r="E168" s="370">
        <f>AE87</f>
        <v>5944558.1059355522</v>
      </c>
      <c r="G168" s="370">
        <f t="shared" si="5"/>
        <v>-9150.0521580493078</v>
      </c>
    </row>
    <row r="169" spans="2:7" x14ac:dyDescent="0.2">
      <c r="B169" s="205" t="s">
        <v>498</v>
      </c>
      <c r="C169" s="371">
        <f>AS71</f>
        <v>1078398155.5102727</v>
      </c>
      <c r="E169" s="370">
        <f>AE88</f>
        <v>5261666.1731198598</v>
      </c>
      <c r="G169" s="370">
        <f t="shared" si="5"/>
        <v>1073136489.3371528</v>
      </c>
    </row>
    <row r="170" spans="2:7" x14ac:dyDescent="0.2">
      <c r="B170" s="205" t="s">
        <v>541</v>
      </c>
      <c r="C170" s="371">
        <f>AT71</f>
        <v>891683.71589033271</v>
      </c>
      <c r="E170" s="370">
        <f>AE89</f>
        <v>0</v>
      </c>
      <c r="G170" s="370">
        <f t="shared" si="5"/>
        <v>891683.71589033271</v>
      </c>
    </row>
    <row r="171" spans="2:7" x14ac:dyDescent="0.2">
      <c r="B171" s="205" t="s">
        <v>84</v>
      </c>
      <c r="C171" s="371">
        <f>AU71</f>
        <v>7122321.2109242482</v>
      </c>
      <c r="E171" s="370">
        <f>AE90</f>
        <v>7072531.8830895294</v>
      </c>
      <c r="G171" s="370">
        <f t="shared" si="5"/>
        <v>49789.327834718861</v>
      </c>
    </row>
    <row r="172" spans="2:7" x14ac:dyDescent="0.2">
      <c r="B172" s="205" t="s">
        <v>445</v>
      </c>
      <c r="C172" s="371">
        <f>AV71</f>
        <v>11252356.510043373</v>
      </c>
      <c r="D172" s="172"/>
      <c r="E172" s="370">
        <f>AE91</f>
        <v>4578489.9925164143</v>
      </c>
      <c r="G172" s="370">
        <f t="shared" si="5"/>
        <v>6673866.5175269591</v>
      </c>
    </row>
    <row r="173" spans="2:7" x14ac:dyDescent="0.2">
      <c r="B173" s="207"/>
      <c r="C173" s="172" t="s">
        <v>509</v>
      </c>
      <c r="D173" s="172"/>
      <c r="E173" s="172" t="s">
        <v>506</v>
      </c>
      <c r="F173" s="172"/>
      <c r="G173" s="172" t="s">
        <v>521</v>
      </c>
    </row>
    <row r="174" spans="2:7" x14ac:dyDescent="0.2">
      <c r="B174" s="207"/>
      <c r="G174" s="172"/>
    </row>
    <row r="175" spans="2:7" x14ac:dyDescent="0.2">
      <c r="B175" s="207"/>
    </row>
  </sheetData>
  <mergeCells count="10">
    <mergeCell ref="C111:AC111"/>
    <mergeCell ref="C113:AC113"/>
    <mergeCell ref="C117:K117"/>
    <mergeCell ref="C155:G155"/>
    <mergeCell ref="AH70:AV70"/>
    <mergeCell ref="BB70:BC70"/>
    <mergeCell ref="AH72:AV72"/>
    <mergeCell ref="C75:D75"/>
    <mergeCell ref="C92:AC92"/>
    <mergeCell ref="C94:AC9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41:BI172"/>
  <sheetViews>
    <sheetView topLeftCell="A68" zoomScale="106" workbookViewId="0">
      <selection activeCell="A89" sqref="A89:XFD89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34" width="10.83203125" style="3"/>
    <col min="35" max="35" width="16" style="3" customWidth="1"/>
    <col min="36" max="16384" width="10.83203125" style="3"/>
  </cols>
  <sheetData>
    <row r="41" spans="27:56" ht="112" x14ac:dyDescent="0.2">
      <c r="AG41" s="387" t="s">
        <v>478</v>
      </c>
      <c r="AH41" s="208" t="s">
        <v>431</v>
      </c>
      <c r="AI41" s="208" t="s">
        <v>432</v>
      </c>
      <c r="AJ41" s="208" t="s">
        <v>433</v>
      </c>
      <c r="AK41" s="208" t="s">
        <v>467</v>
      </c>
      <c r="AL41" s="208" t="s">
        <v>468</v>
      </c>
      <c r="AM41" s="208" t="s">
        <v>469</v>
      </c>
      <c r="AN41" s="208" t="s">
        <v>462</v>
      </c>
      <c r="AO41" s="208" t="s">
        <v>459</v>
      </c>
      <c r="AP41" s="208" t="s">
        <v>489</v>
      </c>
      <c r="AQ41" s="208" t="s">
        <v>455</v>
      </c>
      <c r="AR41" s="208" t="s">
        <v>483</v>
      </c>
      <c r="AS41" s="208" t="s">
        <v>498</v>
      </c>
      <c r="AT41" s="208" t="s">
        <v>542</v>
      </c>
      <c r="AU41" s="208" t="s">
        <v>84</v>
      </c>
      <c r="AV41" s="208" t="s">
        <v>445</v>
      </c>
      <c r="BA41" s="208"/>
      <c r="BB41" s="208" t="s">
        <v>438</v>
      </c>
      <c r="BC41" s="208" t="s">
        <v>369</v>
      </c>
    </row>
    <row r="42" spans="27:56" x14ac:dyDescent="0.2">
      <c r="AA42" s="205"/>
      <c r="AG42" s="205" t="s">
        <v>441</v>
      </c>
      <c r="AH42" s="246">
        <f>'Ore-&gt;PI'!AE42</f>
        <v>1011.7674660019052</v>
      </c>
      <c r="AI42" s="246"/>
      <c r="AJ42" s="246"/>
      <c r="AK42" s="246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246"/>
      <c r="AW42" s="370">
        <f>SUM(AH42:AV42)</f>
        <v>1011.7674660019052</v>
      </c>
      <c r="AX42" s="374"/>
      <c r="AY42" s="374"/>
      <c r="BA42" s="205" t="s">
        <v>441</v>
      </c>
      <c r="BB42" s="353"/>
      <c r="BC42" s="353"/>
      <c r="BD42" s="370">
        <f>SUM(BB42:BC42)</f>
        <v>0</v>
      </c>
    </row>
    <row r="43" spans="27:56" x14ac:dyDescent="0.2">
      <c r="AA43" s="205"/>
      <c r="AG43" s="205" t="s">
        <v>443</v>
      </c>
      <c r="AH43" s="246"/>
      <c r="AI43" s="246">
        <f>'Ore-&gt;PI'!M114</f>
        <v>208.55560337725498</v>
      </c>
      <c r="AJ43" s="246"/>
      <c r="AK43" s="246"/>
      <c r="AL43" s="246"/>
      <c r="AM43" s="246"/>
      <c r="AN43" s="246"/>
      <c r="AO43" s="246"/>
      <c r="AP43" s="246"/>
      <c r="AQ43" s="246"/>
      <c r="AR43" s="246"/>
      <c r="AS43" s="246"/>
      <c r="AT43" s="246"/>
      <c r="AU43" s="246"/>
      <c r="AV43" s="246"/>
      <c r="AW43" s="370">
        <f>SUM(AH43:AV43)</f>
        <v>208.55560337725498</v>
      </c>
      <c r="AX43" s="374"/>
      <c r="AY43" s="374"/>
      <c r="BA43" s="205" t="s">
        <v>443</v>
      </c>
      <c r="BB43" s="353"/>
      <c r="BC43" s="353"/>
      <c r="BD43" s="370">
        <f>SUM(BB43:BC43)</f>
        <v>0</v>
      </c>
    </row>
    <row r="44" spans="27:56" x14ac:dyDescent="0.2">
      <c r="AA44" s="205"/>
      <c r="AG44" s="205" t="s">
        <v>444</v>
      </c>
      <c r="AH44" s="246"/>
      <c r="AI44" s="246"/>
      <c r="AJ44" s="246">
        <f>'Ore-&gt;PI'!M176</f>
        <v>286.88405520213911</v>
      </c>
      <c r="AK44" s="246"/>
      <c r="AL44" s="246"/>
      <c r="AM44" s="246"/>
      <c r="AN44" s="246"/>
      <c r="AO44" s="246"/>
      <c r="AP44" s="246"/>
      <c r="AQ44" s="246"/>
      <c r="AR44" s="246"/>
      <c r="AS44" s="246"/>
      <c r="AT44" s="246"/>
      <c r="AU44" s="246"/>
      <c r="AV44" s="246"/>
      <c r="AW44" s="370">
        <f>SUM(AH44:AV44)</f>
        <v>286.88405520213911</v>
      </c>
      <c r="AX44" s="374"/>
      <c r="AY44" s="374"/>
      <c r="BA44" s="205" t="s">
        <v>444</v>
      </c>
      <c r="BB44" s="353"/>
      <c r="BC44" s="353"/>
      <c r="BD44" s="370">
        <f>SUM(BB44:BC44)</f>
        <v>0</v>
      </c>
    </row>
    <row r="45" spans="27:56" x14ac:dyDescent="0.2">
      <c r="AA45" s="205"/>
      <c r="AG45" s="205" t="s">
        <v>466</v>
      </c>
      <c r="AH45" s="246"/>
      <c r="AI45" s="246"/>
      <c r="AJ45" s="246"/>
      <c r="AK45" s="246"/>
      <c r="AL45" s="246"/>
      <c r="AM45" s="246"/>
      <c r="AN45" s="246"/>
      <c r="AO45" s="246"/>
      <c r="AP45" s="246"/>
      <c r="AQ45" s="246">
        <f>'Ore-&gt;PI'!BP212</f>
        <v>266.54186951700353</v>
      </c>
      <c r="AR45" s="246"/>
      <c r="AS45" s="246">
        <f>'Ore-&gt;PI'!BP128</f>
        <v>287.74918282404701</v>
      </c>
      <c r="AT45" s="246"/>
      <c r="AU45" s="246"/>
      <c r="AV45" s="352">
        <f>'Ore-&gt;PI'!DX128</f>
        <v>2380.4098666438063</v>
      </c>
      <c r="AW45" s="370">
        <f>SUM(AH45:AV45)</f>
        <v>2934.7009189848568</v>
      </c>
      <c r="AX45" s="374"/>
      <c r="AY45" s="374"/>
      <c r="BA45" s="205" t="s">
        <v>466</v>
      </c>
      <c r="BB45" s="353"/>
      <c r="BC45" s="353"/>
      <c r="BD45" s="370">
        <f t="shared" ref="BD45:BD49" si="0">SUM(BB45:BC45)</f>
        <v>0</v>
      </c>
    </row>
    <row r="46" spans="27:56" x14ac:dyDescent="0.2">
      <c r="AA46" s="205"/>
      <c r="AG46" s="205" t="s">
        <v>518</v>
      </c>
      <c r="AH46" s="246"/>
      <c r="AI46" s="246"/>
      <c r="AJ46" s="246"/>
      <c r="AK46" s="246"/>
      <c r="AL46" s="246"/>
      <c r="AM46" s="246"/>
      <c r="AN46" s="246"/>
      <c r="AO46" s="246"/>
      <c r="AP46" s="246"/>
      <c r="AQ46" s="246"/>
      <c r="AR46" s="246"/>
      <c r="AS46" s="246">
        <f>'Ore-&gt;PI'!BP140</f>
        <v>20798.316475388398</v>
      </c>
      <c r="AT46" s="246"/>
      <c r="AU46" s="246"/>
      <c r="AV46" s="246"/>
      <c r="AW46" s="370">
        <f>SUM(AH46:AV46)</f>
        <v>20798.316475388398</v>
      </c>
      <c r="AX46" s="374"/>
      <c r="AY46" s="374"/>
      <c r="BA46" s="205" t="s">
        <v>518</v>
      </c>
      <c r="BB46" s="353"/>
      <c r="BC46" s="353"/>
      <c r="BD46" s="370">
        <f t="shared" si="0"/>
        <v>0</v>
      </c>
    </row>
    <row r="47" spans="27:56" x14ac:dyDescent="0.2">
      <c r="AA47" s="205"/>
      <c r="AG47" s="205" t="s">
        <v>525</v>
      </c>
      <c r="AH47" s="246"/>
      <c r="AI47" s="246"/>
      <c r="AJ47" s="246"/>
      <c r="AK47" s="246">
        <f>'Ore-&gt;PI'!AE42</f>
        <v>1011.7674660019052</v>
      </c>
      <c r="AL47" s="246"/>
      <c r="AM47" s="246"/>
      <c r="AN47" s="246"/>
      <c r="AO47" s="246"/>
      <c r="AP47" s="246"/>
      <c r="AQ47" s="246"/>
      <c r="AR47" s="246"/>
      <c r="AS47" s="246"/>
      <c r="AT47" s="246"/>
      <c r="AU47" s="246"/>
      <c r="AV47" s="246"/>
      <c r="AW47" s="370">
        <f>SUM(AH47:AV47)</f>
        <v>1011.7674660019052</v>
      </c>
      <c r="AX47" s="374"/>
      <c r="AY47" s="374"/>
      <c r="BA47" s="205" t="s">
        <v>525</v>
      </c>
      <c r="BB47" s="353"/>
      <c r="BC47" s="353"/>
      <c r="BD47" s="370">
        <f t="shared" si="0"/>
        <v>0</v>
      </c>
    </row>
    <row r="48" spans="27:56" x14ac:dyDescent="0.2">
      <c r="AA48" s="205"/>
      <c r="AG48" s="205" t="s">
        <v>533</v>
      </c>
      <c r="AH48" s="246"/>
      <c r="AI48" s="246"/>
      <c r="AJ48" s="246"/>
      <c r="AK48" s="246"/>
      <c r="AL48" s="246">
        <f>'Ore-&gt;PI'!AF114</f>
        <v>208.55560337725498</v>
      </c>
      <c r="AM48" s="246"/>
      <c r="AN48" s="246"/>
      <c r="AO48" s="246"/>
      <c r="AP48" s="246"/>
      <c r="AQ48" s="246"/>
      <c r="AR48" s="246"/>
      <c r="AS48" s="246"/>
      <c r="AT48" s="246"/>
      <c r="AU48" s="246"/>
      <c r="AV48" s="246"/>
      <c r="AW48" s="370">
        <f>SUM(AH48:AV48)</f>
        <v>208.55560337725498</v>
      </c>
      <c r="AX48" s="374"/>
      <c r="AY48" s="374"/>
      <c r="BA48" s="205" t="s">
        <v>533</v>
      </c>
      <c r="BB48" s="353"/>
      <c r="BC48" s="353"/>
      <c r="BD48" s="370">
        <f t="shared" si="0"/>
        <v>0</v>
      </c>
    </row>
    <row r="49" spans="27:61" x14ac:dyDescent="0.2">
      <c r="AA49" s="205"/>
      <c r="AG49" s="205" t="s">
        <v>534</v>
      </c>
      <c r="AH49" s="246"/>
      <c r="AI49" s="246"/>
      <c r="AJ49" s="246"/>
      <c r="AK49" s="246"/>
      <c r="AL49" s="246"/>
      <c r="AM49" s="246">
        <f>'Ore-&gt;PI'!AF176</f>
        <v>286.88405520213911</v>
      </c>
      <c r="AN49" s="246"/>
      <c r="AO49" s="246"/>
      <c r="AP49" s="246"/>
      <c r="AQ49" s="246"/>
      <c r="AR49" s="246"/>
      <c r="AS49" s="246"/>
      <c r="AT49" s="246"/>
      <c r="AU49" s="246"/>
      <c r="AV49" s="246"/>
      <c r="AW49" s="370">
        <f>SUM(AH49:AV49)</f>
        <v>286.88405520213911</v>
      </c>
      <c r="AX49" s="374"/>
      <c r="AY49" s="374"/>
      <c r="BA49" s="205" t="s">
        <v>534</v>
      </c>
      <c r="BB49" s="353"/>
      <c r="BC49" s="353"/>
      <c r="BD49" s="370">
        <f t="shared" si="0"/>
        <v>0</v>
      </c>
    </row>
    <row r="50" spans="27:61" x14ac:dyDescent="0.2">
      <c r="AA50" s="205"/>
      <c r="AG50" s="205" t="s">
        <v>526</v>
      </c>
      <c r="AH50" s="246"/>
      <c r="AI50" s="246"/>
      <c r="AJ50" s="246"/>
      <c r="AK50" s="246"/>
      <c r="AL50" s="246"/>
      <c r="AM50" s="246"/>
      <c r="AN50" s="246">
        <f>'Ore-&gt;PI'!AW42</f>
        <v>1011.7674660019052</v>
      </c>
      <c r="AO50" s="246"/>
      <c r="AP50" s="246"/>
      <c r="AQ50" s="246"/>
      <c r="AR50" s="246"/>
      <c r="AS50" s="246"/>
      <c r="AT50" s="246"/>
      <c r="AU50" s="246"/>
      <c r="AV50" s="246"/>
      <c r="AW50" s="370">
        <f>SUM(AH50:AV50)</f>
        <v>1011.7674660019052</v>
      </c>
      <c r="AX50" s="374"/>
      <c r="AY50" s="374"/>
      <c r="BA50" s="205" t="s">
        <v>526</v>
      </c>
      <c r="BB50" s="353"/>
      <c r="BC50" s="353"/>
      <c r="BD50" s="370">
        <f>SUM(BB50:BC50)</f>
        <v>0</v>
      </c>
    </row>
    <row r="51" spans="27:61" x14ac:dyDescent="0.2">
      <c r="AA51" s="362"/>
      <c r="AG51" s="205" t="s">
        <v>529</v>
      </c>
      <c r="AH51" s="246"/>
      <c r="AI51" s="246"/>
      <c r="AJ51" s="246"/>
      <c r="AK51" s="246"/>
      <c r="AL51" s="246"/>
      <c r="AM51" s="246"/>
      <c r="AN51" s="246"/>
      <c r="AO51" s="246">
        <f>'Ore-&gt;PI'!AX114</f>
        <v>208.55560337725498</v>
      </c>
      <c r="AP51" s="246"/>
      <c r="AQ51" s="246"/>
      <c r="AR51" s="246"/>
      <c r="AS51" s="246"/>
      <c r="AT51" s="246"/>
      <c r="AU51" s="246"/>
      <c r="AV51" s="246"/>
      <c r="AW51" s="370">
        <f>SUM(AH51:AV51)</f>
        <v>208.55560337725498</v>
      </c>
      <c r="AX51" s="374"/>
      <c r="AY51" s="374"/>
      <c r="BA51" s="205" t="s">
        <v>529</v>
      </c>
      <c r="BB51" s="353"/>
      <c r="BC51" s="353"/>
      <c r="BD51" s="370">
        <f>SUM(BB51:BC51)</f>
        <v>0</v>
      </c>
    </row>
    <row r="52" spans="27:61" ht="16" x14ac:dyDescent="0.2">
      <c r="AA52" s="206"/>
      <c r="AG52" s="205" t="s">
        <v>530</v>
      </c>
      <c r="AH52" s="246"/>
      <c r="AI52" s="246"/>
      <c r="AJ52" s="246"/>
      <c r="AK52" s="246"/>
      <c r="AL52" s="246"/>
      <c r="AM52" s="246"/>
      <c r="AN52" s="246"/>
      <c r="AO52" s="246"/>
      <c r="AP52" s="246">
        <f>'Ore-&gt;PI'!AX176</f>
        <v>286.88405520213911</v>
      </c>
      <c r="AQ52" s="246"/>
      <c r="AR52" s="246"/>
      <c r="AS52" s="246"/>
      <c r="AT52" s="246"/>
      <c r="AU52" s="246"/>
      <c r="AV52" s="246"/>
      <c r="AW52" s="370">
        <f>SUM(AH52:AV52)</f>
        <v>286.88405520213911</v>
      </c>
      <c r="AX52" s="374"/>
      <c r="AY52" s="374"/>
      <c r="BA52" s="205" t="s">
        <v>530</v>
      </c>
      <c r="BB52" s="353"/>
      <c r="BC52" s="353"/>
      <c r="BD52" s="370">
        <f>SUM(BB52:BC52)</f>
        <v>0</v>
      </c>
    </row>
    <row r="53" spans="27:61" x14ac:dyDescent="0.2">
      <c r="AA53" s="207"/>
      <c r="AG53" s="205" t="s">
        <v>531</v>
      </c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>
        <f>'Ore-&gt;PI'!BO42</f>
        <v>1000.0000000000001</v>
      </c>
      <c r="AV53" s="246"/>
      <c r="AW53" s="370">
        <f>SUM(AH53:AV53)</f>
        <v>1000.0000000000001</v>
      </c>
      <c r="AX53" s="374"/>
      <c r="AY53" s="374"/>
      <c r="BA53" s="205" t="s">
        <v>531</v>
      </c>
      <c r="BB53" s="353"/>
      <c r="BC53" s="364"/>
      <c r="BD53" s="370">
        <f>SUM(BB53:BC53)</f>
        <v>0</v>
      </c>
    </row>
    <row r="54" spans="27:61" x14ac:dyDescent="0.2">
      <c r="AA54" s="207"/>
      <c r="AG54" s="205" t="s">
        <v>493</v>
      </c>
      <c r="AH54" s="246"/>
      <c r="AI54" s="246"/>
      <c r="AJ54" s="246"/>
      <c r="AK54" s="246"/>
      <c r="AL54" s="246"/>
      <c r="AM54" s="246"/>
      <c r="AN54" s="246"/>
      <c r="AO54" s="246"/>
      <c r="AP54" s="246"/>
      <c r="AQ54" s="246"/>
      <c r="AR54" s="246"/>
      <c r="AS54" s="246"/>
      <c r="AT54" s="246"/>
      <c r="AU54" s="352"/>
      <c r="AV54" s="246"/>
      <c r="AW54" s="370">
        <f>SUM(AH54:AV54)</f>
        <v>0</v>
      </c>
      <c r="AX54" s="374"/>
      <c r="AY54" s="374"/>
      <c r="BA54" s="205" t="s">
        <v>493</v>
      </c>
      <c r="BB54" s="353"/>
      <c r="BC54" s="353">
        <f>Beneficiation_Iron_waste</f>
        <v>11.767466001905108</v>
      </c>
      <c r="BD54" s="370">
        <f>SUM(BB54:BC54)</f>
        <v>11.767466001905108</v>
      </c>
    </row>
    <row r="55" spans="27:61" x14ac:dyDescent="0.2">
      <c r="AA55" s="207"/>
      <c r="AG55" s="205" t="s">
        <v>532</v>
      </c>
      <c r="AH55" s="246"/>
      <c r="AI55" s="246"/>
      <c r="AJ55" s="246"/>
      <c r="AK55" s="246"/>
      <c r="AL55" s="246"/>
      <c r="AM55" s="246"/>
      <c r="AN55" s="246"/>
      <c r="AO55" s="246"/>
      <c r="AP55" s="246"/>
      <c r="AQ55" s="246"/>
      <c r="AR55" s="246"/>
      <c r="AS55" s="246">
        <f>'Ore-&gt;PI'!BP114</f>
        <v>208.55560337725498</v>
      </c>
      <c r="AT55" s="246"/>
      <c r="AU55" s="246"/>
      <c r="AV55" s="352"/>
      <c r="AW55" s="370">
        <f>SUM(AH55:AV55)</f>
        <v>208.55560337725498</v>
      </c>
      <c r="AX55" s="374"/>
      <c r="AY55" s="374"/>
      <c r="BA55" s="205" t="s">
        <v>532</v>
      </c>
      <c r="BB55" s="353"/>
      <c r="BC55" s="353"/>
      <c r="BD55" s="370">
        <f>SUM(BB55:BC55)</f>
        <v>0</v>
      </c>
    </row>
    <row r="56" spans="27:61" x14ac:dyDescent="0.2">
      <c r="AA56" s="207"/>
      <c r="AG56" s="205" t="s">
        <v>535</v>
      </c>
      <c r="AH56" s="246"/>
      <c r="AI56" s="246"/>
      <c r="AJ56" s="246"/>
      <c r="AK56" s="246"/>
      <c r="AL56" s="246"/>
      <c r="AM56" s="246"/>
      <c r="AN56" s="246"/>
      <c r="AO56" s="246"/>
      <c r="AP56" s="246"/>
      <c r="AQ56" s="246">
        <f>'Ore-&gt;PI'!BP176</f>
        <v>286.88405520213911</v>
      </c>
      <c r="AR56" s="246"/>
      <c r="AS56" s="246"/>
      <c r="AT56" s="246"/>
      <c r="AU56" s="246"/>
      <c r="AV56" s="246"/>
      <c r="AW56" s="370">
        <f>SUM(AH56:AV56)</f>
        <v>286.88405520213911</v>
      </c>
      <c r="AX56" s="374"/>
      <c r="AY56" s="374"/>
      <c r="BA56" s="205" t="s">
        <v>535</v>
      </c>
      <c r="BB56" s="353"/>
      <c r="BC56" s="353"/>
      <c r="BD56" s="370">
        <f>SUM(BB56:BC56)</f>
        <v>0</v>
      </c>
      <c r="BE56" s="25"/>
      <c r="BF56" s="25"/>
      <c r="BG56" s="25"/>
      <c r="BH56" s="25"/>
      <c r="BI56" s="25"/>
    </row>
    <row r="57" spans="27:61" x14ac:dyDescent="0.2">
      <c r="AA57" s="207"/>
      <c r="AG57" s="205" t="s">
        <v>470</v>
      </c>
      <c r="AH57" s="246"/>
      <c r="AI57" s="246"/>
      <c r="AJ57" s="246"/>
      <c r="AK57" s="246"/>
      <c r="AL57" s="246"/>
      <c r="AM57" s="246"/>
      <c r="AN57" s="246"/>
      <c r="AO57" s="246"/>
      <c r="AP57" s="246"/>
      <c r="AQ57" s="246"/>
      <c r="AR57" s="246"/>
      <c r="AS57" s="246"/>
      <c r="AT57" s="246"/>
      <c r="AU57" s="246">
        <f>'Ore-&gt;PI'!CH176</f>
        <v>198.80764502323905</v>
      </c>
      <c r="AV57" s="246"/>
      <c r="AW57" s="370">
        <f>SUM(AH57:AV57)</f>
        <v>198.80764502323905</v>
      </c>
      <c r="AX57" s="374"/>
      <c r="AY57" s="374"/>
      <c r="BA57" s="205" t="s">
        <v>470</v>
      </c>
      <c r="BB57" s="353"/>
      <c r="BC57" s="353"/>
      <c r="BD57" s="370">
        <f t="shared" ref="BD57:BD69" si="1">SUM(BB57:BC57)</f>
        <v>0</v>
      </c>
    </row>
    <row r="58" spans="27:61" x14ac:dyDescent="0.2">
      <c r="AA58" s="207"/>
      <c r="AG58" s="205" t="s">
        <v>492</v>
      </c>
      <c r="AH58" s="246"/>
      <c r="AI58" s="246"/>
      <c r="AJ58" s="246"/>
      <c r="AK58" s="246"/>
      <c r="AL58" s="246"/>
      <c r="AM58" s="246"/>
      <c r="AN58" s="246"/>
      <c r="AO58" s="246"/>
      <c r="AP58" s="246"/>
      <c r="AQ58" s="246"/>
      <c r="AR58" s="246">
        <f>'Ore-&gt;PI'!$CH$203</f>
        <v>69.582675758133661</v>
      </c>
      <c r="AS58" s="246"/>
      <c r="AT58" s="246"/>
      <c r="AU58" s="246"/>
      <c r="AV58" s="246"/>
      <c r="AW58" s="370">
        <f>SUM(AH58:AV58)</f>
        <v>69.582675758133661</v>
      </c>
      <c r="AX58" s="374"/>
      <c r="AY58" s="374"/>
      <c r="BA58" s="205" t="s">
        <v>492</v>
      </c>
      <c r="BB58" s="353"/>
      <c r="BC58" s="353"/>
      <c r="BD58" s="370">
        <f t="shared" si="1"/>
        <v>0</v>
      </c>
    </row>
    <row r="59" spans="27:61" x14ac:dyDescent="0.2">
      <c r="AA59" s="207"/>
      <c r="AG59" s="205" t="s">
        <v>540</v>
      </c>
      <c r="AH59" s="246"/>
      <c r="AI59" s="246"/>
      <c r="AJ59" s="246"/>
      <c r="AK59" s="246"/>
      <c r="AL59" s="246"/>
      <c r="AM59" s="246"/>
      <c r="AN59" s="246"/>
      <c r="AO59" s="246"/>
      <c r="AP59" s="246"/>
      <c r="AQ59" s="246"/>
      <c r="AR59" s="246"/>
      <c r="AS59" s="246"/>
      <c r="AT59" s="246"/>
      <c r="AU59" s="246"/>
      <c r="AV59" s="246"/>
      <c r="AW59" s="370">
        <f>SUM(AH59:AV59)</f>
        <v>0</v>
      </c>
      <c r="AX59" s="374"/>
      <c r="AY59" s="374"/>
      <c r="BA59" s="205" t="s">
        <v>540</v>
      </c>
      <c r="BB59" s="353"/>
      <c r="BC59" s="353">
        <f>'Ore-&gt;PI'!CH220</f>
        <v>276.97927088072356</v>
      </c>
      <c r="BD59" s="370">
        <f t="shared" si="1"/>
        <v>276.97927088072356</v>
      </c>
    </row>
    <row r="60" spans="27:61" ht="16" x14ac:dyDescent="0.2">
      <c r="AA60" s="372"/>
      <c r="AG60" s="205" t="s">
        <v>393</v>
      </c>
      <c r="AH60" s="246"/>
      <c r="AI60" s="246"/>
      <c r="AJ60" s="246"/>
      <c r="AK60" s="246"/>
      <c r="AL60" s="246"/>
      <c r="AM60" s="246"/>
      <c r="AN60" s="246"/>
      <c r="AO60" s="246"/>
      <c r="AP60" s="246"/>
      <c r="AQ60" s="246"/>
      <c r="AR60" s="246"/>
      <c r="AS60" s="246"/>
      <c r="AT60" s="246"/>
      <c r="AU60" s="246"/>
      <c r="AV60" s="246"/>
      <c r="AW60" s="370">
        <f>SUM(AH60:AV60)</f>
        <v>0</v>
      </c>
      <c r="AX60" s="374"/>
      <c r="AY60" s="374"/>
      <c r="BA60" s="205" t="s">
        <v>393</v>
      </c>
      <c r="BB60" s="353"/>
      <c r="BC60" s="353">
        <f>Beneficiation_CoalWaste</f>
        <v>18.493734420766422</v>
      </c>
      <c r="BD60" s="370">
        <f t="shared" si="1"/>
        <v>18.493734420766422</v>
      </c>
    </row>
    <row r="61" spans="27:61" x14ac:dyDescent="0.2">
      <c r="AA61" s="207"/>
      <c r="AG61" s="205" t="s">
        <v>499</v>
      </c>
      <c r="AH61" s="246"/>
      <c r="AI61" s="246"/>
      <c r="AJ61" s="246"/>
      <c r="AK61" s="246"/>
      <c r="AL61" s="246"/>
      <c r="AM61" s="246"/>
      <c r="AN61" s="246"/>
      <c r="AO61" s="246"/>
      <c r="AP61" s="246"/>
      <c r="AQ61" s="246">
        <f>'Ore-&gt;PI'!BP195</f>
        <v>10.437401363720047</v>
      </c>
      <c r="AR61" s="246"/>
      <c r="AS61" s="246"/>
      <c r="AT61" s="246"/>
      <c r="AU61" s="246"/>
      <c r="AV61" s="352">
        <f>'Ore-&gt;PI'!DX140</f>
        <v>48.707873030693563</v>
      </c>
      <c r="AW61" s="370">
        <f t="shared" ref="AW61:AW68" si="2">SUM(AH61:AV61)</f>
        <v>59.145274394413612</v>
      </c>
      <c r="AX61" s="25"/>
      <c r="AY61" s="25"/>
      <c r="BA61" s="205" t="s">
        <v>499</v>
      </c>
      <c r="BB61" s="353">
        <f>'Ore-&gt;PI'!EF203</f>
        <v>10.437401363720047</v>
      </c>
      <c r="BC61" s="353"/>
      <c r="BD61" s="370">
        <f t="shared" si="1"/>
        <v>10.437401363720047</v>
      </c>
    </row>
    <row r="62" spans="27:61" x14ac:dyDescent="0.2">
      <c r="AA62" s="207"/>
      <c r="AG62" s="205" t="s">
        <v>430</v>
      </c>
      <c r="AH62" s="246"/>
      <c r="AI62" s="246"/>
      <c r="AJ62" s="246"/>
      <c r="AK62" s="246"/>
      <c r="AL62" s="246"/>
      <c r="AM62" s="246"/>
      <c r="AN62" s="246"/>
      <c r="AO62" s="246"/>
      <c r="AP62" s="246"/>
      <c r="AQ62" s="246"/>
      <c r="AR62" s="246"/>
      <c r="AS62" s="246"/>
      <c r="AT62" s="246"/>
      <c r="AU62" s="246">
        <f>'Ore-&gt;PI'!CJ114</f>
        <v>111.00813284002646</v>
      </c>
      <c r="AV62" s="246"/>
      <c r="AW62" s="370">
        <f t="shared" si="2"/>
        <v>111.00813284002646</v>
      </c>
      <c r="BA62" s="205" t="s">
        <v>430</v>
      </c>
      <c r="BB62" s="353"/>
      <c r="BC62" s="353"/>
      <c r="BD62" s="370">
        <f t="shared" si="1"/>
        <v>0</v>
      </c>
    </row>
    <row r="63" spans="27:61" x14ac:dyDescent="0.2">
      <c r="AA63" s="207"/>
      <c r="AG63" s="205" t="s">
        <v>497</v>
      </c>
      <c r="AH63" s="246"/>
      <c r="AI63" s="246"/>
      <c r="AJ63" s="246"/>
      <c r="AK63" s="246"/>
      <c r="AL63" s="246"/>
      <c r="AM63" s="246"/>
      <c r="AN63" s="246"/>
      <c r="AO63" s="246"/>
      <c r="AP63" s="246"/>
      <c r="AQ63" s="246"/>
      <c r="AR63" s="246"/>
      <c r="AS63" s="246"/>
      <c r="AT63" s="246"/>
      <c r="AU63" s="246"/>
      <c r="AV63" s="246"/>
      <c r="AW63" s="370">
        <f t="shared" si="2"/>
        <v>0</v>
      </c>
      <c r="BA63" s="205" t="s">
        <v>497</v>
      </c>
      <c r="BB63" s="353"/>
      <c r="BC63" s="353">
        <f>Kiln_SolidWaste</f>
        <v>4.9847525450981189</v>
      </c>
      <c r="BD63" s="370">
        <f t="shared" si="1"/>
        <v>4.9847525450981189</v>
      </c>
    </row>
    <row r="64" spans="27:61" x14ac:dyDescent="0.2">
      <c r="AA64" s="207"/>
      <c r="AG64" s="205" t="s">
        <v>537</v>
      </c>
      <c r="AH64" s="246"/>
      <c r="AI64" s="246"/>
      <c r="AJ64" s="246"/>
      <c r="AK64" s="246"/>
      <c r="AL64" s="246"/>
      <c r="AM64" s="246"/>
      <c r="AN64" s="246"/>
      <c r="AO64" s="246"/>
      <c r="AP64" s="246"/>
      <c r="AQ64" s="246"/>
      <c r="AR64" s="246"/>
      <c r="AS64" s="246"/>
      <c r="AT64" s="246"/>
      <c r="AU64" s="246"/>
      <c r="AV64" s="246"/>
      <c r="AW64" s="370">
        <f t="shared" si="2"/>
        <v>0</v>
      </c>
      <c r="BA64" s="205" t="s">
        <v>537</v>
      </c>
      <c r="BB64" s="353"/>
      <c r="BC64" s="353">
        <f>'Ore-&gt;PI'!CJ126</f>
        <v>21178.628376204575</v>
      </c>
      <c r="BD64" s="370">
        <f t="shared" si="1"/>
        <v>21178.628376204575</v>
      </c>
    </row>
    <row r="65" spans="2:56" x14ac:dyDescent="0.2">
      <c r="AA65" s="207"/>
      <c r="AG65" s="205" t="s">
        <v>536</v>
      </c>
      <c r="AH65" s="246"/>
      <c r="AI65" s="246"/>
      <c r="AJ65" s="246"/>
      <c r="AK65" s="246"/>
      <c r="AL65" s="246"/>
      <c r="AM65" s="246"/>
      <c r="AN65" s="246"/>
      <c r="AO65" s="246"/>
      <c r="AP65" s="246"/>
      <c r="AQ65" s="246"/>
      <c r="AR65" s="246"/>
      <c r="AS65" s="246"/>
      <c r="AT65" s="246"/>
      <c r="AU65" s="246"/>
      <c r="AV65" s="352">
        <f>'Ore-&gt;PI'!DX114</f>
        <v>1309.8157778632656</v>
      </c>
      <c r="AW65" s="370">
        <f t="shared" si="2"/>
        <v>1309.8157778632656</v>
      </c>
      <c r="BA65" s="205" t="s">
        <v>536</v>
      </c>
      <c r="BB65" s="353"/>
      <c r="BC65" s="353"/>
      <c r="BD65" s="370">
        <f t="shared" si="1"/>
        <v>0</v>
      </c>
    </row>
    <row r="66" spans="2:56" x14ac:dyDescent="0.2">
      <c r="AA66" s="207"/>
      <c r="AG66" s="205" t="s">
        <v>439</v>
      </c>
      <c r="AH66" s="246"/>
      <c r="AI66" s="246"/>
      <c r="AJ66" s="246"/>
      <c r="AK66" s="246"/>
      <c r="AL66" s="246"/>
      <c r="AM66" s="246"/>
      <c r="AN66" s="246"/>
      <c r="AO66" s="246"/>
      <c r="AP66" s="246"/>
      <c r="AQ66" s="246"/>
      <c r="AR66" s="246"/>
      <c r="AS66" s="246"/>
      <c r="AT66" s="246"/>
      <c r="AU66" s="246"/>
      <c r="AV66" s="246"/>
      <c r="AW66" s="370">
        <f t="shared" si="2"/>
        <v>0</v>
      </c>
      <c r="BA66" s="205" t="s">
        <v>439</v>
      </c>
      <c r="BB66" s="353">
        <f>'Ore-&gt;PI'!EV114</f>
        <v>616.23583583508366</v>
      </c>
      <c r="BC66" s="353"/>
      <c r="BD66" s="370">
        <f t="shared" si="1"/>
        <v>616.23583583508366</v>
      </c>
    </row>
    <row r="67" spans="2:56" x14ac:dyDescent="0.2">
      <c r="AA67" s="207"/>
      <c r="AG67" s="205" t="s">
        <v>496</v>
      </c>
      <c r="AH67" s="246"/>
      <c r="AI67" s="246"/>
      <c r="AJ67" s="246"/>
      <c r="AK67" s="246"/>
      <c r="AL67" s="246"/>
      <c r="AM67" s="246"/>
      <c r="AN67" s="246"/>
      <c r="AO67" s="246"/>
      <c r="AP67" s="246"/>
      <c r="AQ67" s="246"/>
      <c r="AR67" s="246"/>
      <c r="AS67" s="246"/>
      <c r="AT67" s="246"/>
      <c r="AU67" s="246"/>
      <c r="AV67" s="246"/>
      <c r="AW67" s="370">
        <f t="shared" si="2"/>
        <v>0</v>
      </c>
      <c r="BA67" s="205" t="s">
        <v>496</v>
      </c>
      <c r="BB67" s="353"/>
      <c r="BC67" s="353">
        <f>'Ore-&gt;PI'!EV129</f>
        <v>2892.7495488626555</v>
      </c>
      <c r="BD67" s="370">
        <f t="shared" si="1"/>
        <v>2892.7495488626555</v>
      </c>
    </row>
    <row r="68" spans="2:56" x14ac:dyDescent="0.2">
      <c r="AA68" s="207"/>
      <c r="AG68" s="205" t="s">
        <v>495</v>
      </c>
      <c r="AH68" s="246"/>
      <c r="AI68" s="246"/>
      <c r="AJ68" s="246"/>
      <c r="AK68" s="246"/>
      <c r="AL68" s="246"/>
      <c r="AM68" s="246"/>
      <c r="AN68" s="246"/>
      <c r="AO68" s="246"/>
      <c r="AP68" s="246"/>
      <c r="AQ68" s="246"/>
      <c r="AR68" s="246"/>
      <c r="AS68" s="246"/>
      <c r="AT68" s="246"/>
      <c r="AU68" s="246"/>
      <c r="AV68" s="246"/>
      <c r="AW68" s="370">
        <f t="shared" si="2"/>
        <v>0</v>
      </c>
      <c r="BA68" s="205" t="s">
        <v>495</v>
      </c>
      <c r="BB68" s="353"/>
      <c r="BC68" s="353">
        <f>BF_SolidWaste</f>
        <v>229.94813284002646</v>
      </c>
      <c r="BD68" s="370">
        <f t="shared" si="1"/>
        <v>229.94813284002646</v>
      </c>
    </row>
    <row r="69" spans="2:56" x14ac:dyDescent="0.2">
      <c r="AA69" s="207"/>
      <c r="AG69" s="205" t="s">
        <v>543</v>
      </c>
      <c r="AH69" s="246"/>
      <c r="AI69" s="246"/>
      <c r="AJ69" s="246"/>
      <c r="AK69" s="246"/>
      <c r="AL69" s="246"/>
      <c r="AM69" s="246"/>
      <c r="AN69" s="246"/>
      <c r="AO69" s="246"/>
      <c r="AP69" s="246"/>
      <c r="AQ69" s="246"/>
      <c r="AR69" s="246"/>
      <c r="AS69" s="246"/>
      <c r="AT69" s="246"/>
      <c r="AU69" s="246"/>
      <c r="AV69" s="246"/>
      <c r="AW69" s="370"/>
      <c r="BA69" s="205"/>
      <c r="BB69" s="353"/>
      <c r="BC69" s="353"/>
      <c r="BD69" s="370">
        <f t="shared" si="1"/>
        <v>0</v>
      </c>
    </row>
    <row r="70" spans="2:56" x14ac:dyDescent="0.2">
      <c r="AA70" s="207"/>
      <c r="AH70" s="302" t="s">
        <v>434</v>
      </c>
      <c r="AI70" s="302"/>
      <c r="AJ70" s="302"/>
      <c r="AK70" s="302"/>
      <c r="AL70" s="302"/>
      <c r="AM70" s="302"/>
      <c r="AN70" s="302"/>
      <c r="AO70" s="302"/>
      <c r="AP70" s="302"/>
      <c r="AQ70" s="302"/>
      <c r="AR70" s="302"/>
      <c r="AS70" s="302"/>
      <c r="AT70" s="302"/>
      <c r="AU70" s="302"/>
      <c r="AV70" s="302"/>
      <c r="AW70" s="25" t="s">
        <v>510</v>
      </c>
      <c r="BB70" s="302" t="s">
        <v>437</v>
      </c>
      <c r="BC70" s="302"/>
      <c r="BD70" s="25" t="s">
        <v>528</v>
      </c>
    </row>
    <row r="71" spans="2:56" x14ac:dyDescent="0.2">
      <c r="AA71" s="207"/>
      <c r="AH71" s="371">
        <f>SUM(AH42:AH68)</f>
        <v>1011.7674660019052</v>
      </c>
      <c r="AI71" s="371">
        <f t="shared" ref="AI71:AR71" si="3">SUM(AI42:AI68)</f>
        <v>208.55560337725498</v>
      </c>
      <c r="AJ71" s="371">
        <f t="shared" si="3"/>
        <v>286.88405520213911</v>
      </c>
      <c r="AK71" s="371">
        <f t="shared" si="3"/>
        <v>1011.7674660019052</v>
      </c>
      <c r="AL71" s="371">
        <f t="shared" si="3"/>
        <v>208.55560337725498</v>
      </c>
      <c r="AM71" s="371">
        <f t="shared" si="3"/>
        <v>286.88405520213911</v>
      </c>
      <c r="AN71" s="371">
        <f t="shared" si="3"/>
        <v>1011.7674660019052</v>
      </c>
      <c r="AO71" s="371">
        <f t="shared" si="3"/>
        <v>208.55560337725498</v>
      </c>
      <c r="AP71" s="371">
        <f t="shared" si="3"/>
        <v>286.88405520213911</v>
      </c>
      <c r="AQ71" s="371">
        <f t="shared" si="3"/>
        <v>563.86332608286261</v>
      </c>
      <c r="AR71" s="371">
        <f t="shared" si="3"/>
        <v>69.582675758133661</v>
      </c>
      <c r="AS71" s="371">
        <f>SUM(AS42:AS68)</f>
        <v>21294.621261589698</v>
      </c>
      <c r="AT71" s="371">
        <f>SUM(AT42:AT68)</f>
        <v>0</v>
      </c>
      <c r="AU71" s="371">
        <f>SUM(AU42:AU68)</f>
        <v>1309.8157778632658</v>
      </c>
      <c r="AV71" s="371">
        <f>SUM(AV42:AV68)</f>
        <v>3738.9335175377655</v>
      </c>
      <c r="BB71" s="25"/>
      <c r="BC71" s="25"/>
    </row>
    <row r="72" spans="2:56" x14ac:dyDescent="0.2">
      <c r="AA72" s="207"/>
      <c r="AH72" s="302" t="s">
        <v>509</v>
      </c>
      <c r="AI72" s="302"/>
      <c r="AJ72" s="302"/>
      <c r="AK72" s="302"/>
      <c r="AL72" s="302"/>
      <c r="AM72" s="302"/>
      <c r="AN72" s="302"/>
      <c r="AO72" s="302"/>
      <c r="AP72" s="302"/>
      <c r="AQ72" s="302"/>
      <c r="AR72" s="302"/>
      <c r="AS72" s="302"/>
      <c r="AT72" s="302"/>
      <c r="AU72" s="302"/>
      <c r="AV72" s="302"/>
      <c r="BB72" s="25"/>
      <c r="BC72" s="25"/>
    </row>
    <row r="73" spans="2:56" x14ac:dyDescent="0.2">
      <c r="AA73" s="207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BB73" s="25"/>
      <c r="BC73" s="25"/>
    </row>
    <row r="74" spans="2:56" x14ac:dyDescent="0.2">
      <c r="AA74" s="207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BB74" s="25"/>
      <c r="BC74" s="25"/>
    </row>
    <row r="75" spans="2:56" x14ac:dyDescent="0.2">
      <c r="C75" s="303"/>
      <c r="D75" s="303"/>
      <c r="E75" s="249"/>
      <c r="F75" s="249"/>
      <c r="G75" s="249"/>
      <c r="H75" s="249"/>
      <c r="I75" s="249"/>
      <c r="J75" s="249"/>
      <c r="K75" s="249"/>
      <c r="L75" s="249"/>
      <c r="M75" s="249"/>
      <c r="N75" s="249"/>
      <c r="O75" s="249"/>
      <c r="P75" s="249"/>
      <c r="Q75" s="249"/>
      <c r="R75" s="249"/>
      <c r="S75" s="249"/>
      <c r="T75" s="249"/>
      <c r="U75" s="249"/>
      <c r="V75" s="249"/>
      <c r="W75" s="249"/>
      <c r="X75" s="249"/>
      <c r="Y75" s="249"/>
      <c r="Z75" s="249"/>
      <c r="AA75" s="207"/>
      <c r="AB75" s="249"/>
      <c r="AC75" s="249"/>
      <c r="AD75" s="249"/>
      <c r="AE75" s="249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BB75" s="25"/>
      <c r="BC75" s="25"/>
    </row>
    <row r="76" spans="2:56" ht="155" x14ac:dyDescent="0.2">
      <c r="B76" s="256" t="s">
        <v>477</v>
      </c>
      <c r="C76" s="208" t="s">
        <v>441</v>
      </c>
      <c r="D76" s="208" t="s">
        <v>443</v>
      </c>
      <c r="E76" s="208" t="s">
        <v>444</v>
      </c>
      <c r="F76" s="208" t="s">
        <v>466</v>
      </c>
      <c r="G76" s="383" t="s">
        <v>518</v>
      </c>
      <c r="H76" s="210" t="s">
        <v>525</v>
      </c>
      <c r="I76" s="210" t="s">
        <v>533</v>
      </c>
      <c r="J76" s="211" t="s">
        <v>534</v>
      </c>
      <c r="K76" s="210" t="s">
        <v>526</v>
      </c>
      <c r="L76" s="210" t="s">
        <v>529</v>
      </c>
      <c r="M76" s="210" t="s">
        <v>530</v>
      </c>
      <c r="N76" s="210" t="s">
        <v>531</v>
      </c>
      <c r="O76" s="211" t="s">
        <v>493</v>
      </c>
      <c r="P76" s="211" t="s">
        <v>532</v>
      </c>
      <c r="Q76" s="211" t="s">
        <v>535</v>
      </c>
      <c r="R76" s="211" t="s">
        <v>470</v>
      </c>
      <c r="S76" s="248" t="s">
        <v>492</v>
      </c>
      <c r="T76" s="248" t="s">
        <v>539</v>
      </c>
      <c r="U76" s="211" t="s">
        <v>393</v>
      </c>
      <c r="V76" s="211" t="s">
        <v>499</v>
      </c>
      <c r="W76" s="211" t="s">
        <v>430</v>
      </c>
      <c r="X76" s="211" t="s">
        <v>497</v>
      </c>
      <c r="Y76" s="211" t="s">
        <v>537</v>
      </c>
      <c r="Z76" s="211" t="s">
        <v>536</v>
      </c>
      <c r="AA76" s="211" t="s">
        <v>439</v>
      </c>
      <c r="AB76" s="211" t="s">
        <v>496</v>
      </c>
      <c r="AC76" s="211" t="s">
        <v>495</v>
      </c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BB76" s="25"/>
      <c r="BC76" s="25"/>
    </row>
    <row r="77" spans="2:56" x14ac:dyDescent="0.2">
      <c r="B77" s="205" t="s">
        <v>431</v>
      </c>
      <c r="C77" s="246"/>
      <c r="D77" s="246"/>
      <c r="E77" s="246"/>
      <c r="F77" s="246"/>
      <c r="G77" s="246"/>
      <c r="H77" s="246">
        <f>'Ore-&gt;PI'!M42</f>
        <v>1011.7674660019052</v>
      </c>
      <c r="I77" s="246"/>
      <c r="J77" s="246"/>
      <c r="K77" s="246"/>
      <c r="L77" s="246"/>
      <c r="M77" s="246"/>
      <c r="N77" s="246"/>
      <c r="O77" s="246"/>
      <c r="P77" s="246"/>
      <c r="Q77" s="246"/>
      <c r="R77" s="246"/>
      <c r="S77" s="246"/>
      <c r="T77" s="246"/>
      <c r="U77" s="246"/>
      <c r="V77" s="246"/>
      <c r="W77" s="246"/>
      <c r="X77" s="246"/>
      <c r="Y77" s="246"/>
      <c r="Z77" s="246"/>
      <c r="AA77" s="246"/>
      <c r="AB77" s="246"/>
      <c r="AC77" s="246"/>
      <c r="AD77" s="370">
        <f>SUM(C77:AC77)</f>
        <v>1011.7674660019052</v>
      </c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BB77" s="25"/>
      <c r="BC77" s="25"/>
    </row>
    <row r="78" spans="2:56" x14ac:dyDescent="0.2">
      <c r="B78" s="205" t="s">
        <v>432</v>
      </c>
      <c r="C78" s="246"/>
      <c r="D78" s="246"/>
      <c r="E78" s="246"/>
      <c r="F78" s="246"/>
      <c r="G78" s="246"/>
      <c r="H78" s="246"/>
      <c r="I78" s="246">
        <f>'Ore-&gt;PI'!$M$114</f>
        <v>208.55560337725498</v>
      </c>
      <c r="J78" s="246"/>
      <c r="K78" s="246"/>
      <c r="L78" s="246"/>
      <c r="M78" s="246"/>
      <c r="N78" s="246"/>
      <c r="O78" s="246"/>
      <c r="P78" s="246"/>
      <c r="Q78" s="246"/>
      <c r="R78" s="246"/>
      <c r="S78" s="246"/>
      <c r="T78" s="246"/>
      <c r="U78" s="246"/>
      <c r="V78" s="246"/>
      <c r="W78" s="246"/>
      <c r="X78" s="246"/>
      <c r="Y78" s="246"/>
      <c r="Z78" s="246"/>
      <c r="AA78" s="246"/>
      <c r="AB78" s="246"/>
      <c r="AC78" s="246"/>
      <c r="AD78" s="370">
        <f>SUM(C78:AC78)</f>
        <v>208.55560337725498</v>
      </c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BB78" s="25"/>
      <c r="BC78" s="25"/>
    </row>
    <row r="79" spans="2:56" x14ac:dyDescent="0.2">
      <c r="B79" s="205" t="s">
        <v>433</v>
      </c>
      <c r="C79" s="246"/>
      <c r="D79" s="246"/>
      <c r="E79" s="246"/>
      <c r="F79" s="246"/>
      <c r="G79" s="246"/>
      <c r="H79" s="246"/>
      <c r="I79" s="246"/>
      <c r="J79" s="246">
        <f>'Ore-&gt;PI'!$M$176</f>
        <v>286.88405520213911</v>
      </c>
      <c r="K79" s="246"/>
      <c r="L79" s="246"/>
      <c r="M79" s="246"/>
      <c r="N79" s="246"/>
      <c r="O79" s="246"/>
      <c r="P79" s="246"/>
      <c r="Q79" s="246"/>
      <c r="R79" s="246"/>
      <c r="S79" s="246"/>
      <c r="T79" s="246"/>
      <c r="U79" s="246"/>
      <c r="V79" s="246"/>
      <c r="W79" s="246"/>
      <c r="X79" s="246"/>
      <c r="Y79" s="246"/>
      <c r="Z79" s="246"/>
      <c r="AA79" s="246"/>
      <c r="AB79" s="246"/>
      <c r="AC79" s="246"/>
      <c r="AD79" s="370">
        <f>SUM(C79:AC79)</f>
        <v>286.88405520213911</v>
      </c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BB79" s="25"/>
      <c r="BC79" s="25"/>
    </row>
    <row r="80" spans="2:56" x14ac:dyDescent="0.2">
      <c r="B80" s="205" t="s">
        <v>467</v>
      </c>
      <c r="C80" s="246"/>
      <c r="D80" s="246"/>
      <c r="E80" s="246"/>
      <c r="F80" s="246"/>
      <c r="G80" s="246"/>
      <c r="H80" s="246"/>
      <c r="I80" s="246"/>
      <c r="J80" s="246"/>
      <c r="K80" s="246">
        <f>'Ore-&gt;PI'!$AW$42</f>
        <v>1011.7674660019052</v>
      </c>
      <c r="L80" s="246"/>
      <c r="M80" s="246"/>
      <c r="N80" s="246"/>
      <c r="O80" s="246"/>
      <c r="P80" s="246"/>
      <c r="Q80" s="246"/>
      <c r="R80" s="246"/>
      <c r="S80" s="246"/>
      <c r="T80" s="246"/>
      <c r="U80" s="246"/>
      <c r="V80" s="246"/>
      <c r="W80" s="246"/>
      <c r="X80" s="246"/>
      <c r="Y80" s="246"/>
      <c r="Z80" s="246"/>
      <c r="AA80" s="246"/>
      <c r="AB80" s="246"/>
      <c r="AC80" s="246"/>
      <c r="AD80" s="370">
        <f>SUM(C80:AC80)</f>
        <v>1011.7674660019052</v>
      </c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BB80" s="25"/>
      <c r="BC80" s="25"/>
    </row>
    <row r="81" spans="2:55" x14ac:dyDescent="0.2">
      <c r="B81" s="205" t="s">
        <v>468</v>
      </c>
      <c r="C81" s="246"/>
      <c r="D81" s="246"/>
      <c r="E81" s="246"/>
      <c r="F81" s="246"/>
      <c r="G81" s="246"/>
      <c r="H81" s="246"/>
      <c r="I81" s="246"/>
      <c r="J81" s="246"/>
      <c r="K81" s="246"/>
      <c r="L81" s="246">
        <f>'Ore-&gt;PI'!AX114</f>
        <v>208.55560337725498</v>
      </c>
      <c r="M81" s="246"/>
      <c r="N81" s="246"/>
      <c r="O81" s="246"/>
      <c r="P81" s="246"/>
      <c r="Q81" s="246"/>
      <c r="R81" s="246"/>
      <c r="S81" s="246"/>
      <c r="T81" s="246"/>
      <c r="U81" s="246"/>
      <c r="V81" s="246"/>
      <c r="W81" s="246"/>
      <c r="X81" s="246"/>
      <c r="Y81" s="246"/>
      <c r="Z81" s="246"/>
      <c r="AA81" s="246"/>
      <c r="AB81" s="246"/>
      <c r="AC81" s="246"/>
      <c r="AD81" s="370">
        <f>SUM(C81:AC81)</f>
        <v>208.55560337725498</v>
      </c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BB81" s="25"/>
      <c r="BC81" s="25"/>
    </row>
    <row r="82" spans="2:55" x14ac:dyDescent="0.2">
      <c r="B82" s="205" t="s">
        <v>469</v>
      </c>
      <c r="C82" s="246"/>
      <c r="D82" s="246"/>
      <c r="E82" s="246"/>
      <c r="F82" s="246"/>
      <c r="G82" s="246"/>
      <c r="H82" s="246"/>
      <c r="I82" s="246"/>
      <c r="J82" s="246"/>
      <c r="K82" s="246"/>
      <c r="L82" s="246"/>
      <c r="M82" s="246">
        <f>'Ore-&gt;PI'!$AX$176</f>
        <v>286.88405520213911</v>
      </c>
      <c r="N82" s="246"/>
      <c r="O82" s="246"/>
      <c r="P82" s="246"/>
      <c r="Q82" s="246"/>
      <c r="R82" s="246"/>
      <c r="S82" s="246"/>
      <c r="T82" s="246"/>
      <c r="U82" s="246"/>
      <c r="V82" s="246"/>
      <c r="W82" s="246"/>
      <c r="X82" s="246"/>
      <c r="Y82" s="246"/>
      <c r="Z82" s="246"/>
      <c r="AA82" s="246"/>
      <c r="AB82" s="246"/>
      <c r="AC82" s="246"/>
      <c r="AD82" s="370">
        <f>SUM(C82:AC82)</f>
        <v>286.88405520213911</v>
      </c>
    </row>
    <row r="83" spans="2:55" x14ac:dyDescent="0.2">
      <c r="B83" s="205" t="s">
        <v>462</v>
      </c>
      <c r="C83" s="246"/>
      <c r="D83" s="246"/>
      <c r="E83" s="246"/>
      <c r="F83" s="246"/>
      <c r="G83" s="246"/>
      <c r="H83" s="246"/>
      <c r="I83" s="246"/>
      <c r="J83" s="246"/>
      <c r="K83" s="246"/>
      <c r="L83" s="246"/>
      <c r="M83" s="246"/>
      <c r="N83" s="246">
        <f>'Ore-&gt;PI'!$BO$42</f>
        <v>1000.0000000000001</v>
      </c>
      <c r="O83" s="246">
        <f>Beneficiation_Iron_waste</f>
        <v>11.767466001905108</v>
      </c>
      <c r="P83" s="246"/>
      <c r="Q83" s="246"/>
      <c r="R83" s="246"/>
      <c r="S83" s="246"/>
      <c r="T83" s="246"/>
      <c r="U83" s="246"/>
      <c r="V83" s="246"/>
      <c r="W83" s="246"/>
      <c r="X83" s="246"/>
      <c r="Y83" s="246"/>
      <c r="Z83" s="246"/>
      <c r="AA83" s="246"/>
      <c r="AB83" s="246"/>
      <c r="AC83" s="246"/>
      <c r="AD83" s="370">
        <f>SUM(C83:AC83)</f>
        <v>1011.7674660019052</v>
      </c>
    </row>
    <row r="84" spans="2:55" x14ac:dyDescent="0.2">
      <c r="B84" s="205" t="s">
        <v>459</v>
      </c>
      <c r="C84" s="246"/>
      <c r="D84" s="246"/>
      <c r="E84" s="246"/>
      <c r="F84" s="246"/>
      <c r="G84" s="246"/>
      <c r="H84" s="246"/>
      <c r="I84" s="246"/>
      <c r="J84" s="246"/>
      <c r="K84" s="246"/>
      <c r="L84" s="246"/>
      <c r="M84" s="246"/>
      <c r="N84" s="246"/>
      <c r="O84" s="246"/>
      <c r="P84" s="246">
        <f>'Ore-&gt;PI'!BP114</f>
        <v>208.55560337725498</v>
      </c>
      <c r="Q84" s="246"/>
      <c r="R84" s="246"/>
      <c r="S84" s="246"/>
      <c r="T84" s="246"/>
      <c r="U84" s="246"/>
      <c r="V84" s="246"/>
      <c r="W84" s="246"/>
      <c r="X84" s="246"/>
      <c r="Y84" s="246"/>
      <c r="Z84" s="246"/>
      <c r="AA84" s="246"/>
      <c r="AB84" s="246"/>
      <c r="AC84" s="246"/>
      <c r="AD84" s="370">
        <f>SUM(C84:AC84)</f>
        <v>208.55560337725498</v>
      </c>
    </row>
    <row r="85" spans="2:55" x14ac:dyDescent="0.2">
      <c r="B85" s="205" t="s">
        <v>489</v>
      </c>
      <c r="C85" s="246"/>
      <c r="D85" s="246"/>
      <c r="E85" s="246"/>
      <c r="F85" s="246"/>
      <c r="G85" s="246"/>
      <c r="H85" s="246"/>
      <c r="I85" s="246"/>
      <c r="J85" s="246"/>
      <c r="K85" s="246"/>
      <c r="L85" s="246"/>
      <c r="M85" s="246"/>
      <c r="N85" s="246"/>
      <c r="O85" s="246"/>
      <c r="P85" s="246"/>
      <c r="Q85" s="246">
        <f>'Ore-&gt;PI'!BP176</f>
        <v>286.88405520213911</v>
      </c>
      <c r="R85" s="246"/>
      <c r="S85" s="246"/>
      <c r="T85" s="246"/>
      <c r="U85" s="246"/>
      <c r="V85" s="246"/>
      <c r="W85" s="246"/>
      <c r="X85" s="246"/>
      <c r="Y85" s="246"/>
      <c r="Z85" s="246"/>
      <c r="AA85" s="246"/>
      <c r="AB85" s="246"/>
      <c r="AC85" s="246"/>
      <c r="AD85" s="370">
        <f>SUM(C85:AC85)</f>
        <v>286.88405520213911</v>
      </c>
    </row>
    <row r="86" spans="2:55" x14ac:dyDescent="0.2">
      <c r="B86" s="205" t="s">
        <v>455</v>
      </c>
      <c r="C86" s="246"/>
      <c r="D86" s="246"/>
      <c r="E86" s="246"/>
      <c r="F86" s="246"/>
      <c r="G86" s="246"/>
      <c r="H86" s="246"/>
      <c r="I86" s="246"/>
      <c r="J86" s="246"/>
      <c r="K86" s="246"/>
      <c r="L86" s="246"/>
      <c r="M86" s="246"/>
      <c r="N86" s="246"/>
      <c r="O86" s="246"/>
      <c r="P86" s="246"/>
      <c r="Q86" s="246"/>
      <c r="R86" s="246">
        <f>'Ore-&gt;PI'!CH176</f>
        <v>198.80764502323905</v>
      </c>
      <c r="S86" s="246">
        <f>'Ore-&gt;PI'!CH203</f>
        <v>69.582675758133661</v>
      </c>
      <c r="T86" s="246">
        <f>'Ore-&gt;PI'!CH220</f>
        <v>276.97927088072356</v>
      </c>
      <c r="U86" s="246">
        <f>Beneficiation_CoalWaste</f>
        <v>18.493734420766422</v>
      </c>
      <c r="V86" s="246"/>
      <c r="W86" s="246"/>
      <c r="X86" s="246"/>
      <c r="Y86" s="246"/>
      <c r="Z86" s="246"/>
      <c r="AA86" s="246"/>
      <c r="AB86" s="246"/>
      <c r="AC86" s="246"/>
      <c r="AD86" s="370">
        <f>SUM(C86:AC86)</f>
        <v>563.86332608286261</v>
      </c>
    </row>
    <row r="87" spans="2:55" x14ac:dyDescent="0.2">
      <c r="B87" s="205" t="s">
        <v>494</v>
      </c>
      <c r="C87" s="246"/>
      <c r="D87" s="246"/>
      <c r="E87" s="246"/>
      <c r="F87" s="246"/>
      <c r="G87" s="246"/>
      <c r="H87" s="246"/>
      <c r="I87" s="246"/>
      <c r="J87" s="246"/>
      <c r="K87" s="246"/>
      <c r="L87" s="246"/>
      <c r="M87" s="246"/>
      <c r="N87" s="246"/>
      <c r="O87" s="246"/>
      <c r="P87" s="246"/>
      <c r="Q87" s="246"/>
      <c r="R87" s="246"/>
      <c r="S87" s="246"/>
      <c r="T87" s="246"/>
      <c r="U87" s="246"/>
      <c r="V87" s="246">
        <f>'Ore-&gt;PI'!$DA$203</f>
        <v>69.582675758133661</v>
      </c>
      <c r="W87" s="246"/>
      <c r="X87" s="246"/>
      <c r="Y87" s="246"/>
      <c r="Z87" s="246"/>
      <c r="AA87" s="246"/>
      <c r="AB87" s="246"/>
      <c r="AC87" s="246"/>
      <c r="AD87" s="370">
        <f>SUM(C87:AC87)</f>
        <v>69.582675758133661</v>
      </c>
    </row>
    <row r="88" spans="2:55" x14ac:dyDescent="0.2">
      <c r="B88" s="205" t="s">
        <v>460</v>
      </c>
      <c r="C88" s="246"/>
      <c r="D88" s="246"/>
      <c r="E88" s="246"/>
      <c r="F88" s="246"/>
      <c r="G88" s="246"/>
      <c r="H88" s="246"/>
      <c r="I88" s="246"/>
      <c r="J88" s="246"/>
      <c r="K88" s="246"/>
      <c r="L88" s="246"/>
      <c r="M88" s="246"/>
      <c r="N88" s="246"/>
      <c r="O88" s="246"/>
      <c r="P88" s="246"/>
      <c r="Q88" s="246"/>
      <c r="R88" s="246"/>
      <c r="S88" s="246"/>
      <c r="T88" s="246"/>
      <c r="U88" s="246"/>
      <c r="V88" s="246"/>
      <c r="W88" s="246">
        <f>'Ore-&gt;PI'!CJ114</f>
        <v>111.00813284002646</v>
      </c>
      <c r="X88" s="246">
        <f>Kiln_SolidWaste</f>
        <v>4.9847525450981189</v>
      </c>
      <c r="Y88" s="246">
        <f>'Ore-&gt;PI'!CJ126</f>
        <v>21178.628376204575</v>
      </c>
      <c r="Z88" s="246"/>
      <c r="AA88" s="246"/>
      <c r="AB88" s="246"/>
      <c r="AC88" s="246"/>
      <c r="AD88" s="370">
        <f>SUM(C88:AC88)</f>
        <v>21294.621261589698</v>
      </c>
    </row>
    <row r="89" spans="2:55" x14ac:dyDescent="0.2">
      <c r="B89" s="205" t="s">
        <v>84</v>
      </c>
      <c r="C89" s="246"/>
      <c r="D89" s="246"/>
      <c r="E89" s="246"/>
      <c r="F89" s="246"/>
      <c r="G89" s="246"/>
      <c r="H89" s="246"/>
      <c r="I89" s="246"/>
      <c r="J89" s="246"/>
      <c r="K89" s="246"/>
      <c r="L89" s="246"/>
      <c r="M89" s="246"/>
      <c r="N89" s="246"/>
      <c r="O89" s="246"/>
      <c r="P89" s="246"/>
      <c r="Q89" s="246"/>
      <c r="R89" s="246"/>
      <c r="S89" s="246"/>
      <c r="T89" s="246"/>
      <c r="U89" s="246"/>
      <c r="V89" s="246"/>
      <c r="W89" s="246"/>
      <c r="X89" s="246"/>
      <c r="Y89" s="246"/>
      <c r="Z89" s="352">
        <f>'Ore-&gt;PI'!DX114</f>
        <v>1309.8157778632656</v>
      </c>
      <c r="AA89" s="246"/>
      <c r="AB89" s="246"/>
      <c r="AC89" s="246"/>
      <c r="AD89" s="370">
        <f>SUM(C89:AC89)</f>
        <v>1309.8157778632656</v>
      </c>
    </row>
    <row r="90" spans="2:55" x14ac:dyDescent="0.2">
      <c r="B90" s="205" t="s">
        <v>445</v>
      </c>
      <c r="C90" s="246"/>
      <c r="D90" s="246"/>
      <c r="E90" s="246"/>
      <c r="F90" s="352"/>
      <c r="G90" s="246"/>
      <c r="H90" s="246"/>
      <c r="I90" s="246"/>
      <c r="J90" s="246"/>
      <c r="K90" s="246"/>
      <c r="L90" s="246"/>
      <c r="M90" s="246"/>
      <c r="N90" s="246"/>
      <c r="O90" s="246"/>
      <c r="P90" s="246"/>
      <c r="Q90" s="246"/>
      <c r="R90" s="246"/>
      <c r="S90" s="246"/>
      <c r="T90" s="246"/>
      <c r="U90" s="246"/>
      <c r="V90" s="363"/>
      <c r="W90" s="246"/>
      <c r="X90" s="246"/>
      <c r="Y90" s="246"/>
      <c r="Z90" s="246"/>
      <c r="AA90" s="246">
        <f>'Ore-&gt;PI'!$EV$114</f>
        <v>616.23583583508366</v>
      </c>
      <c r="AB90" s="246">
        <f>'Ore-&gt;PI'!$EV$129</f>
        <v>2892.7495488626555</v>
      </c>
      <c r="AC90" s="246">
        <f>BF_SolidWaste</f>
        <v>229.94813284002646</v>
      </c>
      <c r="AD90" s="370">
        <f>SUM(C90:AC90)</f>
        <v>3738.933517537766</v>
      </c>
    </row>
    <row r="91" spans="2:55" x14ac:dyDescent="0.2">
      <c r="B91" s="205"/>
      <c r="C91" s="302" t="s">
        <v>435</v>
      </c>
      <c r="D91" s="302"/>
      <c r="E91" s="302"/>
      <c r="F91" s="302"/>
      <c r="G91" s="302"/>
      <c r="H91" s="302"/>
      <c r="I91" s="302"/>
      <c r="J91" s="302"/>
      <c r="K91" s="302"/>
      <c r="L91" s="302"/>
      <c r="M91" s="302"/>
      <c r="N91" s="302"/>
      <c r="O91" s="302"/>
      <c r="P91" s="302"/>
      <c r="Q91" s="302"/>
      <c r="R91" s="302"/>
      <c r="S91" s="302"/>
      <c r="T91" s="302"/>
      <c r="U91" s="302"/>
      <c r="V91" s="302"/>
      <c r="W91" s="302"/>
      <c r="X91" s="302"/>
      <c r="Y91" s="302"/>
      <c r="Z91" s="302"/>
      <c r="AA91" s="302"/>
      <c r="AB91" s="302"/>
      <c r="AC91" s="302"/>
      <c r="AD91" s="25" t="s">
        <v>506</v>
      </c>
    </row>
    <row r="92" spans="2:55" x14ac:dyDescent="0.2">
      <c r="B92" s="205"/>
      <c r="C92" s="370">
        <f>SUM(C77:C90)</f>
        <v>0</v>
      </c>
      <c r="D92" s="370">
        <f>SUM(D77:D90)</f>
        <v>0</v>
      </c>
      <c r="E92" s="370">
        <f>SUM(E77:E90)</f>
        <v>0</v>
      </c>
      <c r="F92" s="370">
        <f>SUM(F77:F90)</f>
        <v>0</v>
      </c>
      <c r="G92" s="370">
        <f>SUM(G77:G90)</f>
        <v>0</v>
      </c>
      <c r="H92" s="370">
        <f>SUM(H77:H90)</f>
        <v>1011.7674660019052</v>
      </c>
      <c r="I92" s="370">
        <f>SUM(I77:I90)</f>
        <v>208.55560337725498</v>
      </c>
      <c r="J92" s="370">
        <f>SUM(J77:J90)</f>
        <v>286.88405520213911</v>
      </c>
      <c r="K92" s="370">
        <f>SUM(K77:K90)</f>
        <v>1011.7674660019052</v>
      </c>
      <c r="L92" s="370">
        <f>SUM(L77:L90)</f>
        <v>208.55560337725498</v>
      </c>
      <c r="M92" s="370">
        <f>SUM(M77:M90)</f>
        <v>286.88405520213911</v>
      </c>
      <c r="N92" s="370">
        <f>SUM(N77:N90)</f>
        <v>1000.0000000000001</v>
      </c>
      <c r="O92" s="370">
        <f>SUM(O77:O90)</f>
        <v>11.767466001905108</v>
      </c>
      <c r="P92" s="370">
        <f>SUM(P77:P90)</f>
        <v>208.55560337725498</v>
      </c>
      <c r="Q92" s="370">
        <f>SUM(Q77:Q90)</f>
        <v>286.88405520213911</v>
      </c>
      <c r="R92" s="370">
        <f>SUM(R77:R90)</f>
        <v>198.80764502323905</v>
      </c>
      <c r="S92" s="370">
        <f>SUM(S77:S90)</f>
        <v>69.582675758133661</v>
      </c>
      <c r="T92" s="370">
        <f>SUM(T77:T90)</f>
        <v>276.97927088072356</v>
      </c>
      <c r="U92" s="370">
        <f>SUM(U77:U90)</f>
        <v>18.493734420766422</v>
      </c>
      <c r="V92" s="370">
        <f>SUM(V77:V90)</f>
        <v>69.582675758133661</v>
      </c>
      <c r="W92" s="370">
        <f>SUM(W77:W90)</f>
        <v>111.00813284002646</v>
      </c>
      <c r="X92" s="370">
        <f>SUM(X77:X90)</f>
        <v>4.9847525450981189</v>
      </c>
      <c r="Y92" s="370">
        <f>SUM(Y77:Y90)</f>
        <v>21178.628376204575</v>
      </c>
      <c r="Z92" s="370">
        <f>SUM(Z77:Z90)</f>
        <v>1309.8157778632656</v>
      </c>
      <c r="AA92" s="370">
        <f>SUM(AA77:AA90)</f>
        <v>616.23583583508366</v>
      </c>
      <c r="AB92" s="370">
        <f>SUM(AB77:AB90)</f>
        <v>2892.7495488626555</v>
      </c>
      <c r="AC92" s="370">
        <f>SUM(AC77:AC90)</f>
        <v>229.94813284002646</v>
      </c>
    </row>
    <row r="93" spans="2:55" x14ac:dyDescent="0.2">
      <c r="B93" s="205"/>
      <c r="C93" s="302" t="s">
        <v>507</v>
      </c>
      <c r="D93" s="302"/>
      <c r="E93" s="302"/>
      <c r="F93" s="302"/>
      <c r="G93" s="302"/>
      <c r="H93" s="302"/>
      <c r="I93" s="302"/>
      <c r="J93" s="302"/>
      <c r="K93" s="302"/>
      <c r="L93" s="302"/>
      <c r="M93" s="302"/>
      <c r="N93" s="302"/>
      <c r="O93" s="302"/>
      <c r="P93" s="302"/>
      <c r="Q93" s="302"/>
      <c r="R93" s="302"/>
      <c r="S93" s="302"/>
      <c r="T93" s="302"/>
      <c r="U93" s="302"/>
      <c r="V93" s="302"/>
      <c r="W93" s="302"/>
      <c r="X93" s="302"/>
      <c r="Y93" s="302"/>
      <c r="Z93" s="302"/>
      <c r="AA93" s="302"/>
      <c r="AB93" s="302"/>
      <c r="AC93" s="302"/>
    </row>
    <row r="94" spans="2:55" x14ac:dyDescent="0.2">
      <c r="B94" s="205"/>
    </row>
    <row r="95" spans="2:55" x14ac:dyDescent="0.2">
      <c r="B95" s="205"/>
    </row>
    <row r="96" spans="2:55" x14ac:dyDescent="0.2">
      <c r="B96" s="205"/>
    </row>
    <row r="97" spans="2:29" x14ac:dyDescent="0.2">
      <c r="B97" s="205"/>
    </row>
    <row r="98" spans="2:29" x14ac:dyDescent="0.2">
      <c r="B98" s="205"/>
    </row>
    <row r="99" spans="2:29" x14ac:dyDescent="0.2">
      <c r="B99" s="205"/>
    </row>
    <row r="100" spans="2:29" x14ac:dyDescent="0.2">
      <c r="B100" s="205"/>
    </row>
    <row r="101" spans="2:29" x14ac:dyDescent="0.2">
      <c r="B101" s="205"/>
    </row>
    <row r="102" spans="2:29" x14ac:dyDescent="0.2">
      <c r="B102" s="205"/>
    </row>
    <row r="103" spans="2:29" x14ac:dyDescent="0.2">
      <c r="B103" s="205"/>
    </row>
    <row r="104" spans="2:29" ht="155" x14ac:dyDescent="0.2">
      <c r="B104" s="205"/>
      <c r="C104" s="208" t="s">
        <v>441</v>
      </c>
      <c r="D104" s="208" t="s">
        <v>443</v>
      </c>
      <c r="E104" s="208" t="s">
        <v>444</v>
      </c>
      <c r="F104" s="208" t="s">
        <v>466</v>
      </c>
      <c r="G104" s="383" t="s">
        <v>518</v>
      </c>
      <c r="H104" s="210" t="s">
        <v>525</v>
      </c>
      <c r="I104" s="210" t="s">
        <v>533</v>
      </c>
      <c r="J104" s="211" t="s">
        <v>534</v>
      </c>
      <c r="K104" s="210" t="s">
        <v>526</v>
      </c>
      <c r="L104" s="210" t="s">
        <v>529</v>
      </c>
      <c r="M104" s="210" t="s">
        <v>530</v>
      </c>
      <c r="N104" s="210" t="s">
        <v>531</v>
      </c>
      <c r="O104" s="211" t="s">
        <v>493</v>
      </c>
      <c r="P104" s="211" t="s">
        <v>532</v>
      </c>
      <c r="Q104" s="211" t="s">
        <v>535</v>
      </c>
      <c r="R104" s="211" t="s">
        <v>470</v>
      </c>
      <c r="S104" s="248" t="s">
        <v>492</v>
      </c>
      <c r="T104" s="248" t="s">
        <v>539</v>
      </c>
      <c r="U104" s="211" t="s">
        <v>393</v>
      </c>
      <c r="V104" s="211" t="s">
        <v>499</v>
      </c>
      <c r="W104" s="211" t="s">
        <v>430</v>
      </c>
      <c r="X104" s="211" t="s">
        <v>497</v>
      </c>
      <c r="Y104" s="211" t="s">
        <v>537</v>
      </c>
      <c r="Z104" s="211" t="s">
        <v>536</v>
      </c>
      <c r="AA104" s="211" t="s">
        <v>439</v>
      </c>
      <c r="AB104" s="211" t="s">
        <v>496</v>
      </c>
      <c r="AC104" s="211" t="s">
        <v>495</v>
      </c>
    </row>
    <row r="105" spans="2:29" x14ac:dyDescent="0.2">
      <c r="B105" s="205" t="s">
        <v>440</v>
      </c>
      <c r="C105" s="353">
        <f>'Ore-&gt;PI'!M42</f>
        <v>1011.7674660019052</v>
      </c>
      <c r="D105" s="353"/>
      <c r="E105" s="353"/>
      <c r="F105" s="353"/>
      <c r="G105" s="353"/>
      <c r="H105" s="353"/>
      <c r="I105" s="353"/>
      <c r="J105" s="353"/>
      <c r="K105" s="353"/>
      <c r="L105" s="353"/>
      <c r="M105" s="353"/>
      <c r="N105" s="353"/>
      <c r="O105" s="353"/>
      <c r="P105" s="353"/>
      <c r="Q105" s="353"/>
      <c r="R105" s="353"/>
      <c r="S105" s="353"/>
      <c r="T105" s="353"/>
      <c r="U105" s="353"/>
      <c r="V105" s="353"/>
      <c r="W105" s="353"/>
      <c r="X105" s="353"/>
      <c r="Y105" s="353"/>
      <c r="Z105" s="353"/>
      <c r="AA105" s="353"/>
      <c r="AB105" s="353"/>
      <c r="AC105" s="353"/>
    </row>
    <row r="106" spans="2:29" ht="16" x14ac:dyDescent="0.2">
      <c r="B106" s="206" t="s">
        <v>442</v>
      </c>
      <c r="C106" s="353"/>
      <c r="D106" s="353">
        <f>'Ore-&gt;PI'!M114</f>
        <v>208.55560337725498</v>
      </c>
      <c r="E106" s="353"/>
      <c r="F106" s="353"/>
      <c r="G106" s="353"/>
      <c r="H106" s="353"/>
      <c r="I106" s="353"/>
      <c r="J106" s="353"/>
      <c r="K106" s="353"/>
      <c r="L106" s="353"/>
      <c r="M106" s="353"/>
      <c r="N106" s="353"/>
      <c r="O106" s="353"/>
      <c r="P106" s="353"/>
      <c r="Q106" s="353"/>
      <c r="R106" s="353"/>
      <c r="S106" s="353"/>
      <c r="T106" s="353"/>
      <c r="U106" s="353"/>
      <c r="V106" s="353"/>
      <c r="W106" s="353"/>
      <c r="X106" s="353"/>
      <c r="Y106" s="353"/>
      <c r="Z106" s="353"/>
      <c r="AA106" s="353"/>
      <c r="AB106" s="353"/>
      <c r="AC106" s="353"/>
    </row>
    <row r="107" spans="2:29" x14ac:dyDescent="0.2">
      <c r="B107" s="207" t="s">
        <v>471</v>
      </c>
      <c r="C107" s="353"/>
      <c r="D107" s="353"/>
      <c r="E107" s="353">
        <f>'Ore-&gt;PI'!M176</f>
        <v>286.88405520213911</v>
      </c>
      <c r="F107" s="353"/>
      <c r="G107" s="353"/>
      <c r="H107" s="353"/>
      <c r="I107" s="353"/>
      <c r="J107" s="353"/>
      <c r="K107" s="353"/>
      <c r="L107" s="353"/>
      <c r="M107" s="353"/>
      <c r="N107" s="353"/>
      <c r="O107" s="353"/>
      <c r="P107" s="353"/>
      <c r="Q107" s="353"/>
      <c r="R107" s="353"/>
      <c r="S107" s="353"/>
      <c r="T107" s="353"/>
      <c r="U107" s="353"/>
      <c r="V107" s="353"/>
      <c r="W107" s="353"/>
      <c r="X107" s="353"/>
      <c r="Y107" s="353"/>
      <c r="Z107" s="353"/>
      <c r="AA107" s="353"/>
      <c r="AB107" s="353"/>
      <c r="AC107" s="353"/>
    </row>
    <row r="108" spans="2:29" x14ac:dyDescent="0.2">
      <c r="B108" s="205" t="s">
        <v>527</v>
      </c>
      <c r="C108" s="353"/>
      <c r="D108" s="353"/>
      <c r="E108" s="353"/>
      <c r="F108" s="367">
        <f>'Ore-&gt;PI'!BP128+'Ore-&gt;PI'!BP212+'Ore-&gt;PI'!DX128</f>
        <v>2934.7009189848568</v>
      </c>
      <c r="G108" s="353"/>
      <c r="H108" s="353"/>
      <c r="I108" s="353"/>
      <c r="J108" s="353"/>
      <c r="K108" s="353"/>
      <c r="L108" s="353"/>
      <c r="M108" s="353"/>
      <c r="N108" s="353"/>
      <c r="O108" s="353"/>
      <c r="P108" s="353"/>
      <c r="Q108" s="353"/>
      <c r="R108" s="353"/>
      <c r="S108" s="353"/>
      <c r="T108" s="353"/>
      <c r="U108" s="353"/>
      <c r="V108" s="353"/>
      <c r="W108" s="353"/>
      <c r="X108" s="353"/>
      <c r="Y108" s="353"/>
      <c r="Z108" s="353"/>
      <c r="AA108" s="353"/>
      <c r="AB108" s="353"/>
      <c r="AC108" s="353"/>
    </row>
    <row r="109" spans="2:29" x14ac:dyDescent="0.2">
      <c r="B109" s="384" t="s">
        <v>517</v>
      </c>
      <c r="C109" s="353"/>
      <c r="D109" s="353"/>
      <c r="E109" s="353"/>
      <c r="F109" s="353"/>
      <c r="G109" s="353">
        <f>'Ore-&gt;PI'!BP140</f>
        <v>20798.316475388398</v>
      </c>
      <c r="H109" s="353"/>
      <c r="I109" s="353"/>
      <c r="J109" s="353"/>
      <c r="K109" s="353"/>
      <c r="L109" s="353"/>
      <c r="M109" s="353"/>
      <c r="N109" s="353"/>
      <c r="O109" s="353"/>
      <c r="P109" s="353"/>
      <c r="Q109" s="353"/>
      <c r="R109" s="353"/>
      <c r="S109" s="353"/>
      <c r="T109" s="353"/>
      <c r="U109" s="353"/>
      <c r="V109" s="353"/>
      <c r="W109" s="353"/>
      <c r="X109" s="353"/>
      <c r="Y109" s="353"/>
      <c r="Z109" s="353"/>
      <c r="AA109" s="353"/>
      <c r="AB109" s="353"/>
      <c r="AC109" s="353"/>
    </row>
    <row r="110" spans="2:29" x14ac:dyDescent="0.2">
      <c r="B110" s="3" t="s">
        <v>546</v>
      </c>
      <c r="C110" s="302" t="s">
        <v>60</v>
      </c>
      <c r="D110" s="302"/>
      <c r="E110" s="302"/>
      <c r="F110" s="302"/>
      <c r="G110" s="302"/>
      <c r="H110" s="302"/>
      <c r="I110" s="302"/>
      <c r="J110" s="302"/>
      <c r="K110" s="302"/>
      <c r="L110" s="302"/>
      <c r="M110" s="302"/>
      <c r="N110" s="302"/>
      <c r="O110" s="302"/>
      <c r="P110" s="302"/>
      <c r="Q110" s="302"/>
      <c r="R110" s="302"/>
      <c r="S110" s="302"/>
      <c r="T110" s="302"/>
      <c r="U110" s="302"/>
      <c r="V110" s="302"/>
      <c r="W110" s="302"/>
      <c r="X110" s="302"/>
      <c r="Y110" s="302"/>
      <c r="Z110" s="302"/>
      <c r="AA110" s="302"/>
      <c r="AB110" s="302"/>
      <c r="AC110" s="302"/>
    </row>
    <row r="111" spans="2:29" x14ac:dyDescent="0.2">
      <c r="B111" s="3" t="s">
        <v>547</v>
      </c>
      <c r="C111" s="370">
        <f>SUM(C105:C109)</f>
        <v>1011.7674660019052</v>
      </c>
      <c r="D111" s="370">
        <f>SUM(D105:D109)</f>
        <v>208.55560337725498</v>
      </c>
      <c r="E111" s="370">
        <f>SUM(E105:E109)</f>
        <v>286.88405520213911</v>
      </c>
      <c r="F111" s="370">
        <f>SUM(F105:F109)</f>
        <v>2934.7009189848568</v>
      </c>
      <c r="G111" s="370">
        <f>SUM(G105:G109)</f>
        <v>20798.316475388398</v>
      </c>
      <c r="H111" s="370">
        <f>SUM(H105:H109)</f>
        <v>0</v>
      </c>
      <c r="I111" s="370">
        <f>SUM(I105:I109)</f>
        <v>0</v>
      </c>
      <c r="J111" s="370">
        <f>SUM(J105:J109)</f>
        <v>0</v>
      </c>
      <c r="K111" s="370">
        <f>SUM(K105:K109)</f>
        <v>0</v>
      </c>
      <c r="L111" s="370">
        <f>SUM(L105:L109)</f>
        <v>0</v>
      </c>
      <c r="M111" s="370">
        <f>SUM(M105:M109)</f>
        <v>0</v>
      </c>
      <c r="N111" s="370">
        <f>SUM(N105:N109)</f>
        <v>0</v>
      </c>
      <c r="O111" s="370">
        <f>SUM(O105:O109)</f>
        <v>0</v>
      </c>
      <c r="P111" s="370">
        <f>SUM(P105:P109)</f>
        <v>0</v>
      </c>
      <c r="Q111" s="370">
        <f>SUM(Q105:Q109)</f>
        <v>0</v>
      </c>
      <c r="R111" s="370">
        <f>SUM(R105:R109)</f>
        <v>0</v>
      </c>
      <c r="S111" s="370">
        <f>SUM(S105:S109)</f>
        <v>0</v>
      </c>
      <c r="T111" s="370">
        <f>SUM(T105:T109)</f>
        <v>0</v>
      </c>
      <c r="U111" s="370">
        <f>SUM(U105:U109)</f>
        <v>0</v>
      </c>
      <c r="V111" s="370">
        <f>SUM(V105:V109)</f>
        <v>0</v>
      </c>
      <c r="W111" s="370">
        <f>SUM(W105:W109)</f>
        <v>0</v>
      </c>
      <c r="X111" s="370">
        <f>SUM(X105:X109)</f>
        <v>0</v>
      </c>
      <c r="Y111" s="370">
        <f>SUM(Y105:Y109)</f>
        <v>0</v>
      </c>
      <c r="Z111" s="370">
        <f>SUM(Z105:Z109)</f>
        <v>0</v>
      </c>
      <c r="AA111" s="370">
        <f>SUM(AA105:AA109)</f>
        <v>0</v>
      </c>
      <c r="AB111" s="370">
        <f>SUM(AB105:AB109)</f>
        <v>0</v>
      </c>
      <c r="AC111" s="370">
        <f>SUM(AC105:AC109)</f>
        <v>0</v>
      </c>
    </row>
    <row r="112" spans="2:29" x14ac:dyDescent="0.2">
      <c r="C112" s="302" t="s">
        <v>508</v>
      </c>
      <c r="D112" s="302"/>
      <c r="E112" s="302"/>
      <c r="F112" s="302"/>
      <c r="G112" s="302"/>
      <c r="H112" s="302"/>
      <c r="I112" s="302"/>
      <c r="J112" s="302"/>
      <c r="K112" s="302"/>
      <c r="L112" s="302"/>
      <c r="M112" s="302"/>
      <c r="N112" s="302"/>
      <c r="O112" s="302"/>
      <c r="P112" s="302"/>
      <c r="Q112" s="302"/>
      <c r="R112" s="302"/>
      <c r="S112" s="302"/>
      <c r="T112" s="302"/>
      <c r="U112" s="302"/>
      <c r="V112" s="302"/>
      <c r="W112" s="302"/>
      <c r="X112" s="302"/>
      <c r="Y112" s="302"/>
      <c r="Z112" s="302"/>
      <c r="AA112" s="302"/>
      <c r="AB112" s="302"/>
      <c r="AC112" s="302"/>
    </row>
    <row r="116" spans="2:17" x14ac:dyDescent="0.2">
      <c r="C116" s="302" t="s">
        <v>505</v>
      </c>
      <c r="D116" s="302"/>
      <c r="E116" s="302"/>
      <c r="F116" s="302"/>
      <c r="G116" s="302"/>
      <c r="H116" s="302"/>
      <c r="I116" s="302"/>
      <c r="J116" s="302"/>
      <c r="K116" s="302"/>
      <c r="L116" s="361"/>
      <c r="M116" s="361"/>
      <c r="N116" s="361"/>
      <c r="O116" s="361"/>
      <c r="P116" s="25"/>
      <c r="Q116" s="25"/>
    </row>
    <row r="119" spans="2:17" x14ac:dyDescent="0.2">
      <c r="B119" s="205" t="s">
        <v>441</v>
      </c>
      <c r="C119" s="370">
        <f>C111</f>
        <v>1011.7674660019052</v>
      </c>
      <c r="E119" s="370" cm="1">
        <f t="array" ref="E119:E145">TRANSPOSE(C92:AC92)</f>
        <v>0</v>
      </c>
      <c r="G119" s="371">
        <f>AW42</f>
        <v>1011.7674660019052</v>
      </c>
      <c r="I119" s="370" cm="1">
        <f t="array" ref="I119:I145">BD42:BD68</f>
        <v>0</v>
      </c>
      <c r="K119" s="370">
        <f>C119+E119-G119-I119</f>
        <v>0</v>
      </c>
    </row>
    <row r="120" spans="2:17" x14ac:dyDescent="0.2">
      <c r="B120" s="205" t="s">
        <v>443</v>
      </c>
      <c r="C120" s="370">
        <f>D111</f>
        <v>208.55560337725498</v>
      </c>
      <c r="E120" s="370">
        <v>0</v>
      </c>
      <c r="G120" s="371">
        <f>AW43</f>
        <v>208.55560337725498</v>
      </c>
      <c r="I120" s="370">
        <v>0</v>
      </c>
      <c r="K120" s="370">
        <f>C120+E120-G120-I120</f>
        <v>0</v>
      </c>
    </row>
    <row r="121" spans="2:17" x14ac:dyDescent="0.2">
      <c r="B121" s="205" t="s">
        <v>444</v>
      </c>
      <c r="C121" s="370">
        <f>E111</f>
        <v>286.88405520213911</v>
      </c>
      <c r="E121" s="370">
        <v>0</v>
      </c>
      <c r="G121" s="371">
        <f>AW44</f>
        <v>286.88405520213911</v>
      </c>
      <c r="I121" s="370">
        <v>0</v>
      </c>
      <c r="K121" s="370">
        <f t="shared" ref="K121:K145" si="4">C121+E121-G121-I121</f>
        <v>0</v>
      </c>
    </row>
    <row r="122" spans="2:17" x14ac:dyDescent="0.2">
      <c r="B122" s="205" t="s">
        <v>466</v>
      </c>
      <c r="C122" s="370">
        <f>F111</f>
        <v>2934.7009189848568</v>
      </c>
      <c r="E122" s="370">
        <v>0</v>
      </c>
      <c r="G122" s="371">
        <f>AW45</f>
        <v>2934.7009189848568</v>
      </c>
      <c r="I122" s="370">
        <v>0</v>
      </c>
      <c r="K122" s="370">
        <f>C122+E122-G122-I122</f>
        <v>0</v>
      </c>
    </row>
    <row r="123" spans="2:17" x14ac:dyDescent="0.2">
      <c r="B123" s="205" t="s">
        <v>518</v>
      </c>
      <c r="C123" s="370">
        <f>G111</f>
        <v>20798.316475388398</v>
      </c>
      <c r="E123" s="370">
        <v>0</v>
      </c>
      <c r="G123" s="371">
        <f>AW46</f>
        <v>20798.316475388398</v>
      </c>
      <c r="I123" s="370">
        <v>0</v>
      </c>
      <c r="K123" s="370">
        <f t="shared" si="4"/>
        <v>0</v>
      </c>
    </row>
    <row r="124" spans="2:17" x14ac:dyDescent="0.2">
      <c r="B124" s="205" t="s">
        <v>525</v>
      </c>
      <c r="C124" s="370">
        <f>H111</f>
        <v>0</v>
      </c>
      <c r="E124" s="370">
        <v>1011.7674660019052</v>
      </c>
      <c r="G124" s="371">
        <f>AW47</f>
        <v>1011.7674660019052</v>
      </c>
      <c r="I124" s="370">
        <v>0</v>
      </c>
      <c r="K124" s="370">
        <f t="shared" si="4"/>
        <v>0</v>
      </c>
    </row>
    <row r="125" spans="2:17" x14ac:dyDescent="0.2">
      <c r="B125" s="205" t="s">
        <v>533</v>
      </c>
      <c r="C125" s="370">
        <f>I111</f>
        <v>0</v>
      </c>
      <c r="E125" s="370">
        <v>208.55560337725498</v>
      </c>
      <c r="G125" s="371">
        <f>AW48</f>
        <v>208.55560337725498</v>
      </c>
      <c r="I125" s="370">
        <v>0</v>
      </c>
      <c r="K125" s="370">
        <f t="shared" si="4"/>
        <v>0</v>
      </c>
    </row>
    <row r="126" spans="2:17" x14ac:dyDescent="0.2">
      <c r="B126" s="205" t="s">
        <v>534</v>
      </c>
      <c r="C126" s="370">
        <f>J111</f>
        <v>0</v>
      </c>
      <c r="E126" s="370">
        <v>286.88405520213911</v>
      </c>
      <c r="G126" s="371">
        <f>AW49</f>
        <v>286.88405520213911</v>
      </c>
      <c r="I126" s="370">
        <v>0</v>
      </c>
      <c r="K126" s="370">
        <f t="shared" si="4"/>
        <v>0</v>
      </c>
    </row>
    <row r="127" spans="2:17" x14ac:dyDescent="0.2">
      <c r="B127" s="205" t="s">
        <v>526</v>
      </c>
      <c r="C127" s="370">
        <f>K111</f>
        <v>0</v>
      </c>
      <c r="E127" s="370">
        <v>1011.7674660019052</v>
      </c>
      <c r="G127" s="371">
        <f>AW50</f>
        <v>1011.7674660019052</v>
      </c>
      <c r="I127" s="370">
        <v>0</v>
      </c>
      <c r="K127" s="370">
        <f t="shared" si="4"/>
        <v>0</v>
      </c>
    </row>
    <row r="128" spans="2:17" x14ac:dyDescent="0.2">
      <c r="B128" s="205" t="s">
        <v>529</v>
      </c>
      <c r="C128" s="370">
        <f>L111</f>
        <v>0</v>
      </c>
      <c r="E128" s="370">
        <v>208.55560337725498</v>
      </c>
      <c r="G128" s="371">
        <f>AW51</f>
        <v>208.55560337725498</v>
      </c>
      <c r="I128" s="370">
        <v>0</v>
      </c>
      <c r="K128" s="370">
        <f t="shared" si="4"/>
        <v>0</v>
      </c>
    </row>
    <row r="129" spans="2:17" x14ac:dyDescent="0.2">
      <c r="B129" s="205" t="s">
        <v>530</v>
      </c>
      <c r="C129" s="370">
        <f>M111</f>
        <v>0</v>
      </c>
      <c r="E129" s="370">
        <v>286.88405520213911</v>
      </c>
      <c r="G129" s="371">
        <f>AW52</f>
        <v>286.88405520213911</v>
      </c>
      <c r="I129" s="370">
        <v>0</v>
      </c>
      <c r="K129" s="370">
        <f t="shared" si="4"/>
        <v>0</v>
      </c>
    </row>
    <row r="130" spans="2:17" x14ac:dyDescent="0.2">
      <c r="B130" s="205" t="s">
        <v>531</v>
      </c>
      <c r="C130" s="370">
        <f>N111</f>
        <v>0</v>
      </c>
      <c r="E130" s="370">
        <v>1000.0000000000001</v>
      </c>
      <c r="G130" s="371">
        <f>AW53</f>
        <v>1000.0000000000001</v>
      </c>
      <c r="I130" s="370">
        <v>0</v>
      </c>
      <c r="K130" s="370">
        <f t="shared" si="4"/>
        <v>0</v>
      </c>
    </row>
    <row r="131" spans="2:17" x14ac:dyDescent="0.2">
      <c r="B131" s="205" t="s">
        <v>493</v>
      </c>
      <c r="C131" s="370">
        <f>O111</f>
        <v>0</v>
      </c>
      <c r="E131" s="370">
        <v>11.767466001905108</v>
      </c>
      <c r="G131" s="371">
        <f>AW54</f>
        <v>0</v>
      </c>
      <c r="I131" s="370">
        <v>11.767466001905108</v>
      </c>
      <c r="K131" s="370">
        <f t="shared" si="4"/>
        <v>0</v>
      </c>
    </row>
    <row r="132" spans="2:17" x14ac:dyDescent="0.2">
      <c r="B132" s="205" t="s">
        <v>532</v>
      </c>
      <c r="C132" s="370">
        <f>P111</f>
        <v>0</v>
      </c>
      <c r="D132" s="386" t="s">
        <v>512</v>
      </c>
      <c r="E132" s="370">
        <v>208.55560337725498</v>
      </c>
      <c r="F132" s="172" t="s">
        <v>514</v>
      </c>
      <c r="G132" s="371">
        <f>AW55</f>
        <v>208.55560337725498</v>
      </c>
      <c r="H132" s="172" t="s">
        <v>514</v>
      </c>
      <c r="I132" s="370">
        <v>0</v>
      </c>
      <c r="J132" s="386" t="s">
        <v>515</v>
      </c>
      <c r="K132" s="370">
        <f t="shared" si="4"/>
        <v>0</v>
      </c>
    </row>
    <row r="133" spans="2:17" x14ac:dyDescent="0.2">
      <c r="B133" s="205" t="s">
        <v>535</v>
      </c>
      <c r="C133" s="370">
        <f>Q111</f>
        <v>0</v>
      </c>
      <c r="E133" s="370">
        <v>286.88405520213911</v>
      </c>
      <c r="G133" s="371">
        <f>AW56</f>
        <v>286.88405520213911</v>
      </c>
      <c r="I133" s="370">
        <v>0</v>
      </c>
      <c r="K133" s="370">
        <f t="shared" si="4"/>
        <v>0</v>
      </c>
    </row>
    <row r="134" spans="2:17" x14ac:dyDescent="0.2">
      <c r="B134" s="205" t="s">
        <v>470</v>
      </c>
      <c r="C134" s="370">
        <f>R111</f>
        <v>0</v>
      </c>
      <c r="E134" s="370">
        <v>198.80764502323905</v>
      </c>
      <c r="G134" s="371">
        <f>AW57</f>
        <v>198.80764502323905</v>
      </c>
      <c r="I134" s="370">
        <v>0</v>
      </c>
      <c r="K134" s="370">
        <f t="shared" si="4"/>
        <v>0</v>
      </c>
    </row>
    <row r="135" spans="2:17" x14ac:dyDescent="0.2">
      <c r="B135" s="205" t="s">
        <v>492</v>
      </c>
      <c r="C135" s="370">
        <f>S111</f>
        <v>0</v>
      </c>
      <c r="E135" s="370">
        <v>69.582675758133661</v>
      </c>
      <c r="G135" s="371">
        <f>AW58</f>
        <v>69.582675758133661</v>
      </c>
      <c r="I135" s="370">
        <v>0</v>
      </c>
      <c r="K135" s="370">
        <f t="shared" si="4"/>
        <v>0</v>
      </c>
    </row>
    <row r="136" spans="2:17" x14ac:dyDescent="0.2">
      <c r="B136" s="205" t="s">
        <v>540</v>
      </c>
      <c r="C136" s="370">
        <f>T111</f>
        <v>0</v>
      </c>
      <c r="E136" s="370">
        <v>276.97927088072356</v>
      </c>
      <c r="G136" s="371">
        <f>AW59</f>
        <v>0</v>
      </c>
      <c r="I136" s="370">
        <v>276.97927088072356</v>
      </c>
      <c r="K136" s="370">
        <f t="shared" si="4"/>
        <v>0</v>
      </c>
    </row>
    <row r="137" spans="2:17" x14ac:dyDescent="0.2">
      <c r="B137" s="205" t="s">
        <v>393</v>
      </c>
      <c r="C137" s="370">
        <f>U111</f>
        <v>0</v>
      </c>
      <c r="E137" s="370">
        <v>18.493734420766422</v>
      </c>
      <c r="G137" s="371">
        <f>AW60</f>
        <v>0</v>
      </c>
      <c r="I137" s="370">
        <v>18.493734420766422</v>
      </c>
      <c r="K137" s="370">
        <f>C137+E137-G137-I137</f>
        <v>0</v>
      </c>
    </row>
    <row r="138" spans="2:17" x14ac:dyDescent="0.2">
      <c r="B138" s="205" t="s">
        <v>499</v>
      </c>
      <c r="C138" s="370">
        <f>V111</f>
        <v>0</v>
      </c>
      <c r="E138" s="370">
        <v>69.582675758133661</v>
      </c>
      <c r="G138" s="371">
        <f>AW61</f>
        <v>59.145274394413612</v>
      </c>
      <c r="I138" s="370">
        <v>10.437401363720047</v>
      </c>
      <c r="K138" s="370">
        <f>C138+E138-G138-I138</f>
        <v>0</v>
      </c>
    </row>
    <row r="139" spans="2:17" x14ac:dyDescent="0.2">
      <c r="B139" s="205" t="s">
        <v>430</v>
      </c>
      <c r="C139" s="370">
        <f>W111</f>
        <v>0</v>
      </c>
      <c r="E139" s="370">
        <v>111.00813284002646</v>
      </c>
      <c r="G139" s="371">
        <f>AW62</f>
        <v>111.00813284002646</v>
      </c>
      <c r="I139" s="370">
        <v>0</v>
      </c>
      <c r="K139" s="370">
        <f t="shared" si="4"/>
        <v>0</v>
      </c>
      <c r="M139" s="25"/>
      <c r="O139" s="25"/>
      <c r="P139" s="25"/>
      <c r="Q139" s="25"/>
    </row>
    <row r="140" spans="2:17" x14ac:dyDescent="0.2">
      <c r="B140" s="205" t="s">
        <v>497</v>
      </c>
      <c r="C140" s="370">
        <f>X111</f>
        <v>0</v>
      </c>
      <c r="E140" s="370">
        <v>4.9847525450981189</v>
      </c>
      <c r="G140" s="371">
        <f>AW63</f>
        <v>0</v>
      </c>
      <c r="I140" s="370">
        <v>4.9847525450981189</v>
      </c>
      <c r="K140" s="370">
        <f t="shared" si="4"/>
        <v>0</v>
      </c>
      <c r="M140" s="25"/>
      <c r="O140" s="25"/>
      <c r="P140" s="25"/>
      <c r="Q140" s="25"/>
    </row>
    <row r="141" spans="2:17" x14ac:dyDescent="0.2">
      <c r="B141" s="205" t="s">
        <v>537</v>
      </c>
      <c r="C141" s="370">
        <f>Y111</f>
        <v>0</v>
      </c>
      <c r="E141" s="370">
        <v>21178.628376204575</v>
      </c>
      <c r="G141" s="371">
        <f>AW64</f>
        <v>0</v>
      </c>
      <c r="I141" s="370">
        <v>21178.628376204575</v>
      </c>
      <c r="K141" s="370">
        <f t="shared" si="4"/>
        <v>0</v>
      </c>
      <c r="M141" s="25"/>
      <c r="O141" s="25"/>
      <c r="P141" s="25"/>
      <c r="Q141" s="25"/>
    </row>
    <row r="142" spans="2:17" x14ac:dyDescent="0.2">
      <c r="B142" s="205" t="s">
        <v>536</v>
      </c>
      <c r="C142" s="370">
        <f>Z111</f>
        <v>0</v>
      </c>
      <c r="E142" s="370">
        <v>1309.8157778632656</v>
      </c>
      <c r="G142" s="371">
        <f>AW65</f>
        <v>1309.8157778632656</v>
      </c>
      <c r="I142" s="370">
        <v>0</v>
      </c>
      <c r="K142" s="370">
        <f t="shared" si="4"/>
        <v>0</v>
      </c>
      <c r="M142" s="25"/>
      <c r="O142" s="25"/>
      <c r="P142" s="25"/>
      <c r="Q142" s="25"/>
    </row>
    <row r="143" spans="2:17" x14ac:dyDescent="0.2">
      <c r="B143" s="205" t="s">
        <v>439</v>
      </c>
      <c r="C143" s="370">
        <f>AA111</f>
        <v>0</v>
      </c>
      <c r="E143" s="370">
        <v>616.23583583508366</v>
      </c>
      <c r="G143" s="371">
        <f>AW66</f>
        <v>0</v>
      </c>
      <c r="I143" s="370">
        <v>616.23583583508366</v>
      </c>
      <c r="K143" s="370">
        <f t="shared" si="4"/>
        <v>0</v>
      </c>
      <c r="M143" s="25"/>
      <c r="O143" s="25"/>
      <c r="P143" s="25"/>
      <c r="Q143" s="25"/>
    </row>
    <row r="144" spans="2:17" x14ac:dyDescent="0.2">
      <c r="B144" s="205" t="s">
        <v>496</v>
      </c>
      <c r="C144" s="370">
        <f>AB111</f>
        <v>0</v>
      </c>
      <c r="E144" s="370">
        <v>2892.7495488626555</v>
      </c>
      <c r="G144" s="371">
        <f>AW67</f>
        <v>0</v>
      </c>
      <c r="I144" s="370">
        <v>2892.7495488626555</v>
      </c>
      <c r="K144" s="370">
        <f t="shared" si="4"/>
        <v>0</v>
      </c>
    </row>
    <row r="145" spans="2:17" x14ac:dyDescent="0.2">
      <c r="B145" s="205" t="s">
        <v>495</v>
      </c>
      <c r="C145" s="370">
        <f>AC111</f>
        <v>0</v>
      </c>
      <c r="E145" s="370">
        <v>229.94813284002646</v>
      </c>
      <c r="G145" s="371">
        <f>AW68</f>
        <v>0</v>
      </c>
      <c r="I145" s="370">
        <v>229.94813284002646</v>
      </c>
      <c r="K145" s="370">
        <f t="shared" si="4"/>
        <v>0</v>
      </c>
    </row>
    <row r="146" spans="2:17" ht="17" x14ac:dyDescent="0.2">
      <c r="B146" s="205"/>
      <c r="C146" s="3" t="s">
        <v>511</v>
      </c>
      <c r="E146" s="3" t="s">
        <v>513</v>
      </c>
      <c r="G146" s="25" t="s">
        <v>510</v>
      </c>
      <c r="I146" s="25" t="s">
        <v>41</v>
      </c>
      <c r="K146" s="25">
        <f>SUM(K119:K145)</f>
        <v>0</v>
      </c>
    </row>
    <row r="147" spans="2:17" x14ac:dyDescent="0.2">
      <c r="B147" s="205"/>
      <c r="G147" s="25"/>
      <c r="I147" s="25"/>
    </row>
    <row r="148" spans="2:17" x14ac:dyDescent="0.2">
      <c r="B148" s="205"/>
    </row>
    <row r="149" spans="2:17" x14ac:dyDescent="0.2">
      <c r="B149" s="205"/>
      <c r="N149" s="361"/>
      <c r="O149" s="361"/>
      <c r="P149" s="361"/>
      <c r="Q149" s="361"/>
    </row>
    <row r="150" spans="2:17" x14ac:dyDescent="0.2">
      <c r="B150" s="205"/>
    </row>
    <row r="151" spans="2:17" x14ac:dyDescent="0.2">
      <c r="B151" s="205"/>
    </row>
    <row r="152" spans="2:17" x14ac:dyDescent="0.2">
      <c r="B152" s="205"/>
    </row>
    <row r="153" spans="2:17" x14ac:dyDescent="0.2">
      <c r="C153" s="302" t="s">
        <v>516</v>
      </c>
      <c r="D153" s="302"/>
      <c r="E153" s="302"/>
      <c r="F153" s="302"/>
      <c r="G153" s="302"/>
      <c r="H153" s="361"/>
      <c r="I153" s="361"/>
      <c r="J153" s="361"/>
      <c r="K153" s="361"/>
    </row>
    <row r="156" spans="2:17" x14ac:dyDescent="0.2">
      <c r="B156" s="205" t="s">
        <v>431</v>
      </c>
      <c r="C156" s="371">
        <f>AH71</f>
        <v>1011.7674660019052</v>
      </c>
      <c r="E156" s="370">
        <f>AD77</f>
        <v>1011.7674660019052</v>
      </c>
      <c r="G156" s="370">
        <f>C156-E156</f>
        <v>0</v>
      </c>
    </row>
    <row r="157" spans="2:17" x14ac:dyDescent="0.2">
      <c r="B157" s="205" t="s">
        <v>432</v>
      </c>
      <c r="C157" s="371">
        <f>AI71</f>
        <v>208.55560337725498</v>
      </c>
      <c r="E157" s="370">
        <f>AD78</f>
        <v>208.55560337725498</v>
      </c>
      <c r="G157" s="370">
        <f t="shared" ref="G157:G169" si="5">C157-E157</f>
        <v>0</v>
      </c>
      <c r="L157" s="361"/>
      <c r="M157" s="361"/>
    </row>
    <row r="158" spans="2:17" x14ac:dyDescent="0.2">
      <c r="B158" s="205" t="s">
        <v>433</v>
      </c>
      <c r="C158" s="371">
        <f>AJ71</f>
        <v>286.88405520213911</v>
      </c>
      <c r="E158" s="370">
        <f>AD79</f>
        <v>286.88405520213911</v>
      </c>
      <c r="G158" s="370">
        <f t="shared" si="5"/>
        <v>0</v>
      </c>
    </row>
    <row r="159" spans="2:17" x14ac:dyDescent="0.2">
      <c r="B159" s="205" t="s">
        <v>467</v>
      </c>
      <c r="C159" s="371">
        <f>AK71</f>
        <v>1011.7674660019052</v>
      </c>
      <c r="D159" s="373"/>
      <c r="E159" s="370">
        <f>AD80</f>
        <v>1011.7674660019052</v>
      </c>
      <c r="F159" s="373"/>
      <c r="G159" s="370">
        <f t="shared" si="5"/>
        <v>0</v>
      </c>
    </row>
    <row r="160" spans="2:17" x14ac:dyDescent="0.2">
      <c r="B160" s="205" t="s">
        <v>468</v>
      </c>
      <c r="C160" s="371">
        <f>AL71</f>
        <v>208.55560337725498</v>
      </c>
      <c r="E160" s="370">
        <f>AD81</f>
        <v>208.55560337725498</v>
      </c>
      <c r="G160" s="370">
        <f t="shared" si="5"/>
        <v>0</v>
      </c>
    </row>
    <row r="161" spans="2:7" x14ac:dyDescent="0.2">
      <c r="B161" s="205" t="s">
        <v>469</v>
      </c>
      <c r="C161" s="371">
        <f>AM71</f>
        <v>286.88405520213911</v>
      </c>
      <c r="E161" s="370">
        <f>AD82</f>
        <v>286.88405520213911</v>
      </c>
      <c r="G161" s="370">
        <f t="shared" si="5"/>
        <v>0</v>
      </c>
    </row>
    <row r="162" spans="2:7" x14ac:dyDescent="0.2">
      <c r="B162" s="205" t="s">
        <v>462</v>
      </c>
      <c r="C162" s="371">
        <f>AN71</f>
        <v>1011.7674660019052</v>
      </c>
      <c r="E162" s="370">
        <f>AD83</f>
        <v>1011.7674660019052</v>
      </c>
      <c r="G162" s="370">
        <f t="shared" si="5"/>
        <v>0</v>
      </c>
    </row>
    <row r="163" spans="2:7" x14ac:dyDescent="0.2">
      <c r="B163" s="205" t="s">
        <v>459</v>
      </c>
      <c r="C163" s="371">
        <f>AO71</f>
        <v>208.55560337725498</v>
      </c>
      <c r="D163" s="172" t="s">
        <v>519</v>
      </c>
      <c r="E163" s="370">
        <f>AD84</f>
        <v>208.55560337725498</v>
      </c>
      <c r="F163" s="172" t="s">
        <v>515</v>
      </c>
      <c r="G163" s="370">
        <f t="shared" si="5"/>
        <v>0</v>
      </c>
    </row>
    <row r="164" spans="2:7" x14ac:dyDescent="0.2">
      <c r="B164" s="205" t="s">
        <v>489</v>
      </c>
      <c r="C164" s="371">
        <f>AP71</f>
        <v>286.88405520213911</v>
      </c>
      <c r="E164" s="370">
        <f>AD85</f>
        <v>286.88405520213911</v>
      </c>
      <c r="G164" s="370">
        <f t="shared" si="5"/>
        <v>0</v>
      </c>
    </row>
    <row r="165" spans="2:7" x14ac:dyDescent="0.2">
      <c r="B165" s="205" t="s">
        <v>455</v>
      </c>
      <c r="C165" s="371">
        <f>AQ71</f>
        <v>563.86332608286261</v>
      </c>
      <c r="E165" s="370">
        <f>AD86</f>
        <v>563.86332608286261</v>
      </c>
      <c r="G165" s="370">
        <f t="shared" si="5"/>
        <v>0</v>
      </c>
    </row>
    <row r="166" spans="2:7" x14ac:dyDescent="0.2">
      <c r="B166" s="205" t="s">
        <v>483</v>
      </c>
      <c r="C166" s="371">
        <f>AR71</f>
        <v>69.582675758133661</v>
      </c>
      <c r="E166" s="370">
        <f>AD87</f>
        <v>69.582675758133661</v>
      </c>
      <c r="G166" s="370">
        <f t="shared" si="5"/>
        <v>0</v>
      </c>
    </row>
    <row r="167" spans="2:7" x14ac:dyDescent="0.2">
      <c r="B167" s="205" t="s">
        <v>498</v>
      </c>
      <c r="C167" s="371">
        <f>AS71</f>
        <v>21294.621261589698</v>
      </c>
      <c r="E167" s="370">
        <f>AD88</f>
        <v>21294.621261589698</v>
      </c>
      <c r="G167" s="370">
        <f t="shared" si="5"/>
        <v>0</v>
      </c>
    </row>
    <row r="168" spans="2:7" x14ac:dyDescent="0.2">
      <c r="B168" s="205" t="s">
        <v>84</v>
      </c>
      <c r="C168" s="371">
        <f>AU71</f>
        <v>1309.8157778632658</v>
      </c>
      <c r="E168" s="370">
        <f>AD89</f>
        <v>1309.8157778632656</v>
      </c>
      <c r="G168" s="370">
        <f t="shared" si="5"/>
        <v>0</v>
      </c>
    </row>
    <row r="169" spans="2:7" x14ac:dyDescent="0.2">
      <c r="B169" s="205" t="s">
        <v>445</v>
      </c>
      <c r="C169" s="371">
        <f>AV71</f>
        <v>3738.9335175377655</v>
      </c>
      <c r="D169" s="172"/>
      <c r="E169" s="370">
        <f>AD90</f>
        <v>3738.933517537766</v>
      </c>
      <c r="G169" s="370">
        <f t="shared" si="5"/>
        <v>0</v>
      </c>
    </row>
    <row r="170" spans="2:7" x14ac:dyDescent="0.2">
      <c r="B170" s="207"/>
      <c r="C170" s="172" t="s">
        <v>509</v>
      </c>
      <c r="D170" s="172"/>
      <c r="E170" s="172" t="s">
        <v>506</v>
      </c>
      <c r="F170" s="172"/>
      <c r="G170" s="172">
        <v>0</v>
      </c>
    </row>
    <row r="171" spans="2:7" x14ac:dyDescent="0.2">
      <c r="B171" s="207"/>
    </row>
    <row r="172" spans="2:7" x14ac:dyDescent="0.2">
      <c r="B172" s="207"/>
    </row>
  </sheetData>
  <mergeCells count="10">
    <mergeCell ref="C153:G153"/>
    <mergeCell ref="C116:K116"/>
    <mergeCell ref="BB70:BC70"/>
    <mergeCell ref="AH72:AV72"/>
    <mergeCell ref="C93:AC93"/>
    <mergeCell ref="C91:AC91"/>
    <mergeCell ref="C110:AC110"/>
    <mergeCell ref="C112:AC112"/>
    <mergeCell ref="C75:D75"/>
    <mergeCell ref="AH70:AV70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B87" sqref="B87:B89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8"/>
      <c r="L41" s="208"/>
      <c r="M41" s="208"/>
      <c r="N41" s="208"/>
      <c r="O41" s="208"/>
      <c r="P41" s="208"/>
      <c r="Q41" s="208"/>
      <c r="R41" s="208"/>
      <c r="S41" s="208"/>
      <c r="T41" s="208"/>
      <c r="U41" s="208"/>
      <c r="V41" s="208"/>
      <c r="W41" s="208"/>
      <c r="AC41" s="208"/>
      <c r="AD41" s="208"/>
      <c r="AE41" s="208"/>
    </row>
    <row r="42" spans="10:31" x14ac:dyDescent="0.2">
      <c r="J42" s="205"/>
      <c r="K42" s="239"/>
      <c r="L42" s="239"/>
      <c r="M42" s="239"/>
      <c r="N42" s="239"/>
      <c r="O42" s="239"/>
      <c r="P42" s="239"/>
      <c r="Q42" s="239"/>
      <c r="R42" s="239"/>
      <c r="S42" s="239"/>
      <c r="T42" s="239"/>
      <c r="U42" s="239"/>
      <c r="V42" s="246"/>
      <c r="W42" s="239"/>
      <c r="AB42" s="205"/>
      <c r="AC42" s="209"/>
      <c r="AD42" s="209"/>
      <c r="AE42" s="209"/>
    </row>
    <row r="43" spans="10:31" x14ac:dyDescent="0.2">
      <c r="J43" s="205"/>
      <c r="K43" s="239"/>
      <c r="L43" s="239"/>
      <c r="M43" s="239"/>
      <c r="N43" s="239"/>
      <c r="O43" s="239"/>
      <c r="P43" s="239"/>
      <c r="Q43" s="239"/>
      <c r="R43" s="239"/>
      <c r="S43" s="239"/>
      <c r="T43" s="239"/>
      <c r="U43" s="239"/>
      <c r="V43" s="246"/>
      <c r="W43" s="239"/>
      <c r="AB43" s="205"/>
      <c r="AC43" s="209"/>
      <c r="AD43" s="209"/>
      <c r="AE43" s="209"/>
    </row>
    <row r="44" spans="10:31" x14ac:dyDescent="0.2">
      <c r="J44" s="205"/>
      <c r="K44" s="239"/>
      <c r="L44" s="239"/>
      <c r="M44" s="239"/>
      <c r="N44" s="239"/>
      <c r="O44" s="239"/>
      <c r="P44" s="239"/>
      <c r="Q44" s="239"/>
      <c r="R44" s="239"/>
      <c r="S44" s="239"/>
      <c r="T44" s="239"/>
      <c r="U44" s="239"/>
      <c r="V44" s="246"/>
      <c r="W44" s="239"/>
      <c r="AB44" s="205"/>
      <c r="AC44" s="209"/>
      <c r="AD44" s="209"/>
      <c r="AE44" s="209"/>
    </row>
    <row r="45" spans="10:31" x14ac:dyDescent="0.2">
      <c r="J45" s="205"/>
      <c r="K45" s="239"/>
      <c r="L45" s="239"/>
      <c r="M45" s="239"/>
      <c r="N45" s="239"/>
      <c r="O45" s="239"/>
      <c r="P45" s="239"/>
      <c r="Q45" s="239"/>
      <c r="R45" s="239"/>
      <c r="S45" s="239"/>
      <c r="T45" s="239"/>
      <c r="U45" s="239"/>
      <c r="V45" s="239"/>
      <c r="W45" s="239"/>
      <c r="AB45" s="205"/>
      <c r="AC45" s="209"/>
      <c r="AD45" s="209"/>
      <c r="AE45" s="209"/>
    </row>
    <row r="46" spans="10:31" x14ac:dyDescent="0.2">
      <c r="J46" s="205"/>
      <c r="K46" s="239"/>
      <c r="L46" s="239"/>
      <c r="M46" s="239"/>
      <c r="N46" s="239"/>
      <c r="O46" s="239"/>
      <c r="P46" s="239"/>
      <c r="Q46" s="239"/>
      <c r="R46" s="239"/>
      <c r="S46" s="239"/>
      <c r="T46" s="239"/>
      <c r="U46" s="239"/>
      <c r="V46" s="239"/>
      <c r="W46" s="239"/>
      <c r="AB46" s="205"/>
      <c r="AC46" s="209"/>
      <c r="AD46" s="209"/>
      <c r="AE46" s="209"/>
    </row>
    <row r="47" spans="10:31" x14ac:dyDescent="0.2">
      <c r="J47" s="205"/>
      <c r="K47" s="239"/>
      <c r="L47" s="239"/>
      <c r="M47" s="239"/>
      <c r="N47" s="239"/>
      <c r="O47" s="239"/>
      <c r="P47" s="239"/>
      <c r="Q47" s="239"/>
      <c r="R47" s="239"/>
      <c r="S47" s="239"/>
      <c r="T47" s="239"/>
      <c r="U47" s="239"/>
      <c r="V47" s="239"/>
      <c r="W47" s="239"/>
      <c r="AB47" s="205"/>
      <c r="AC47" s="209"/>
      <c r="AD47" s="245"/>
      <c r="AE47" s="209"/>
    </row>
    <row r="48" spans="10:31" x14ac:dyDescent="0.2">
      <c r="J48" s="205"/>
      <c r="K48" s="239"/>
      <c r="L48" s="239"/>
      <c r="M48" s="239"/>
      <c r="N48" s="239"/>
      <c r="O48" s="239"/>
      <c r="P48" s="246"/>
      <c r="Q48" s="239"/>
      <c r="R48" s="239"/>
      <c r="S48" s="239"/>
      <c r="T48" s="239"/>
      <c r="U48" s="239"/>
      <c r="V48" s="247"/>
      <c r="W48" s="239"/>
      <c r="AB48" s="205"/>
      <c r="AC48" s="209"/>
      <c r="AD48" s="209"/>
      <c r="AE48" s="209"/>
    </row>
    <row r="49" spans="2:35" x14ac:dyDescent="0.2">
      <c r="J49" s="205"/>
      <c r="K49" s="239"/>
      <c r="L49" s="239"/>
      <c r="M49" s="239"/>
      <c r="N49" s="239"/>
      <c r="O49" s="239"/>
      <c r="P49" s="246"/>
      <c r="Q49" s="239"/>
      <c r="R49" s="239"/>
      <c r="S49" s="239"/>
      <c r="T49" s="239"/>
      <c r="U49" s="239"/>
      <c r="V49" s="239"/>
      <c r="W49" s="239"/>
      <c r="AB49" s="205"/>
      <c r="AC49" s="209"/>
      <c r="AD49" s="209"/>
      <c r="AE49" s="209"/>
    </row>
    <row r="50" spans="2:35" x14ac:dyDescent="0.2">
      <c r="J50" s="205"/>
      <c r="K50" s="239"/>
      <c r="L50" s="239"/>
      <c r="M50" s="239"/>
      <c r="N50" s="239"/>
      <c r="O50" s="239"/>
      <c r="P50" s="246"/>
      <c r="Q50" s="239"/>
      <c r="R50" s="239"/>
      <c r="S50" s="239"/>
      <c r="T50" s="239"/>
      <c r="U50" s="239"/>
      <c r="V50" s="239"/>
      <c r="W50" s="239"/>
      <c r="AC50" s="302" t="s">
        <v>437</v>
      </c>
      <c r="AD50" s="302"/>
      <c r="AE50" s="302"/>
    </row>
    <row r="51" spans="2:35" x14ac:dyDescent="0.2">
      <c r="K51" s="239"/>
      <c r="L51" s="239"/>
      <c r="M51" s="239"/>
      <c r="N51" s="239"/>
      <c r="O51" s="239"/>
      <c r="P51" s="239"/>
      <c r="Q51" s="239"/>
      <c r="R51" s="239"/>
      <c r="S51" s="239"/>
      <c r="T51" s="239"/>
      <c r="U51" s="239"/>
      <c r="V51" s="239"/>
      <c r="W51" s="239"/>
    </row>
    <row r="52" spans="2:35" x14ac:dyDescent="0.2">
      <c r="K52" s="239"/>
      <c r="L52" s="239"/>
      <c r="M52" s="239"/>
      <c r="N52" s="239"/>
      <c r="O52" s="239"/>
      <c r="P52" s="239"/>
      <c r="Q52" s="239"/>
      <c r="R52" s="239"/>
      <c r="S52" s="239"/>
      <c r="T52" s="239"/>
      <c r="U52" s="239"/>
      <c r="V52" s="239"/>
      <c r="W52" s="239"/>
    </row>
    <row r="53" spans="2:35" x14ac:dyDescent="0.2">
      <c r="K53" s="302" t="s">
        <v>434</v>
      </c>
      <c r="L53" s="302"/>
      <c r="M53" s="302"/>
      <c r="N53" s="302"/>
      <c r="O53" s="302"/>
      <c r="P53" s="302"/>
      <c r="Q53" s="302"/>
      <c r="R53" s="302"/>
      <c r="S53" s="302"/>
      <c r="T53" s="302"/>
      <c r="U53" s="302"/>
      <c r="V53" s="302"/>
      <c r="W53" s="302"/>
      <c r="AD53" s="25"/>
      <c r="AE53" s="25"/>
      <c r="AF53" s="25"/>
      <c r="AG53" s="25"/>
      <c r="AH53" s="25"/>
      <c r="AI53" s="25"/>
    </row>
    <row r="58" spans="2:35" x14ac:dyDescent="0.2">
      <c r="C58" s="303"/>
      <c r="D58" s="303"/>
      <c r="E58" s="250"/>
      <c r="F58" s="250"/>
      <c r="G58" s="250"/>
      <c r="H58" s="250"/>
    </row>
    <row r="59" spans="2:35" x14ac:dyDescent="0.2">
      <c r="C59" s="210"/>
      <c r="D59" s="210"/>
      <c r="E59" s="211"/>
      <c r="F59" s="211"/>
      <c r="G59" s="211"/>
      <c r="H59" s="211"/>
      <c r="I59" s="248"/>
      <c r="J59" s="248"/>
    </row>
    <row r="60" spans="2:35" x14ac:dyDescent="0.2">
      <c r="B60" s="3"/>
      <c r="C60" s="239"/>
      <c r="D60" s="239"/>
      <c r="E60" s="239"/>
      <c r="F60" s="239"/>
      <c r="G60" s="239"/>
      <c r="H60" s="239"/>
      <c r="I60" s="239"/>
      <c r="J60" s="239"/>
    </row>
    <row r="61" spans="2:35" x14ac:dyDescent="0.2">
      <c r="B61" s="3"/>
      <c r="C61" s="239"/>
      <c r="D61" s="239"/>
      <c r="E61" s="239"/>
      <c r="F61" s="239"/>
      <c r="G61" s="239"/>
      <c r="H61" s="239"/>
      <c r="I61" s="239"/>
      <c r="J61" s="239"/>
    </row>
    <row r="62" spans="2:35" x14ac:dyDescent="0.2">
      <c r="B62" s="3"/>
      <c r="C62" s="239"/>
      <c r="D62" s="239"/>
      <c r="E62" s="239"/>
      <c r="F62" s="239"/>
      <c r="G62" s="239"/>
      <c r="H62" s="239"/>
      <c r="I62" s="239"/>
      <c r="J62" s="239"/>
    </row>
    <row r="63" spans="2:35" x14ac:dyDescent="0.2">
      <c r="B63" s="3"/>
      <c r="C63" s="239"/>
      <c r="D63" s="239"/>
      <c r="E63" s="239"/>
      <c r="F63" s="239"/>
      <c r="G63" s="239"/>
      <c r="H63" s="239"/>
      <c r="I63" s="239"/>
      <c r="J63" s="239"/>
    </row>
    <row r="64" spans="2:35" x14ac:dyDescent="0.2">
      <c r="B64" s="3"/>
      <c r="C64" s="239"/>
      <c r="D64" s="239"/>
      <c r="E64" s="239"/>
      <c r="F64" s="239"/>
      <c r="G64" s="239"/>
      <c r="H64" s="239"/>
      <c r="I64" s="239"/>
      <c r="J64" s="239"/>
    </row>
    <row r="65" spans="2:10" x14ac:dyDescent="0.2">
      <c r="B65" s="3"/>
      <c r="C65" s="239"/>
      <c r="D65" s="239"/>
      <c r="E65" s="239"/>
      <c r="F65" s="239"/>
      <c r="G65" s="239"/>
      <c r="H65" s="239"/>
      <c r="I65" s="239"/>
      <c r="J65" s="239"/>
    </row>
    <row r="66" spans="2:10" x14ac:dyDescent="0.2">
      <c r="B66" s="3"/>
      <c r="C66" s="239"/>
      <c r="D66" s="239"/>
      <c r="E66" s="239"/>
      <c r="F66" s="239"/>
      <c r="G66" s="239"/>
      <c r="H66" s="239"/>
      <c r="I66" s="239"/>
      <c r="J66" s="239"/>
    </row>
    <row r="67" spans="2:10" x14ac:dyDescent="0.2">
      <c r="B67" s="3"/>
      <c r="C67" s="239"/>
      <c r="D67" s="239"/>
      <c r="E67" s="239"/>
      <c r="F67" s="239"/>
      <c r="G67" s="239"/>
      <c r="H67" s="247"/>
      <c r="I67" s="239"/>
      <c r="J67" s="239"/>
    </row>
    <row r="68" spans="2:10" x14ac:dyDescent="0.2">
      <c r="B68" s="3"/>
      <c r="C68" s="239"/>
      <c r="D68" s="239"/>
      <c r="E68" s="239"/>
      <c r="F68" s="239"/>
      <c r="G68" s="239"/>
      <c r="H68" s="239"/>
      <c r="I68" s="239"/>
      <c r="J68" s="239"/>
    </row>
    <row r="69" spans="2:10" x14ac:dyDescent="0.2">
      <c r="B69" s="3"/>
      <c r="C69" s="239"/>
      <c r="D69" s="239"/>
      <c r="E69" s="239"/>
      <c r="F69" s="239"/>
      <c r="G69" s="239"/>
      <c r="H69" s="239"/>
      <c r="I69" s="239"/>
      <c r="J69" s="239"/>
    </row>
    <row r="70" spans="2:10" x14ac:dyDescent="0.2">
      <c r="B70" s="3"/>
      <c r="C70" s="239"/>
      <c r="D70" s="239"/>
      <c r="E70" s="239"/>
      <c r="F70" s="239"/>
      <c r="G70" s="239"/>
      <c r="H70" s="239"/>
      <c r="I70" s="239"/>
      <c r="J70" s="239"/>
    </row>
    <row r="71" spans="2:10" x14ac:dyDescent="0.2">
      <c r="B71" s="3"/>
      <c r="C71" s="239"/>
      <c r="D71" s="239"/>
      <c r="E71" s="239"/>
      <c r="F71" s="239"/>
      <c r="G71" s="239"/>
      <c r="H71" s="247"/>
      <c r="I71" s="239"/>
      <c r="J71" s="239"/>
    </row>
    <row r="72" spans="2:10" x14ac:dyDescent="0.2">
      <c r="B72" s="3"/>
      <c r="C72" s="239"/>
      <c r="D72" s="239"/>
      <c r="E72" s="239"/>
      <c r="F72" s="239"/>
      <c r="G72" s="239"/>
      <c r="H72" s="239"/>
      <c r="I72" s="239"/>
      <c r="J72" s="239"/>
    </row>
    <row r="73" spans="2:10" x14ac:dyDescent="0.2">
      <c r="C73" s="302" t="s">
        <v>435</v>
      </c>
      <c r="D73" s="302"/>
      <c r="E73" s="302"/>
      <c r="F73" s="302"/>
      <c r="G73" s="302"/>
      <c r="H73" s="302"/>
      <c r="I73" s="302"/>
      <c r="J73" s="302"/>
    </row>
    <row r="86" spans="2:7" x14ac:dyDescent="0.2">
      <c r="C86" s="208"/>
      <c r="D86" s="208"/>
      <c r="E86" s="208"/>
      <c r="F86" s="208"/>
      <c r="G86" s="208"/>
    </row>
    <row r="87" spans="2:7" x14ac:dyDescent="0.2">
      <c r="B87" s="205" t="s">
        <v>282</v>
      </c>
      <c r="C87" s="209"/>
      <c r="D87" s="209"/>
      <c r="E87" s="209"/>
      <c r="F87" s="209"/>
      <c r="G87" s="209"/>
    </row>
    <row r="88" spans="2:7" x14ac:dyDescent="0.2">
      <c r="B88" s="205" t="s">
        <v>453</v>
      </c>
      <c r="C88" s="209"/>
      <c r="D88" s="209"/>
      <c r="E88" s="209"/>
      <c r="F88" s="209"/>
      <c r="G88" s="209"/>
    </row>
    <row r="89" spans="2:7" x14ac:dyDescent="0.2">
      <c r="B89" s="205" t="s">
        <v>454</v>
      </c>
      <c r="C89" s="209"/>
      <c r="D89" s="209"/>
      <c r="E89" s="209"/>
      <c r="F89" s="209"/>
      <c r="G89" s="209"/>
    </row>
    <row r="90" spans="2:7" x14ac:dyDescent="0.2">
      <c r="C90" s="209"/>
      <c r="D90" s="209"/>
      <c r="E90" s="209"/>
      <c r="F90" s="245"/>
      <c r="G90" s="209"/>
    </row>
    <row r="91" spans="2:7" x14ac:dyDescent="0.2">
      <c r="C91" s="209"/>
      <c r="D91" s="209"/>
      <c r="E91" s="209"/>
      <c r="F91" s="209"/>
      <c r="G91" s="209"/>
    </row>
    <row r="92" spans="2:7" x14ac:dyDescent="0.2">
      <c r="C92" s="302" t="s">
        <v>60</v>
      </c>
      <c r="D92" s="302"/>
      <c r="E92" s="302"/>
      <c r="F92" s="302"/>
      <c r="G92" s="302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6"/>
  <sheetViews>
    <sheetView topLeftCell="B1" zoomScale="171" workbookViewId="0">
      <selection activeCell="E24" sqref="E24:E26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</cols>
  <sheetData>
    <row r="4" spans="4:9" ht="16" thickBot="1" x14ac:dyDescent="0.25"/>
    <row r="5" spans="4:9" ht="19" x14ac:dyDescent="0.25">
      <c r="D5" s="215"/>
      <c r="E5" s="216" t="s">
        <v>268</v>
      </c>
      <c r="F5" s="221" t="s">
        <v>239</v>
      </c>
      <c r="G5" s="226" t="s">
        <v>320</v>
      </c>
      <c r="H5" s="221" t="s">
        <v>239</v>
      </c>
      <c r="I5" s="226" t="s">
        <v>320</v>
      </c>
    </row>
    <row r="6" spans="4:9" ht="20" thickBot="1" x14ac:dyDescent="0.3">
      <c r="D6" s="215"/>
      <c r="E6" s="217" t="s">
        <v>102</v>
      </c>
      <c r="F6" s="222" t="s">
        <v>50</v>
      </c>
      <c r="G6" s="227" t="s">
        <v>50</v>
      </c>
      <c r="H6" s="222" t="s">
        <v>451</v>
      </c>
      <c r="I6" s="227" t="s">
        <v>451</v>
      </c>
    </row>
    <row r="7" spans="4:9" ht="19" x14ac:dyDescent="0.25">
      <c r="D7" s="307" t="s">
        <v>450</v>
      </c>
      <c r="E7" s="218" t="s">
        <v>282</v>
      </c>
      <c r="F7" s="223">
        <f>'Ore-&gt;PI'!$S$35</f>
        <v>88160.656904773379</v>
      </c>
      <c r="G7" s="228">
        <f>1.06*F7</f>
        <v>93450.29631905978</v>
      </c>
      <c r="H7" s="234">
        <f>F7/10000000</f>
        <v>8.8160656904773382E-3</v>
      </c>
      <c r="I7" s="231">
        <f>G7/10000000</f>
        <v>9.3450296319059784E-3</v>
      </c>
    </row>
    <row r="8" spans="4:9" ht="20" thickBot="1" x14ac:dyDescent="0.3">
      <c r="D8" s="308"/>
      <c r="E8" s="219" t="s">
        <v>453</v>
      </c>
      <c r="F8" s="224">
        <f>'Ore-&gt;PI'!$AJ$28+'Ore-&gt;PI'!$BB$35</f>
        <v>622271.50143934821</v>
      </c>
      <c r="G8" s="229">
        <f>F8</f>
        <v>622271.50143934821</v>
      </c>
      <c r="H8" s="235">
        <f t="shared" ref="H8:H16" si="0">F8/10000000</f>
        <v>6.2227150143934824E-2</v>
      </c>
      <c r="I8" s="232">
        <f t="shared" ref="I8:I16" si="1">G8/10000000</f>
        <v>6.2227150143934824E-2</v>
      </c>
    </row>
    <row r="9" spans="4:9" ht="19" x14ac:dyDescent="0.25">
      <c r="D9" s="309" t="s">
        <v>21</v>
      </c>
      <c r="E9" s="218" t="s">
        <v>282</v>
      </c>
      <c r="F9" s="223">
        <f>SUM('Ore-&gt;PI'!$S$101:$S$107)+'Ore-&gt;PI'!$S$109</f>
        <v>241.59146310558401</v>
      </c>
      <c r="G9" s="228">
        <f>F9*1.06</f>
        <v>256.08695089191906</v>
      </c>
      <c r="H9" s="234">
        <f t="shared" si="0"/>
        <v>2.4159146310558402E-5</v>
      </c>
      <c r="I9" s="231">
        <f t="shared" si="1"/>
        <v>2.5608695089191906E-5</v>
      </c>
    </row>
    <row r="10" spans="4:9" ht="19" x14ac:dyDescent="0.25">
      <c r="D10" s="310"/>
      <c r="E10" s="220" t="s">
        <v>269</v>
      </c>
      <c r="F10" s="225">
        <f>SUM('Ore-&gt;PI'!$AL$101,'Ore-&gt;PI'!$BC$101:$BC$103)</f>
        <v>2859.5637429090348</v>
      </c>
      <c r="G10" s="230">
        <f>F10</f>
        <v>2859.5637429090348</v>
      </c>
      <c r="H10" s="236">
        <f t="shared" si="0"/>
        <v>2.8595637429090347E-4</v>
      </c>
      <c r="I10" s="233">
        <f t="shared" si="1"/>
        <v>2.8595637429090347E-4</v>
      </c>
    </row>
    <row r="11" spans="4:9" ht="20" thickBot="1" x14ac:dyDescent="0.3">
      <c r="D11" s="311"/>
      <c r="E11" s="219" t="s">
        <v>454</v>
      </c>
      <c r="F11" s="224">
        <f>('Ore-&gt;PI'!$BP$140*LHV_CH4)+'Ore-&gt;PI'!$S$108</f>
        <v>1039915846.2133647</v>
      </c>
      <c r="G11" s="229">
        <f>F11*1.04</f>
        <v>1081512480.0618994</v>
      </c>
      <c r="H11" s="235">
        <f t="shared" si="0"/>
        <v>103.99158462133647</v>
      </c>
      <c r="I11" s="232">
        <f t="shared" si="1"/>
        <v>108.15124800618995</v>
      </c>
    </row>
    <row r="12" spans="4:9" ht="19" x14ac:dyDescent="0.25">
      <c r="D12" s="312" t="s">
        <v>366</v>
      </c>
      <c r="E12" s="218" t="s">
        <v>282</v>
      </c>
      <c r="F12" s="223">
        <f>'Ore-&gt;PI'!$S$157+'Ore-&gt;PI'!$S$162+'Ore-&gt;PI'!$S$165</f>
        <v>20969.662867987096</v>
      </c>
      <c r="G12" s="228">
        <f>F12*1.06</f>
        <v>22227.842640066323</v>
      </c>
      <c r="H12" s="234">
        <f t="shared" si="0"/>
        <v>2.0969662867987094E-3</v>
      </c>
      <c r="I12" s="231">
        <f t="shared" si="1"/>
        <v>2.2227842640066323E-3</v>
      </c>
    </row>
    <row r="13" spans="4:9" ht="20" thickBot="1" x14ac:dyDescent="0.3">
      <c r="D13" s="313"/>
      <c r="E13" s="219" t="s">
        <v>453</v>
      </c>
      <c r="F13" s="224">
        <f>SUM('Ore-&gt;PI'!$S$155:$S$156)+SUM('Ore-&gt;PI'!$S$158:$S$161)+SUM('Ore-&gt;PI'!$S$163:$S$164)+SUM('Ore-&gt;PI'!$S$166:$S$167)+'Ore-&gt;PI'!CN199</f>
        <v>78150.821272878558</v>
      </c>
      <c r="G13" s="229">
        <f>F13</f>
        <v>78150.821272878558</v>
      </c>
      <c r="H13" s="235">
        <f t="shared" si="0"/>
        <v>7.8150821272878566E-3</v>
      </c>
      <c r="I13" s="232">
        <f t="shared" si="1"/>
        <v>7.8150821272878566E-3</v>
      </c>
    </row>
    <row r="14" spans="4:9" ht="19" x14ac:dyDescent="0.25">
      <c r="D14" s="304" t="s">
        <v>365</v>
      </c>
      <c r="E14" s="218" t="s">
        <v>282</v>
      </c>
      <c r="F14" s="223">
        <f>'Ore-&gt;PI'!$EE$104</f>
        <v>193470.79284293839</v>
      </c>
      <c r="G14" s="228">
        <f>F14*1.06</f>
        <v>205079.04041351471</v>
      </c>
      <c r="H14" s="234">
        <f t="shared" si="0"/>
        <v>1.9347079284293838E-2</v>
      </c>
      <c r="I14" s="231">
        <f t="shared" si="1"/>
        <v>2.0507904041351471E-2</v>
      </c>
    </row>
    <row r="15" spans="4:9" ht="19" x14ac:dyDescent="0.25">
      <c r="D15" s="305"/>
      <c r="E15" s="220" t="s">
        <v>453</v>
      </c>
      <c r="F15" s="225">
        <f>'Ore-&gt;PI'!$EE$105</f>
        <v>317844.87395625591</v>
      </c>
      <c r="G15" s="230">
        <f>F15</f>
        <v>317844.87395625591</v>
      </c>
      <c r="H15" s="236">
        <f t="shared" si="0"/>
        <v>3.1784487395625588E-2</v>
      </c>
      <c r="I15" s="233">
        <f t="shared" si="1"/>
        <v>3.1784487395625588E-2</v>
      </c>
    </row>
    <row r="16" spans="4:9" ht="20" thickBot="1" x14ac:dyDescent="0.3">
      <c r="D16" s="306"/>
      <c r="E16" s="237" t="s">
        <v>454</v>
      </c>
      <c r="F16" s="224">
        <f>'Ore-&gt;PI'!$EE$103</f>
        <v>2238733.4600397157</v>
      </c>
      <c r="G16" s="229">
        <f>F16*1.04</f>
        <v>2328282.7984413044</v>
      </c>
      <c r="H16" s="235">
        <f t="shared" si="0"/>
        <v>0.22387334600397157</v>
      </c>
      <c r="I16" s="232">
        <f t="shared" si="1"/>
        <v>0.23282827984413043</v>
      </c>
    </row>
    <row r="22" spans="5:9" x14ac:dyDescent="0.2">
      <c r="E22" s="205" t="s">
        <v>452</v>
      </c>
      <c r="F22" s="3" t="s">
        <v>239</v>
      </c>
      <c r="G22" s="3" t="s">
        <v>320</v>
      </c>
      <c r="H22" s="3" t="s">
        <v>239</v>
      </c>
      <c r="I22" s="3" t="s">
        <v>320</v>
      </c>
    </row>
    <row r="23" spans="5:9" x14ac:dyDescent="0.2">
      <c r="F23" s="3" t="s">
        <v>50</v>
      </c>
      <c r="G23" s="3" t="s">
        <v>50</v>
      </c>
      <c r="H23" s="3" t="s">
        <v>451</v>
      </c>
      <c r="I23" s="3" t="s">
        <v>451</v>
      </c>
    </row>
    <row r="24" spans="5:9" x14ac:dyDescent="0.2">
      <c r="E24" s="205" t="s">
        <v>282</v>
      </c>
      <c r="F24">
        <f>F7+F9+F12+F14</f>
        <v>302842.70407880447</v>
      </c>
      <c r="G24">
        <f t="shared" ref="G24:I24" si="2">G7+G9+G12+G14</f>
        <v>321013.26632353273</v>
      </c>
      <c r="H24">
        <f t="shared" si="2"/>
        <v>3.0284270407880443E-2</v>
      </c>
      <c r="I24">
        <f t="shared" si="2"/>
        <v>3.2101326632353273E-2</v>
      </c>
    </row>
    <row r="25" spans="5:9" x14ac:dyDescent="0.2">
      <c r="E25" s="205" t="s">
        <v>453</v>
      </c>
      <c r="F25">
        <f>F8+F13+F15</f>
        <v>1018267.1966684826</v>
      </c>
      <c r="G25">
        <f t="shared" ref="G25:I25" si="3">G8+G13+G15</f>
        <v>1018267.1966684826</v>
      </c>
      <c r="H25">
        <f t="shared" si="3"/>
        <v>0.10182671966684827</v>
      </c>
      <c r="I25">
        <f t="shared" si="3"/>
        <v>0.10182671966684827</v>
      </c>
    </row>
    <row r="26" spans="5:9" x14ac:dyDescent="0.2">
      <c r="E26" s="205" t="s">
        <v>454</v>
      </c>
      <c r="F26">
        <f>F11+F16</f>
        <v>1042154579.6734045</v>
      </c>
      <c r="G26">
        <f t="shared" ref="G26:I26" si="4">G11+G16</f>
        <v>1083840762.8603408</v>
      </c>
      <c r="H26">
        <f t="shared" si="4"/>
        <v>104.21545796734044</v>
      </c>
      <c r="I26">
        <f t="shared" si="4"/>
        <v>108.38407628603407</v>
      </c>
    </row>
  </sheetData>
  <mergeCells count="4">
    <mergeCell ref="D14:D16"/>
    <mergeCell ref="D7:D8"/>
    <mergeCell ref="D9:D11"/>
    <mergeCell ref="D12:D13"/>
  </mergeCells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4"/>
  <sheetViews>
    <sheetView topLeftCell="A11" zoomScale="160" workbookViewId="0">
      <selection activeCell="K32" sqref="K3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260" t="s">
        <v>321</v>
      </c>
      <c r="E2" s="260"/>
      <c r="F2" s="260"/>
      <c r="G2" s="260"/>
      <c r="V2" s="167"/>
    </row>
    <row r="3" spans="2:22" x14ac:dyDescent="0.2">
      <c r="B3" s="3"/>
      <c r="C3" s="3"/>
      <c r="D3" s="315" t="s">
        <v>86</v>
      </c>
      <c r="E3" s="315"/>
      <c r="F3" s="315"/>
      <c r="G3" s="315"/>
      <c r="O3" s="167"/>
      <c r="P3" s="167"/>
      <c r="Q3" s="167"/>
      <c r="R3" s="167"/>
      <c r="S3" s="167"/>
      <c r="T3" s="167"/>
      <c r="U3" s="167"/>
      <c r="V3" s="167"/>
    </row>
    <row r="4" spans="2:22" x14ac:dyDescent="0.2">
      <c r="B4" s="320" t="s">
        <v>4</v>
      </c>
      <c r="C4" s="3"/>
      <c r="D4" s="197" t="s">
        <v>377</v>
      </c>
      <c r="E4" s="197" t="s">
        <v>193</v>
      </c>
      <c r="F4" s="197" t="s">
        <v>180</v>
      </c>
      <c r="G4" s="197" t="s">
        <v>363</v>
      </c>
      <c r="I4" s="3"/>
      <c r="K4" s="3"/>
      <c r="L4" s="3"/>
      <c r="O4" s="167"/>
      <c r="P4" s="167"/>
      <c r="Q4" s="167"/>
      <c r="R4" s="317" t="s">
        <v>368</v>
      </c>
      <c r="S4" s="317"/>
      <c r="T4" s="317"/>
      <c r="U4" s="317"/>
      <c r="V4" s="167"/>
    </row>
    <row r="5" spans="2:22" ht="14.5" customHeight="1" x14ac:dyDescent="0.2">
      <c r="B5" s="320"/>
      <c r="C5" s="148" t="s">
        <v>353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7"/>
      <c r="P5" s="167"/>
      <c r="Q5" s="167"/>
      <c r="R5" s="317"/>
      <c r="S5" s="317"/>
      <c r="T5" s="317"/>
      <c r="U5" s="317"/>
      <c r="V5" s="167"/>
    </row>
    <row r="6" spans="2:22" x14ac:dyDescent="0.2">
      <c r="B6" s="320"/>
      <c r="C6" s="150" t="s">
        <v>354</v>
      </c>
      <c r="D6" s="3">
        <f>Student_MEROI_Iron</f>
        <v>1.1688963753547168</v>
      </c>
      <c r="E6" s="3">
        <f>Student_IronExtraction</f>
        <v>0.53893601770787558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7"/>
      <c r="P6" s="167"/>
      <c r="Q6" s="167"/>
      <c r="R6" s="317"/>
      <c r="S6" s="317"/>
      <c r="T6" s="317"/>
      <c r="U6" s="317"/>
      <c r="V6" s="167"/>
    </row>
    <row r="7" spans="2:22" ht="16" thickBot="1" x14ac:dyDescent="0.25">
      <c r="B7" s="320"/>
      <c r="C7" s="149" t="s">
        <v>421</v>
      </c>
      <c r="D7" s="166">
        <f>Product_MEROI_Iron</f>
        <v>0.98147717979234761</v>
      </c>
      <c r="E7" s="3">
        <f>Product_IronExtraction</f>
        <v>0.45252377704390323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7"/>
      <c r="P7" s="167"/>
      <c r="Q7" s="167"/>
      <c r="R7" s="318"/>
      <c r="S7" s="318"/>
      <c r="T7" s="318"/>
      <c r="U7" s="318"/>
      <c r="V7" s="167"/>
    </row>
    <row r="8" spans="2:22" x14ac:dyDescent="0.2">
      <c r="C8" s="133" t="s">
        <v>349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7"/>
      <c r="P8" s="317" t="s">
        <v>367</v>
      </c>
      <c r="Q8" s="333"/>
      <c r="R8" s="335" t="s">
        <v>353</v>
      </c>
      <c r="S8" s="336"/>
      <c r="T8" s="321" t="s">
        <v>421</v>
      </c>
      <c r="U8" s="322"/>
      <c r="V8" s="167"/>
    </row>
    <row r="9" spans="2:22" x14ac:dyDescent="0.2">
      <c r="E9" s="3"/>
      <c r="F9" s="3"/>
      <c r="G9" s="3"/>
      <c r="H9" s="3"/>
      <c r="I9" s="3"/>
      <c r="L9" s="3"/>
      <c r="M9" s="3"/>
      <c r="O9" s="167"/>
      <c r="P9" s="317"/>
      <c r="Q9" s="333"/>
      <c r="R9" s="337"/>
      <c r="S9" s="338"/>
      <c r="T9" s="323"/>
      <c r="U9" s="324"/>
      <c r="V9" s="167"/>
    </row>
    <row r="10" spans="2:22" x14ac:dyDescent="0.2">
      <c r="L10" s="3"/>
      <c r="M10" s="3"/>
      <c r="O10" s="167"/>
      <c r="P10" s="317"/>
      <c r="Q10" s="333"/>
      <c r="R10" s="337"/>
      <c r="S10" s="338"/>
      <c r="T10" s="323"/>
      <c r="U10" s="324"/>
      <c r="V10" s="167"/>
    </row>
    <row r="11" spans="2:22" x14ac:dyDescent="0.2">
      <c r="B11" s="3"/>
      <c r="C11" s="3"/>
      <c r="D11" s="260" t="s">
        <v>321</v>
      </c>
      <c r="E11" s="260"/>
      <c r="F11" s="260"/>
      <c r="G11" s="260"/>
      <c r="H11" s="260"/>
      <c r="L11" s="3"/>
      <c r="M11" s="3"/>
      <c r="O11" s="167"/>
      <c r="P11" s="317"/>
      <c r="Q11" s="333"/>
      <c r="R11" s="337"/>
      <c r="S11" s="338"/>
      <c r="T11" s="323"/>
      <c r="U11" s="324"/>
      <c r="V11" s="167"/>
    </row>
    <row r="12" spans="2:22" x14ac:dyDescent="0.2">
      <c r="B12" s="3"/>
      <c r="C12" s="3"/>
      <c r="D12" s="315" t="s">
        <v>86</v>
      </c>
      <c r="E12" s="315"/>
      <c r="F12" s="315"/>
      <c r="G12" s="315"/>
      <c r="H12" s="315"/>
      <c r="L12" s="3"/>
      <c r="M12" s="3"/>
      <c r="O12" s="167"/>
      <c r="P12" s="334" t="s">
        <v>420</v>
      </c>
      <c r="Q12" s="333"/>
      <c r="R12" s="329" t="s">
        <v>320</v>
      </c>
      <c r="S12" s="330"/>
      <c r="T12" s="325" t="s">
        <v>354</v>
      </c>
      <c r="U12" s="326"/>
      <c r="V12" s="167"/>
    </row>
    <row r="13" spans="2:22" ht="14.5" customHeight="1" x14ac:dyDescent="0.2">
      <c r="B13" s="319" t="s">
        <v>21</v>
      </c>
      <c r="C13" s="3"/>
      <c r="D13" s="198" t="s">
        <v>377</v>
      </c>
      <c r="E13" s="198" t="s">
        <v>193</v>
      </c>
      <c r="F13" s="198" t="s">
        <v>180</v>
      </c>
      <c r="G13" s="198" t="s">
        <v>363</v>
      </c>
      <c r="H13" s="198" t="s">
        <v>364</v>
      </c>
      <c r="J13" s="3"/>
      <c r="L13" s="3"/>
      <c r="M13" s="3"/>
      <c r="O13" s="167"/>
      <c r="P13" s="317"/>
      <c r="Q13" s="333"/>
      <c r="R13" s="329"/>
      <c r="S13" s="330"/>
      <c r="T13" s="325"/>
      <c r="U13" s="326"/>
      <c r="V13" s="167"/>
    </row>
    <row r="14" spans="2:22" x14ac:dyDescent="0.2">
      <c r="B14" s="319"/>
      <c r="C14" s="148" t="s">
        <v>353</v>
      </c>
      <c r="D14" s="3">
        <f>Bejan_MEROI_Limestone</f>
        <v>74.139326198018011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102</v>
      </c>
      <c r="J14" s="3"/>
      <c r="L14" s="3"/>
      <c r="M14" s="3"/>
      <c r="O14" s="167"/>
      <c r="P14" s="317"/>
      <c r="Q14" s="333"/>
      <c r="R14" s="329"/>
      <c r="S14" s="330"/>
      <c r="T14" s="325"/>
      <c r="U14" s="326"/>
      <c r="V14" s="167"/>
    </row>
    <row r="15" spans="2:22" ht="16" thickBot="1" x14ac:dyDescent="0.25">
      <c r="B15" s="319"/>
      <c r="C15" s="150" t="s">
        <v>354</v>
      </c>
      <c r="D15" s="3">
        <f>Student_MEROI_Limestone</f>
        <v>90.879158583198233</v>
      </c>
      <c r="E15" s="3">
        <f>Student_LimeExtraction</f>
        <v>0.9891161389000479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4.8791498262811513E-3</v>
      </c>
      <c r="J15" s="3"/>
      <c r="L15" s="3"/>
      <c r="M15" s="3"/>
      <c r="O15" s="167"/>
      <c r="P15" s="317"/>
      <c r="Q15" s="333"/>
      <c r="R15" s="331"/>
      <c r="S15" s="332"/>
      <c r="T15" s="327"/>
      <c r="U15" s="328"/>
      <c r="V15" s="167"/>
    </row>
    <row r="16" spans="2:22" x14ac:dyDescent="0.2">
      <c r="B16" s="319"/>
      <c r="C16" s="149" t="s">
        <v>421</v>
      </c>
      <c r="D16" s="166">
        <f>Product_MEROI_Limestone</f>
        <v>78.771372051220894</v>
      </c>
      <c r="E16" s="3">
        <f>Product_LimeExtraction</f>
        <v>0.85733667205813602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2.2442181938382317E-4</v>
      </c>
      <c r="J16" s="3"/>
      <c r="L16" s="3"/>
      <c r="M16" s="3"/>
      <c r="O16" s="167"/>
      <c r="P16" s="167"/>
      <c r="Q16" s="167"/>
      <c r="R16" s="167"/>
      <c r="S16" s="167"/>
      <c r="T16" s="167"/>
      <c r="U16" s="167"/>
      <c r="V16" s="167"/>
    </row>
    <row r="17" spans="2:13" x14ac:dyDescent="0.2">
      <c r="C17" s="133" t="s">
        <v>349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260" t="s">
        <v>321</v>
      </c>
      <c r="E19" s="260"/>
      <c r="F19" s="260"/>
      <c r="G19" s="260"/>
      <c r="L19" s="3"/>
      <c r="M19" s="3"/>
    </row>
    <row r="20" spans="2:13" x14ac:dyDescent="0.2">
      <c r="B20" s="3"/>
      <c r="C20" s="3"/>
      <c r="D20" s="315" t="s">
        <v>86</v>
      </c>
      <c r="E20" s="315"/>
      <c r="F20" s="315"/>
      <c r="G20" s="315"/>
      <c r="K20" s="3"/>
      <c r="L20" s="3"/>
    </row>
    <row r="21" spans="2:13" x14ac:dyDescent="0.2">
      <c r="B21" s="316" t="s">
        <v>366</v>
      </c>
      <c r="C21" s="3"/>
      <c r="D21" s="157" t="s">
        <v>377</v>
      </c>
      <c r="E21" s="157" t="s">
        <v>193</v>
      </c>
      <c r="F21" s="157" t="s">
        <v>180</v>
      </c>
      <c r="G21" s="157" t="s">
        <v>392</v>
      </c>
      <c r="I21" s="3"/>
      <c r="K21" s="3"/>
      <c r="L21" s="3"/>
    </row>
    <row r="22" spans="2:13" x14ac:dyDescent="0.2">
      <c r="B22" s="316"/>
      <c r="C22" s="148" t="s">
        <v>353</v>
      </c>
      <c r="D22" s="3">
        <f>Bejan_MEROI_Coal</f>
        <v>86.018313920430629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316"/>
      <c r="C23" s="150" t="s">
        <v>354</v>
      </c>
      <c r="D23" s="3">
        <f>Student_MEROI_Coal</f>
        <v>85.986035184146729</v>
      </c>
      <c r="E23" s="3">
        <f>Student_CoalExtraction</f>
        <v>0.98850390182880465</v>
      </c>
      <c r="F23" s="3">
        <f>Student_CoalHauling</f>
        <v>0.98164569071456265</v>
      </c>
      <c r="G23" s="3">
        <f>Student_CokeBeneficiation</f>
        <v>1.2331665321430612</v>
      </c>
      <c r="I23" s="3"/>
      <c r="K23" s="3"/>
      <c r="L23" s="3"/>
    </row>
    <row r="24" spans="2:13" x14ac:dyDescent="0.2">
      <c r="B24" s="316"/>
      <c r="C24" s="149" t="s">
        <v>421</v>
      </c>
      <c r="D24" s="166">
        <f>Product_MEROI_Coal</f>
        <v>86.018346631358284</v>
      </c>
      <c r="E24" s="3">
        <f>Product_CoalExtraction</f>
        <v>0.98887535739800203</v>
      </c>
      <c r="F24" s="3">
        <f>Product_CoalHauling</f>
        <v>0.98201456913590202</v>
      </c>
      <c r="G24" s="3">
        <f>Product_CokeBeneficiation</f>
        <v>0.65650751162010967</v>
      </c>
      <c r="I24" s="3"/>
    </row>
    <row r="25" spans="2:13" x14ac:dyDescent="0.2">
      <c r="C25" s="133" t="s">
        <v>349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14" t="s">
        <v>417</v>
      </c>
      <c r="D30" s="196" t="s">
        <v>84</v>
      </c>
      <c r="E30" s="196" t="s">
        <v>365</v>
      </c>
    </row>
    <row r="31" spans="2:13" x14ac:dyDescent="0.2">
      <c r="B31" s="314"/>
      <c r="C31" s="148" t="s">
        <v>353</v>
      </c>
      <c r="D31" s="3" t="s">
        <v>102</v>
      </c>
      <c r="E31" s="3" t="str">
        <f>Bejan_BF</f>
        <v>[-]</v>
      </c>
    </row>
    <row r="32" spans="2:13" x14ac:dyDescent="0.2">
      <c r="B32" s="314"/>
      <c r="C32" s="150" t="s">
        <v>354</v>
      </c>
      <c r="D32" s="3">
        <f>Student_mixer</f>
        <v>0.99300939590335358</v>
      </c>
      <c r="E32" s="3">
        <f>Student_BF</f>
        <v>0.32463356388526649</v>
      </c>
    </row>
    <row r="33" spans="2:5" x14ac:dyDescent="0.2">
      <c r="B33" s="314"/>
      <c r="C33" s="149" t="s">
        <v>421</v>
      </c>
      <c r="D33" s="3">
        <f>Product_Mixer</f>
        <v>1.0717776463170951E-2</v>
      </c>
      <c r="E33" s="3">
        <f>Product_BF</f>
        <v>0.29481168927049028</v>
      </c>
    </row>
    <row r="34" spans="2:5" x14ac:dyDescent="0.2">
      <c r="C34" s="133" t="s">
        <v>349</v>
      </c>
      <c r="D34" s="3">
        <f>mass_bal_Mixer</f>
        <v>0</v>
      </c>
      <c r="E34" s="3">
        <f>mass_bal_BF</f>
        <v>0</v>
      </c>
    </row>
  </sheetData>
  <mergeCells count="18"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  <mergeCell ref="B30:B33"/>
    <mergeCell ref="D2:G2"/>
    <mergeCell ref="D3:G3"/>
    <mergeCell ref="D11:H11"/>
    <mergeCell ref="D12:H12"/>
    <mergeCell ref="D19:G19"/>
    <mergeCell ref="D20:G20"/>
    <mergeCell ref="B21:B24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339" t="s">
        <v>369</v>
      </c>
      <c r="F3" s="339"/>
      <c r="G3" s="339"/>
      <c r="H3"/>
      <c r="I3"/>
      <c r="L3" s="302" t="s">
        <v>465</v>
      </c>
      <c r="M3" s="302"/>
      <c r="N3" s="302"/>
      <c r="P3"/>
      <c r="T3" s="172" t="s">
        <v>464</v>
      </c>
    </row>
    <row r="4" spans="3:20" ht="16" thickBot="1" x14ac:dyDescent="0.25">
      <c r="E4" s="315" t="s">
        <v>12</v>
      </c>
      <c r="F4" s="315"/>
      <c r="G4" s="315"/>
      <c r="H4"/>
      <c r="I4"/>
      <c r="L4" s="315" t="s">
        <v>50</v>
      </c>
      <c r="M4" s="315"/>
      <c r="N4" s="315"/>
      <c r="P4"/>
      <c r="T4" s="3" t="s">
        <v>50</v>
      </c>
    </row>
    <row r="5" spans="3:20" ht="14.5" customHeight="1" thickBot="1" x14ac:dyDescent="0.25">
      <c r="C5" s="320" t="s">
        <v>4</v>
      </c>
      <c r="E5" s="153" t="s">
        <v>363</v>
      </c>
      <c r="F5" s="154" t="s">
        <v>84</v>
      </c>
      <c r="G5" s="155" t="s">
        <v>365</v>
      </c>
      <c r="L5" s="197" t="s">
        <v>193</v>
      </c>
      <c r="M5" s="197" t="s">
        <v>180</v>
      </c>
      <c r="N5" s="197" t="s">
        <v>363</v>
      </c>
      <c r="T5" s="244">
        <f>'Ore-&gt;PI'!EC119+'Ore-&gt;PI'!DI119+'Ore-&gt;PI'!BS118+'Ore-&gt;PI'!BA118+'Ore-&gt;PI'!AI118+'Ore-&gt;PI'!P118+'Ore-&gt;PI'!P46+'Ore-&gt;PI'!AH46+'Ore-&gt;PI'!AZ46+'Ore-&gt;PI'!BS180+'Ore-&gt;PI'!AI180+'Ore-&gt;PI'!Q180+'Ore-&gt;PI'!CL207+'Ore-&gt;PI'!BS180</f>
        <v>1076466926.0071301</v>
      </c>
    </row>
    <row r="6" spans="3:20" x14ac:dyDescent="0.2">
      <c r="C6" s="320"/>
      <c r="D6" s="156" t="s">
        <v>370</v>
      </c>
      <c r="E6" s="3">
        <f>Beneficiation_Iron_waste</f>
        <v>11.767466001905108</v>
      </c>
      <c r="F6" s="3" t="s">
        <v>102</v>
      </c>
      <c r="G6" s="3">
        <f>BF_SolidWaste</f>
        <v>229.94813284002646</v>
      </c>
      <c r="K6" s="241" t="s">
        <v>4</v>
      </c>
      <c r="L6" s="3">
        <f>B_lost_Iron_Ext</f>
        <v>0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20"/>
      <c r="D7" s="156" t="s">
        <v>25</v>
      </c>
      <c r="E7" s="3">
        <f>0</f>
        <v>0</v>
      </c>
      <c r="F7" s="3" t="s">
        <v>102</v>
      </c>
      <c r="G7" s="3">
        <f>BF_CO2Waste</f>
        <v>779.73256287133438</v>
      </c>
    </row>
    <row r="8" spans="3:20" x14ac:dyDescent="0.2">
      <c r="D8" s="3" t="s">
        <v>20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1009.6806957113608</v>
      </c>
    </row>
    <row r="9" spans="3:20" ht="17" x14ac:dyDescent="0.25">
      <c r="L9" s="302" t="s">
        <v>465</v>
      </c>
      <c r="M9" s="302"/>
      <c r="N9" s="302"/>
      <c r="O9" s="302"/>
    </row>
    <row r="10" spans="3:20" x14ac:dyDescent="0.2">
      <c r="E10" s="339" t="s">
        <v>369</v>
      </c>
      <c r="F10" s="339"/>
      <c r="L10" s="315" t="s">
        <v>50</v>
      </c>
      <c r="M10" s="315"/>
      <c r="N10" s="315"/>
      <c r="O10" s="315"/>
    </row>
    <row r="11" spans="3:20" x14ac:dyDescent="0.2">
      <c r="E11" s="315" t="s">
        <v>12</v>
      </c>
      <c r="F11" s="315"/>
      <c r="L11" s="198" t="s">
        <v>193</v>
      </c>
      <c r="M11" s="198" t="s">
        <v>180</v>
      </c>
      <c r="N11" s="198" t="s">
        <v>363</v>
      </c>
      <c r="O11" s="198" t="s">
        <v>364</v>
      </c>
      <c r="P11"/>
    </row>
    <row r="12" spans="3:20" x14ac:dyDescent="0.2">
      <c r="C12" s="319" t="s">
        <v>21</v>
      </c>
      <c r="E12" s="151" t="s">
        <v>363</v>
      </c>
      <c r="F12" s="152" t="s">
        <v>364</v>
      </c>
      <c r="K12" s="242" t="s">
        <v>21</v>
      </c>
      <c r="L12" s="3">
        <f>B_lost_lime_ext</f>
        <v>0</v>
      </c>
      <c r="M12" s="3">
        <f>B_lost_lime_haul</f>
        <v>0</v>
      </c>
      <c r="N12" s="3">
        <f>B_lost_lime_benef</f>
        <v>0</v>
      </c>
      <c r="O12" s="3">
        <f>B_lost_kiln</f>
        <v>5019650.0970400851</v>
      </c>
      <c r="P12"/>
    </row>
    <row r="13" spans="3:20" ht="14.5" customHeight="1" x14ac:dyDescent="0.2">
      <c r="C13" s="319"/>
      <c r="D13" s="156" t="s">
        <v>370</v>
      </c>
      <c r="E13" s="3" t="s">
        <v>102</v>
      </c>
      <c r="F13" s="3">
        <f>Kiln_SolidWaste</f>
        <v>4.9847525450981189</v>
      </c>
    </row>
    <row r="14" spans="3:20" ht="17" customHeight="1" x14ac:dyDescent="0.25">
      <c r="C14" s="319"/>
      <c r="D14" s="156" t="s">
        <v>25</v>
      </c>
      <c r="E14" s="3" t="s">
        <v>102</v>
      </c>
      <c r="F14" s="3">
        <f>Kiln_CO2Waste</f>
        <v>258.78111600158365</v>
      </c>
      <c r="L14" s="302" t="s">
        <v>465</v>
      </c>
      <c r="M14" s="302"/>
      <c r="N14" s="302"/>
    </row>
    <row r="15" spans="3:20" x14ac:dyDescent="0.2">
      <c r="C15" s="319"/>
      <c r="D15" s="3" t="s">
        <v>20</v>
      </c>
      <c r="E15" s="17">
        <f>SUM(E13:E14)</f>
        <v>0</v>
      </c>
      <c r="F15" s="17">
        <f>SUM(F13:F14)</f>
        <v>263.76586854668176</v>
      </c>
      <c r="L15" s="315" t="s">
        <v>50</v>
      </c>
      <c r="M15" s="315"/>
      <c r="N15" s="315"/>
    </row>
    <row r="16" spans="3:20" x14ac:dyDescent="0.2">
      <c r="L16" s="157" t="s">
        <v>193</v>
      </c>
      <c r="M16" s="157" t="s">
        <v>180</v>
      </c>
      <c r="N16" s="157" t="s">
        <v>392</v>
      </c>
    </row>
    <row r="17" spans="3:16" x14ac:dyDescent="0.2">
      <c r="K17" s="243" t="s">
        <v>366</v>
      </c>
      <c r="L17" s="3">
        <f>B_lost_coal_ext</f>
        <v>0</v>
      </c>
      <c r="M17" s="3">
        <f>B_lost_coal_haul</f>
        <v>0</v>
      </c>
      <c r="N17" s="3">
        <f>B_lost_coke_oven</f>
        <v>29926.721010376772</v>
      </c>
    </row>
    <row r="18" spans="3:16" x14ac:dyDescent="0.2">
      <c r="E18" s="172" t="s">
        <v>369</v>
      </c>
    </row>
    <row r="19" spans="3:16" ht="17" x14ac:dyDescent="0.25">
      <c r="E19" s="28" t="s">
        <v>12</v>
      </c>
      <c r="L19" s="302" t="s">
        <v>465</v>
      </c>
      <c r="M19" s="302"/>
    </row>
    <row r="20" spans="3:16" x14ac:dyDescent="0.2">
      <c r="C20" s="316" t="s">
        <v>366</v>
      </c>
      <c r="E20" s="157" t="s">
        <v>363</v>
      </c>
      <c r="L20" s="315" t="s">
        <v>50</v>
      </c>
      <c r="M20" s="315"/>
    </row>
    <row r="21" spans="3:16" ht="14.5" customHeight="1" x14ac:dyDescent="0.2">
      <c r="C21" s="316"/>
      <c r="D21" s="156" t="s">
        <v>370</v>
      </c>
      <c r="E21" s="3">
        <f>Beneficiation_CoalWaste</f>
        <v>18.493734420766422</v>
      </c>
      <c r="L21" s="196" t="s">
        <v>84</v>
      </c>
      <c r="M21" s="196" t="s">
        <v>365</v>
      </c>
      <c r="P21"/>
    </row>
    <row r="22" spans="3:16" ht="17" customHeight="1" x14ac:dyDescent="0.25">
      <c r="C22" s="316"/>
      <c r="D22" s="156" t="s">
        <v>25</v>
      </c>
      <c r="E22" s="3" t="s">
        <v>102</v>
      </c>
      <c r="K22" s="240" t="s">
        <v>417</v>
      </c>
      <c r="L22" s="3">
        <f>B_lost_mixer</f>
        <v>0</v>
      </c>
      <c r="M22" s="3">
        <f>B_lost_blast_furnace</f>
        <v>420594.69405353453</v>
      </c>
    </row>
    <row r="23" spans="3:16" x14ac:dyDescent="0.2">
      <c r="C23" s="316"/>
      <c r="D23" s="3" t="s">
        <v>20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7" zoomScaleNormal="100" workbookViewId="0">
      <selection activeCell="Q54" sqref="Q54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259" t="s">
        <v>73</v>
      </c>
      <c r="I2" s="259"/>
      <c r="J2" s="259"/>
      <c r="K2" s="259"/>
      <c r="L2" s="259"/>
      <c r="M2" s="259"/>
    </row>
    <row r="3" spans="3:69" ht="18" x14ac:dyDescent="0.25">
      <c r="C3" s="13" t="s">
        <v>68</v>
      </c>
      <c r="D3" s="13" t="s">
        <v>74</v>
      </c>
      <c r="E3" s="20" t="s">
        <v>75</v>
      </c>
      <c r="F3" s="20" t="s">
        <v>76</v>
      </c>
      <c r="H3" s="259" t="s">
        <v>77</v>
      </c>
      <c r="I3" s="259"/>
      <c r="J3" s="259"/>
      <c r="K3" s="13"/>
      <c r="L3" s="264" t="s">
        <v>78</v>
      </c>
      <c r="M3" s="264"/>
      <c r="N3" s="7"/>
      <c r="AN3" s="341" t="s">
        <v>81</v>
      </c>
      <c r="AO3" s="341"/>
      <c r="AP3" s="341"/>
      <c r="AQ3" s="341"/>
      <c r="AR3" s="341"/>
      <c r="AS3" s="341"/>
      <c r="AT3" s="341"/>
      <c r="AU3" s="341"/>
      <c r="AV3" s="341"/>
      <c r="AW3" s="341"/>
      <c r="AX3" s="341"/>
      <c r="AY3" s="341"/>
      <c r="AZ3" s="341"/>
      <c r="BA3" s="341"/>
      <c r="BB3" s="341"/>
      <c r="BC3" s="341"/>
      <c r="BD3" s="341"/>
      <c r="BE3" s="341"/>
      <c r="BF3" s="341"/>
      <c r="BG3" s="341"/>
      <c r="BH3" s="341"/>
      <c r="BI3" s="341"/>
      <c r="BJ3" s="341"/>
      <c r="BK3" s="341"/>
    </row>
    <row r="4" spans="3:69" ht="17" x14ac:dyDescent="0.25">
      <c r="C4" s="13" t="s">
        <v>12</v>
      </c>
      <c r="D4" s="13" t="s">
        <v>79</v>
      </c>
      <c r="E4" s="13"/>
      <c r="F4" s="13"/>
      <c r="AN4" s="341"/>
      <c r="AO4" s="341"/>
      <c r="AP4" s="341"/>
      <c r="AQ4" s="341"/>
      <c r="AR4" s="341"/>
      <c r="AS4" s="341"/>
      <c r="AT4" s="341"/>
      <c r="AU4" s="341"/>
      <c r="AV4" s="341"/>
      <c r="AW4" s="341"/>
      <c r="AX4" s="341"/>
      <c r="AY4" s="341"/>
      <c r="AZ4" s="341"/>
      <c r="BA4" s="341"/>
      <c r="BB4" s="341"/>
      <c r="BC4" s="341"/>
      <c r="BD4" s="341"/>
      <c r="BE4" s="341"/>
      <c r="BF4" s="341"/>
      <c r="BG4" s="341"/>
      <c r="BH4" s="341"/>
      <c r="BI4" s="341"/>
      <c r="BJ4" s="341"/>
      <c r="BK4" s="34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25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259"/>
      <c r="J5" s="259"/>
      <c r="K5" s="259"/>
      <c r="L5" s="259"/>
      <c r="M5" s="259"/>
      <c r="AN5" s="341"/>
      <c r="AO5" s="341"/>
      <c r="AP5" s="341"/>
      <c r="AQ5" s="341"/>
      <c r="AR5" s="341"/>
      <c r="AS5" s="341"/>
      <c r="AT5" s="341"/>
      <c r="AU5" s="341"/>
      <c r="AV5" s="341"/>
      <c r="AW5" s="341"/>
      <c r="AX5" s="341"/>
      <c r="AY5" s="341"/>
      <c r="AZ5" s="341"/>
      <c r="BA5" s="341"/>
      <c r="BB5" s="341"/>
      <c r="BC5" s="341"/>
      <c r="BD5" s="341"/>
      <c r="BE5" s="341"/>
      <c r="BF5" s="341"/>
      <c r="BG5" s="341"/>
      <c r="BH5" s="341"/>
      <c r="BI5" s="341"/>
      <c r="BJ5" s="341"/>
      <c r="BK5" s="34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34</v>
      </c>
      <c r="G10" s="3" t="s">
        <v>41</v>
      </c>
      <c r="H10" s="3" t="s">
        <v>46</v>
      </c>
      <c r="L10" s="25" t="s">
        <v>3</v>
      </c>
      <c r="M10" s="3" t="s">
        <v>1</v>
      </c>
      <c r="N10" s="3" t="s">
        <v>5</v>
      </c>
      <c r="O10" s="3" t="s">
        <v>34</v>
      </c>
      <c r="P10" s="3" t="s">
        <v>41</v>
      </c>
      <c r="Q10" s="3" t="s">
        <v>46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340">
        <v>6</v>
      </c>
      <c r="BJ10" s="340"/>
      <c r="BK10" s="340"/>
      <c r="BL10" s="340"/>
      <c r="BM10" s="340"/>
      <c r="BN10" s="340"/>
      <c r="BO10" s="340"/>
      <c r="BP10" s="340"/>
      <c r="BQ10" s="340"/>
    </row>
    <row r="11" spans="3:69" ht="18" x14ac:dyDescent="0.25">
      <c r="C11" s="13" t="s">
        <v>43</v>
      </c>
      <c r="D11" s="13" t="s">
        <v>12</v>
      </c>
      <c r="E11" s="19" t="s">
        <v>88</v>
      </c>
      <c r="F11" s="13" t="s">
        <v>44</v>
      </c>
      <c r="G11" s="13" t="s">
        <v>45</v>
      </c>
      <c r="H11" s="13" t="s">
        <v>72</v>
      </c>
      <c r="I11" s="34" t="s">
        <v>80</v>
      </c>
      <c r="L11" s="13" t="s">
        <v>43</v>
      </c>
      <c r="M11" s="13" t="s">
        <v>12</v>
      </c>
      <c r="N11" s="19" t="s">
        <v>88</v>
      </c>
      <c r="O11" s="13" t="s">
        <v>44</v>
      </c>
      <c r="P11" s="13" t="s">
        <v>45</v>
      </c>
      <c r="Q11" s="13"/>
      <c r="R11" s="34" t="s">
        <v>80</v>
      </c>
      <c r="BI11" s="340"/>
      <c r="BJ11" s="340"/>
      <c r="BK11" s="340"/>
      <c r="BL11" s="340"/>
      <c r="BM11" s="340"/>
      <c r="BN11" s="340"/>
      <c r="BO11" s="340"/>
      <c r="BP11" s="340"/>
      <c r="BQ11" s="340"/>
    </row>
    <row r="12" spans="3:69" ht="18" x14ac:dyDescent="0.25">
      <c r="C12" s="13" t="s">
        <v>68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35</v>
      </c>
      <c r="I12" s="52">
        <f>F12/D5</f>
        <v>1</v>
      </c>
      <c r="L12" s="20" t="s">
        <v>67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37</v>
      </c>
      <c r="R12" s="3">
        <f>I12</f>
        <v>1</v>
      </c>
    </row>
    <row r="13" spans="3:69" ht="19" thickBot="1" x14ac:dyDescent="0.3">
      <c r="C13" s="20" t="s">
        <v>26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36</v>
      </c>
      <c r="I13" s="3">
        <f>E5*I12</f>
        <v>2</v>
      </c>
      <c r="L13" s="13" t="s">
        <v>71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38</v>
      </c>
      <c r="R13" s="3">
        <f>2*I12</f>
        <v>2</v>
      </c>
    </row>
    <row r="14" spans="3:69" ht="18" x14ac:dyDescent="0.25">
      <c r="C14" s="39" t="s">
        <v>70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210</v>
      </c>
      <c r="I14" s="71">
        <f>I13*F5</f>
        <v>7.52</v>
      </c>
      <c r="L14" s="39" t="s">
        <v>70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39</v>
      </c>
      <c r="R14" s="3">
        <f>I14</f>
        <v>7.52</v>
      </c>
      <c r="BN14" s="74" t="s">
        <v>185</v>
      </c>
      <c r="BO14" s="63" t="s">
        <v>217</v>
      </c>
      <c r="BP14" s="70" t="s">
        <v>218</v>
      </c>
      <c r="BQ14" s="58" t="s">
        <v>219</v>
      </c>
    </row>
    <row r="15" spans="3:69" ht="18" x14ac:dyDescent="0.25">
      <c r="C15" s="17" t="s">
        <v>20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20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211</v>
      </c>
      <c r="BO15" s="49" t="s">
        <v>66</v>
      </c>
      <c r="BP15" s="68" t="s">
        <v>93</v>
      </c>
      <c r="BQ15" s="64" t="s">
        <v>97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342" t="s">
        <v>116</v>
      </c>
    </row>
    <row r="18" spans="3:87" ht="18.5" customHeight="1" x14ac:dyDescent="0.25">
      <c r="BI18" s="342"/>
      <c r="BK18" s="1" t="s">
        <v>188</v>
      </c>
      <c r="BL18" s="1" t="s">
        <v>5</v>
      </c>
      <c r="BM18" s="1" t="s">
        <v>89</v>
      </c>
      <c r="BN18" s="3" t="s">
        <v>154</v>
      </c>
      <c r="BO18" s="3" t="s">
        <v>214</v>
      </c>
      <c r="BP18" s="3" t="s">
        <v>215</v>
      </c>
      <c r="BQ18" s="3" t="s">
        <v>216</v>
      </c>
    </row>
    <row r="19" spans="3:87" ht="18" x14ac:dyDescent="0.25">
      <c r="BI19" s="342"/>
      <c r="BK19" s="1" t="s">
        <v>92</v>
      </c>
      <c r="BL19" s="1" t="s">
        <v>94</v>
      </c>
      <c r="BM19" s="2" t="s">
        <v>90</v>
      </c>
      <c r="BN19" s="4" t="s">
        <v>110</v>
      </c>
      <c r="BO19" s="4" t="s">
        <v>110</v>
      </c>
      <c r="BP19" s="3" t="s">
        <v>115</v>
      </c>
      <c r="BQ19" s="3" t="s">
        <v>115</v>
      </c>
    </row>
    <row r="20" spans="3:87" ht="17" x14ac:dyDescent="0.25">
      <c r="BI20" s="342"/>
      <c r="BJ20" s="26" t="s">
        <v>25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342"/>
      <c r="BJ21" s="24" t="s">
        <v>71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342"/>
      <c r="BJ22" s="59" t="s">
        <v>70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20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93</v>
      </c>
      <c r="BL24" s="3" t="s">
        <v>95</v>
      </c>
      <c r="BM24" s="3" t="s">
        <v>91</v>
      </c>
      <c r="BP24" s="1" t="s">
        <v>97</v>
      </c>
      <c r="BQ24" s="1" t="s">
        <v>97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345">
        <v>1</v>
      </c>
      <c r="D28" s="345"/>
      <c r="E28" s="345"/>
      <c r="F28" s="345"/>
      <c r="G28" s="345"/>
      <c r="H28" s="345"/>
      <c r="I28" s="345"/>
      <c r="J28" s="345"/>
      <c r="K28" s="345"/>
      <c r="L28" s="345"/>
      <c r="M28" s="345"/>
      <c r="N28" s="345"/>
      <c r="O28" s="345"/>
      <c r="P28" s="1"/>
      <c r="Q28" s="1"/>
      <c r="R28" s="1"/>
      <c r="S28" s="1"/>
      <c r="T28" s="1"/>
      <c r="U28" s="1"/>
      <c r="V28" s="1"/>
      <c r="W28" s="344">
        <v>3</v>
      </c>
      <c r="X28" s="344"/>
      <c r="Y28" s="344"/>
      <c r="Z28" s="344"/>
      <c r="AA28" s="344"/>
      <c r="AB28" s="344"/>
      <c r="AC28" s="344"/>
      <c r="AD28" s="344"/>
      <c r="AE28" s="344"/>
      <c r="AF28" s="344"/>
      <c r="AG28" s="34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345">
        <v>4</v>
      </c>
      <c r="AU28" s="345"/>
      <c r="AV28" s="345"/>
      <c r="AW28" s="345"/>
      <c r="AX28" s="345"/>
      <c r="AY28" s="345"/>
      <c r="AZ28" s="345"/>
      <c r="BA28" s="345"/>
      <c r="BB28" s="345"/>
      <c r="BC28" s="345"/>
      <c r="BD28" s="345"/>
      <c r="BE28" s="345"/>
      <c r="BF28" s="345"/>
      <c r="BG28" s="345"/>
      <c r="BH28" s="345"/>
      <c r="BI28" s="345"/>
      <c r="BT28" s="345">
        <v>5</v>
      </c>
      <c r="BU28" s="345"/>
      <c r="BV28" s="345"/>
      <c r="BW28" s="345"/>
      <c r="BX28" s="345"/>
      <c r="BY28" s="345"/>
      <c r="BZ28" s="345"/>
      <c r="CA28" s="345"/>
      <c r="CB28" s="345"/>
      <c r="CC28" s="345"/>
      <c r="CD28" s="345"/>
      <c r="CE28" s="345"/>
      <c r="CF28" s="345"/>
      <c r="CG28" s="345"/>
      <c r="CH28" s="345"/>
      <c r="CI28" s="345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185</v>
      </c>
      <c r="L31" s="63" t="s">
        <v>166</v>
      </c>
      <c r="M31" s="70" t="s">
        <v>167</v>
      </c>
      <c r="N31" s="163" t="s">
        <v>164</v>
      </c>
      <c r="O31" s="157" t="s">
        <v>357</v>
      </c>
      <c r="P31" s="164" t="s">
        <v>326</v>
      </c>
      <c r="Q31" s="164" t="s">
        <v>320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211</v>
      </c>
      <c r="L32" s="49" t="s">
        <v>66</v>
      </c>
      <c r="M32" s="38" t="s">
        <v>12</v>
      </c>
      <c r="N32" s="3" t="s">
        <v>50</v>
      </c>
      <c r="O32" s="157" t="s">
        <v>358</v>
      </c>
      <c r="P32" s="164" t="s">
        <v>102</v>
      </c>
      <c r="Q32" s="164" t="s">
        <v>50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9">
        <f>N37</f>
        <v>51848.933724620947</v>
      </c>
      <c r="O33" s="157">
        <v>50000</v>
      </c>
      <c r="P33" s="165">
        <f>1.036978</f>
        <v>1.036978</v>
      </c>
      <c r="Q33" s="165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287" t="s">
        <v>82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287"/>
      <c r="D35" s="1"/>
      <c r="E35" s="1" t="s">
        <v>135</v>
      </c>
      <c r="F35" s="1" t="s">
        <v>5</v>
      </c>
      <c r="G35" s="1" t="s">
        <v>134</v>
      </c>
      <c r="H35" s="1" t="s">
        <v>136</v>
      </c>
      <c r="I35" s="1" t="s">
        <v>133</v>
      </c>
      <c r="J35" s="1" t="s">
        <v>9</v>
      </c>
      <c r="K35" s="1" t="s">
        <v>137</v>
      </c>
      <c r="L35" s="1" t="s">
        <v>138</v>
      </c>
      <c r="M35" s="1" t="s">
        <v>139</v>
      </c>
      <c r="N35" s="1" t="s">
        <v>140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287"/>
      <c r="D36" s="1"/>
      <c r="E36" s="1" t="s">
        <v>92</v>
      </c>
      <c r="F36" s="1" t="s">
        <v>94</v>
      </c>
      <c r="G36" s="2" t="s">
        <v>90</v>
      </c>
      <c r="H36" s="2" t="s">
        <v>99</v>
      </c>
      <c r="I36" s="2" t="s">
        <v>27</v>
      </c>
      <c r="J36" s="1" t="s">
        <v>102</v>
      </c>
      <c r="K36" s="2" t="s">
        <v>99</v>
      </c>
      <c r="L36" s="2" t="s">
        <v>99</v>
      </c>
      <c r="M36" s="2" t="s">
        <v>98</v>
      </c>
      <c r="N36" s="1" t="s">
        <v>96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185</v>
      </c>
      <c r="AE36" s="63" t="s">
        <v>170</v>
      </c>
      <c r="AF36" s="70" t="s">
        <v>171</v>
      </c>
      <c r="AG36" s="58" t="s">
        <v>172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185</v>
      </c>
      <c r="BF36" s="10" t="s">
        <v>103</v>
      </c>
      <c r="BG36" s="63" t="s">
        <v>173</v>
      </c>
      <c r="BH36" s="70" t="s">
        <v>174</v>
      </c>
      <c r="BI36" s="58" t="s">
        <v>175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185</v>
      </c>
      <c r="CG36" s="63" t="s">
        <v>189</v>
      </c>
      <c r="CH36" s="70" t="s">
        <v>190</v>
      </c>
      <c r="CI36" s="58" t="s">
        <v>213</v>
      </c>
    </row>
    <row r="37" spans="3:87" ht="17" customHeight="1" x14ac:dyDescent="0.25">
      <c r="C37" s="287"/>
      <c r="D37" s="13" t="s">
        <v>68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211</v>
      </c>
      <c r="AE37" s="49" t="s">
        <v>66</v>
      </c>
      <c r="AF37" s="38" t="s">
        <v>12</v>
      </c>
      <c r="AG37" s="47" t="s">
        <v>50</v>
      </c>
      <c r="AI37" s="1"/>
      <c r="AJ37" s="343" t="s">
        <v>83</v>
      </c>
      <c r="AK37" s="343"/>
      <c r="AL37" s="343"/>
      <c r="AM37" s="343"/>
      <c r="AN37" s="343"/>
      <c r="AO37" s="343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211</v>
      </c>
      <c r="BF37" s="11" t="s">
        <v>66</v>
      </c>
      <c r="BG37" s="49" t="s">
        <v>66</v>
      </c>
      <c r="BH37" s="68" t="s">
        <v>93</v>
      </c>
      <c r="BI37" s="64" t="s">
        <v>97</v>
      </c>
      <c r="BM37" s="57"/>
      <c r="BS37" s="1"/>
      <c r="BT37" s="1"/>
      <c r="BU37" s="1"/>
      <c r="BV37" s="1"/>
      <c r="BW37" s="1"/>
      <c r="BX37" s="1"/>
      <c r="CF37" s="75" t="s">
        <v>211</v>
      </c>
      <c r="CG37" s="49" t="s">
        <v>66</v>
      </c>
      <c r="CH37" s="68" t="s">
        <v>93</v>
      </c>
      <c r="CI37" s="64" t="s">
        <v>97</v>
      </c>
    </row>
    <row r="38" spans="3:87" ht="15.5" customHeight="1" thickBot="1" x14ac:dyDescent="0.25">
      <c r="C38" s="45"/>
      <c r="D38" s="1" t="s">
        <v>20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343" t="s">
        <v>84</v>
      </c>
      <c r="S38" s="343"/>
      <c r="T38" s="343"/>
      <c r="U38" s="343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343"/>
      <c r="AK38" s="343"/>
      <c r="AL38" s="343"/>
      <c r="AM38" s="343"/>
      <c r="AN38" s="343"/>
      <c r="AO38" s="343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343" t="s">
        <v>101</v>
      </c>
      <c r="BM38" s="343"/>
      <c r="BN38" s="343"/>
      <c r="BO38" s="343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93</v>
      </c>
      <c r="F39" s="3" t="s">
        <v>95</v>
      </c>
      <c r="G39" s="3" t="s">
        <v>91</v>
      </c>
      <c r="H39" s="4"/>
      <c r="I39" s="4"/>
      <c r="M39" s="3" t="s">
        <v>100</v>
      </c>
      <c r="N39" s="1" t="s">
        <v>97</v>
      </c>
      <c r="O39" s="1"/>
      <c r="P39" s="1"/>
      <c r="Q39" s="1"/>
      <c r="R39" s="343"/>
      <c r="S39" s="343"/>
      <c r="T39" s="343"/>
      <c r="U39" s="343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343"/>
      <c r="AK39" s="343"/>
      <c r="AL39" s="343"/>
      <c r="AM39" s="343"/>
      <c r="AN39" s="343"/>
      <c r="AO39" s="343"/>
      <c r="AP39" s="51"/>
      <c r="AQ39" s="51"/>
      <c r="AR39" s="1"/>
      <c r="AS39" s="1"/>
      <c r="AT39" s="1"/>
      <c r="AU39" s="1"/>
      <c r="AV39" s="1"/>
      <c r="AW39" s="1"/>
      <c r="AX39" s="1"/>
      <c r="BL39" s="343"/>
      <c r="BM39" s="343"/>
      <c r="BN39" s="343"/>
      <c r="BO39" s="343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343"/>
      <c r="S40" s="343"/>
      <c r="T40" s="343"/>
      <c r="U40" s="343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343"/>
      <c r="AK40" s="343"/>
      <c r="AL40" s="343"/>
      <c r="AM40" s="343"/>
      <c r="AN40" s="343"/>
      <c r="AO40" s="343"/>
      <c r="AP40" s="51"/>
      <c r="AQ40" s="51"/>
      <c r="AR40" s="1"/>
      <c r="AS40" s="56"/>
      <c r="AT40" s="1"/>
      <c r="AU40" s="1"/>
      <c r="AV40" s="1"/>
      <c r="AW40" s="1"/>
      <c r="AX40" s="1"/>
      <c r="BL40" s="343"/>
      <c r="BM40" s="343"/>
      <c r="BN40" s="343"/>
      <c r="BO40" s="343"/>
      <c r="BS40" s="1"/>
      <c r="BT40" s="1"/>
      <c r="BU40" s="1" t="s">
        <v>188</v>
      </c>
      <c r="BV40" s="1" t="s">
        <v>5</v>
      </c>
      <c r="BW40" s="1" t="s">
        <v>89</v>
      </c>
      <c r="BX40" s="1" t="s">
        <v>220</v>
      </c>
      <c r="BY40" s="1" t="s">
        <v>221</v>
      </c>
      <c r="BZ40" s="1" t="s">
        <v>9</v>
      </c>
      <c r="CA40" s="1" t="s">
        <v>222</v>
      </c>
      <c r="CB40" s="1" t="s">
        <v>223</v>
      </c>
      <c r="CC40" s="3" t="s">
        <v>214</v>
      </c>
      <c r="CD40" s="3" t="s">
        <v>224</v>
      </c>
      <c r="CE40" s="3" t="s">
        <v>107</v>
      </c>
      <c r="CF40" s="3" t="s">
        <v>108</v>
      </c>
      <c r="CG40" s="1" t="s">
        <v>225</v>
      </c>
      <c r="CH40" s="1" t="s">
        <v>226</v>
      </c>
      <c r="CI40" s="1" t="s">
        <v>227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148</v>
      </c>
      <c r="Y41" s="1" t="s">
        <v>5</v>
      </c>
      <c r="Z41" s="1" t="s">
        <v>89</v>
      </c>
      <c r="AA41" s="1" t="s">
        <v>149</v>
      </c>
      <c r="AB41" s="1" t="s">
        <v>150</v>
      </c>
      <c r="AC41" s="1" t="s">
        <v>9</v>
      </c>
      <c r="AD41" s="1" t="s">
        <v>151</v>
      </c>
      <c r="AE41" s="1" t="s">
        <v>152</v>
      </c>
      <c r="AF41" s="1" t="s">
        <v>212</v>
      </c>
      <c r="AG41" s="1" t="s">
        <v>153</v>
      </c>
      <c r="AH41" s="1"/>
      <c r="AI41" s="1"/>
      <c r="AJ41" s="343"/>
      <c r="AK41" s="343"/>
      <c r="AL41" s="343"/>
      <c r="AM41" s="343"/>
      <c r="AN41" s="343"/>
      <c r="AO41" s="343"/>
      <c r="AP41" s="1"/>
      <c r="AQ41" s="1"/>
      <c r="AR41" s="1"/>
      <c r="AS41" s="56"/>
      <c r="AT41" s="1"/>
      <c r="AU41" s="1" t="s">
        <v>163</v>
      </c>
      <c r="AV41" s="1" t="s">
        <v>5</v>
      </c>
      <c r="AW41" s="1" t="s">
        <v>89</v>
      </c>
      <c r="AX41" s="1" t="s">
        <v>162</v>
      </c>
      <c r="AY41" s="1" t="s">
        <v>161</v>
      </c>
      <c r="AZ41" s="1" t="s">
        <v>9</v>
      </c>
      <c r="BA41" s="1" t="s">
        <v>160</v>
      </c>
      <c r="BB41" s="1" t="s">
        <v>159</v>
      </c>
      <c r="BC41" s="3" t="s">
        <v>154</v>
      </c>
      <c r="BD41" s="3" t="s">
        <v>155</v>
      </c>
      <c r="BE41" s="3" t="s">
        <v>107</v>
      </c>
      <c r="BF41" s="3" t="s">
        <v>108</v>
      </c>
      <c r="BG41" s="1" t="s">
        <v>158</v>
      </c>
      <c r="BH41" s="1" t="s">
        <v>156</v>
      </c>
      <c r="BI41" s="1" t="s">
        <v>157</v>
      </c>
      <c r="BJ41" s="1"/>
      <c r="BM41" s="57"/>
      <c r="BQ41" s="1"/>
      <c r="BR41" s="1"/>
      <c r="BS41" s="1"/>
      <c r="BT41" s="1"/>
      <c r="BU41" s="1" t="s">
        <v>92</v>
      </c>
      <c r="BV41" s="1" t="s">
        <v>94</v>
      </c>
      <c r="BW41" s="2" t="s">
        <v>90</v>
      </c>
      <c r="BX41" s="2" t="s">
        <v>99</v>
      </c>
      <c r="BY41" s="2" t="s">
        <v>27</v>
      </c>
      <c r="BZ41" s="2" t="s">
        <v>102</v>
      </c>
      <c r="CA41" s="2" t="s">
        <v>99</v>
      </c>
      <c r="CB41" s="2" t="s">
        <v>99</v>
      </c>
      <c r="CC41" s="4" t="s">
        <v>110</v>
      </c>
      <c r="CD41" s="4" t="s">
        <v>109</v>
      </c>
      <c r="CE41" s="4" t="s">
        <v>110</v>
      </c>
      <c r="CF41" s="4" t="s">
        <v>109</v>
      </c>
      <c r="CG41" s="4" t="s">
        <v>110</v>
      </c>
      <c r="CH41" s="1" t="s">
        <v>98</v>
      </c>
      <c r="CI41" s="1" t="s">
        <v>96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10" t="s">
        <v>330</v>
      </c>
      <c r="S42" s="136" t="s">
        <v>360</v>
      </c>
      <c r="T42" s="281" t="s">
        <v>356</v>
      </c>
      <c r="U42" s="103" t="s">
        <v>321</v>
      </c>
      <c r="V42" s="1"/>
      <c r="W42" s="7"/>
      <c r="X42" s="1" t="s">
        <v>92</v>
      </c>
      <c r="Y42" s="1" t="s">
        <v>94</v>
      </c>
      <c r="Z42" s="2" t="s">
        <v>90</v>
      </c>
      <c r="AA42" s="2" t="s">
        <v>99</v>
      </c>
      <c r="AB42" s="2" t="s">
        <v>27</v>
      </c>
      <c r="AC42" s="1" t="s">
        <v>102</v>
      </c>
      <c r="AD42" s="2" t="s">
        <v>99</v>
      </c>
      <c r="AE42" s="2" t="s">
        <v>99</v>
      </c>
      <c r="AF42" s="2" t="s">
        <v>98</v>
      </c>
      <c r="AG42" s="1" t="s">
        <v>96</v>
      </c>
      <c r="AH42" s="1"/>
      <c r="AI42" s="1"/>
      <c r="AJ42" s="343"/>
      <c r="AK42" s="343"/>
      <c r="AL42" s="343"/>
      <c r="AM42" s="343"/>
      <c r="AN42" s="343"/>
      <c r="AO42" s="343"/>
      <c r="AP42" s="1"/>
      <c r="AQ42" s="1"/>
      <c r="AR42" s="1"/>
      <c r="AS42" s="56"/>
      <c r="AT42" s="1"/>
      <c r="AU42" s="1" t="s">
        <v>92</v>
      </c>
      <c r="AV42" s="1" t="s">
        <v>94</v>
      </c>
      <c r="AW42" s="2" t="s">
        <v>90</v>
      </c>
      <c r="AX42" s="2" t="s">
        <v>99</v>
      </c>
      <c r="AY42" s="2" t="s">
        <v>27</v>
      </c>
      <c r="AZ42" s="2" t="s">
        <v>102</v>
      </c>
      <c r="BA42" s="2" t="s">
        <v>99</v>
      </c>
      <c r="BB42" s="2" t="s">
        <v>99</v>
      </c>
      <c r="BC42" s="4" t="s">
        <v>110</v>
      </c>
      <c r="BD42" s="4" t="s">
        <v>109</v>
      </c>
      <c r="BE42" s="4" t="s">
        <v>110</v>
      </c>
      <c r="BF42" s="4" t="s">
        <v>109</v>
      </c>
      <c r="BG42" s="4" t="s">
        <v>110</v>
      </c>
      <c r="BH42" s="1" t="s">
        <v>98</v>
      </c>
      <c r="BI42" s="1" t="s">
        <v>96</v>
      </c>
      <c r="BJ42" s="1"/>
      <c r="BL42" s="110" t="s">
        <v>330</v>
      </c>
      <c r="BM42" s="136" t="s">
        <v>360</v>
      </c>
      <c r="BN42" s="284" t="s">
        <v>356</v>
      </c>
      <c r="BO42" s="103" t="s">
        <v>321</v>
      </c>
      <c r="BQ42" s="1"/>
      <c r="BR42" s="1"/>
      <c r="BS42" s="1"/>
      <c r="BT42" s="26" t="s">
        <v>25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2" t="s">
        <v>50</v>
      </c>
      <c r="S43" s="6" t="s">
        <v>328</v>
      </c>
      <c r="T43" s="282"/>
      <c r="U43" s="104" t="s">
        <v>50</v>
      </c>
      <c r="V43" s="1"/>
      <c r="W43" s="13" t="s">
        <v>68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25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2" t="s">
        <v>50</v>
      </c>
      <c r="BM43" s="6" t="s">
        <v>328</v>
      </c>
      <c r="BN43" s="285"/>
      <c r="BO43" s="104" t="s">
        <v>50</v>
      </c>
      <c r="BT43" s="24" t="s">
        <v>71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185</v>
      </c>
      <c r="L44" s="70" t="s">
        <v>169</v>
      </c>
      <c r="M44" s="70" t="s">
        <v>168</v>
      </c>
      <c r="N44" s="58" t="s">
        <v>165</v>
      </c>
      <c r="O44" s="1"/>
      <c r="P44" s="1"/>
      <c r="Q44" s="1"/>
      <c r="R44" s="125">
        <f>N33+N46-AG38</f>
        <v>363.48168596222968</v>
      </c>
      <c r="S44" s="13">
        <f>M33+M46-AF38</f>
        <v>0</v>
      </c>
      <c r="T44" s="140" t="s">
        <v>353</v>
      </c>
      <c r="U44" s="104" t="s">
        <v>102</v>
      </c>
      <c r="V44" s="1"/>
      <c r="W44" s="13" t="s">
        <v>29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10" t="s">
        <v>330</v>
      </c>
      <c r="AL44" s="136" t="s">
        <v>360</v>
      </c>
      <c r="AM44" s="284" t="s">
        <v>356</v>
      </c>
      <c r="AN44" s="103" t="s">
        <v>321</v>
      </c>
      <c r="AO44" s="1"/>
      <c r="AP44" s="1"/>
      <c r="AQ44" s="1"/>
      <c r="AR44" s="1"/>
      <c r="AS44" s="45"/>
      <c r="AT44" s="24" t="s">
        <v>71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5">
        <f>(BI38-CI38)</f>
        <v>33548.785671916805</v>
      </c>
      <c r="BM44" s="13">
        <f>BH38-CH38</f>
        <v>0</v>
      </c>
      <c r="BN44" s="140" t="s">
        <v>353</v>
      </c>
      <c r="BO44" s="104" t="s">
        <v>102</v>
      </c>
      <c r="BT44" s="59" t="s">
        <v>70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211</v>
      </c>
      <c r="L45" s="38" t="s">
        <v>66</v>
      </c>
      <c r="M45" s="38" t="s">
        <v>12</v>
      </c>
      <c r="N45" s="47" t="s">
        <v>50</v>
      </c>
      <c r="O45" s="1"/>
      <c r="P45" s="1"/>
      <c r="Q45" s="1"/>
      <c r="R45" s="6">
        <f>N37-AG43</f>
        <v>253.63655563315115</v>
      </c>
      <c r="S45" s="4"/>
      <c r="T45" s="140" t="s">
        <v>354</v>
      </c>
      <c r="U45" s="104">
        <f>AG38/(N33+N46)</f>
        <v>0.99300767533374523</v>
      </c>
      <c r="V45" s="1"/>
      <c r="W45" s="39" t="s">
        <v>70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2" t="s">
        <v>50</v>
      </c>
      <c r="AL45" s="6" t="s">
        <v>328</v>
      </c>
      <c r="AM45" s="285"/>
      <c r="AN45" s="104" t="s">
        <v>50</v>
      </c>
      <c r="AO45" s="1"/>
      <c r="AP45" s="1"/>
      <c r="AQ45" s="1"/>
      <c r="AR45" s="1"/>
      <c r="AS45" s="45"/>
      <c r="AT45" s="59" t="s">
        <v>70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40" t="s">
        <v>354</v>
      </c>
      <c r="BO45" s="104">
        <f>CI38/BI38</f>
        <v>4.5352580358200237E-2</v>
      </c>
      <c r="BQ45" s="7"/>
      <c r="BR45" s="7"/>
      <c r="BS45" s="45"/>
      <c r="BT45" s="4" t="s">
        <v>20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1" t="s">
        <v>355</v>
      </c>
      <c r="U46" s="100">
        <f>AG43/N37</f>
        <v>0.99510816255199652</v>
      </c>
      <c r="V46" s="1"/>
      <c r="W46" s="8" t="s">
        <v>20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5">
        <f>AG38-BI38</f>
        <v>16476.878582735473</v>
      </c>
      <c r="AL46" s="13">
        <f>BH38-AF38</f>
        <v>0</v>
      </c>
      <c r="AM46" s="140" t="s">
        <v>353</v>
      </c>
      <c r="AN46" s="104" t="s">
        <v>102</v>
      </c>
      <c r="AO46" s="1"/>
      <c r="AP46" s="1"/>
      <c r="AQ46" s="1"/>
      <c r="AR46" s="1"/>
      <c r="AS46" s="45"/>
      <c r="AT46" s="4" t="s">
        <v>20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1" t="s">
        <v>355</v>
      </c>
      <c r="BO46" s="100">
        <f>CI42/BI43</f>
        <v>0.16204251812945655</v>
      </c>
      <c r="BQ46" s="4"/>
      <c r="BR46" s="4"/>
      <c r="BS46" s="45"/>
      <c r="BT46" s="4"/>
      <c r="BU46" s="1" t="s">
        <v>93</v>
      </c>
      <c r="BV46" s="3" t="s">
        <v>95</v>
      </c>
      <c r="BW46" s="3" t="s">
        <v>91</v>
      </c>
      <c r="BX46" s="4"/>
      <c r="BY46" s="4"/>
      <c r="CD46" s="1"/>
      <c r="CE46" s="1"/>
      <c r="CF46" s="1"/>
      <c r="CG46" s="3" t="s">
        <v>100</v>
      </c>
      <c r="CH46" s="3" t="s">
        <v>100</v>
      </c>
      <c r="CI46" s="1" t="s">
        <v>97</v>
      </c>
    </row>
    <row r="47" spans="3:87" ht="18" x14ac:dyDescent="0.25">
      <c r="C47" s="290" t="s">
        <v>87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93</v>
      </c>
      <c r="Y47" s="3" t="s">
        <v>95</v>
      </c>
      <c r="Z47" s="3" t="s">
        <v>91</v>
      </c>
      <c r="AA47" s="4"/>
      <c r="AB47" s="4"/>
      <c r="AF47" s="3" t="s">
        <v>100</v>
      </c>
      <c r="AG47" s="1" t="s">
        <v>97</v>
      </c>
      <c r="AH47" s="1"/>
      <c r="AI47" s="1"/>
      <c r="AJ47" s="1"/>
      <c r="AK47" s="6"/>
      <c r="AL47" s="4"/>
      <c r="AM47" s="140" t="s">
        <v>354</v>
      </c>
      <c r="AN47" s="104">
        <f>BI38/AG38</f>
        <v>0.68080109896640806</v>
      </c>
      <c r="AO47" s="1"/>
      <c r="AP47" s="1"/>
      <c r="AQ47" s="1"/>
      <c r="AR47" s="1"/>
      <c r="AS47" s="45"/>
      <c r="AT47" s="4"/>
      <c r="AU47" s="1" t="s">
        <v>93</v>
      </c>
      <c r="AV47" s="3" t="s">
        <v>95</v>
      </c>
      <c r="AW47" s="3" t="s">
        <v>91</v>
      </c>
      <c r="AX47" s="4"/>
      <c r="AY47" s="4"/>
      <c r="BD47" s="1"/>
      <c r="BE47" s="1"/>
      <c r="BF47" s="1"/>
      <c r="BG47" s="3" t="s">
        <v>100</v>
      </c>
      <c r="BH47" s="3" t="s">
        <v>100</v>
      </c>
      <c r="BI47" s="1" t="s">
        <v>97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290"/>
      <c r="D48" s="1"/>
      <c r="E48" s="1" t="s">
        <v>141</v>
      </c>
      <c r="F48" s="1" t="s">
        <v>5</v>
      </c>
      <c r="G48" s="1" t="s">
        <v>89</v>
      </c>
      <c r="H48" s="1" t="s">
        <v>142</v>
      </c>
      <c r="I48" s="1" t="s">
        <v>143</v>
      </c>
      <c r="J48" s="1" t="s">
        <v>9</v>
      </c>
      <c r="K48" s="1" t="s">
        <v>144</v>
      </c>
      <c r="L48" s="1" t="s">
        <v>145</v>
      </c>
      <c r="M48" s="1" t="s">
        <v>146</v>
      </c>
      <c r="N48" s="1" t="s">
        <v>147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1" t="s">
        <v>355</v>
      </c>
      <c r="AN48" s="100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290"/>
      <c r="D49" s="7"/>
      <c r="E49" s="1" t="s">
        <v>92</v>
      </c>
      <c r="F49" s="1" t="s">
        <v>94</v>
      </c>
      <c r="G49" s="2" t="s">
        <v>90</v>
      </c>
      <c r="H49" s="1" t="s">
        <v>15</v>
      </c>
      <c r="I49" s="2" t="s">
        <v>27</v>
      </c>
      <c r="J49" s="1" t="s">
        <v>102</v>
      </c>
      <c r="K49" s="1" t="s">
        <v>15</v>
      </c>
      <c r="L49" s="1" t="s">
        <v>15</v>
      </c>
      <c r="M49" s="1" t="s">
        <v>28</v>
      </c>
      <c r="N49" s="1" t="s">
        <v>50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49</v>
      </c>
      <c r="Y49" s="1" t="s">
        <v>5</v>
      </c>
      <c r="Z49" s="115" t="s">
        <v>326</v>
      </c>
      <c r="AA49" s="1" t="s">
        <v>320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191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290"/>
      <c r="D50" s="17" t="s">
        <v>29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68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192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290"/>
      <c r="D51" s="7" t="s">
        <v>70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29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20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70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93</v>
      </c>
      <c r="F53" s="3" t="s">
        <v>95</v>
      </c>
      <c r="G53" s="3" t="s">
        <v>91</v>
      </c>
      <c r="H53" s="4"/>
      <c r="I53" s="4"/>
      <c r="M53" s="3" t="s">
        <v>100</v>
      </c>
      <c r="N53" s="1" t="s">
        <v>97</v>
      </c>
      <c r="O53" s="1"/>
      <c r="P53" s="1"/>
      <c r="Q53" s="1"/>
      <c r="R53" s="1"/>
      <c r="S53" s="1"/>
      <c r="T53" s="1"/>
      <c r="U53" s="1"/>
      <c r="V53" s="1"/>
      <c r="W53" s="1" t="s">
        <v>186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19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374</v>
      </c>
      <c r="Z56" s="1"/>
      <c r="AA56" s="1" t="s">
        <v>373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344">
        <v>2</v>
      </c>
      <c r="D57" s="344"/>
      <c r="E57" s="344"/>
      <c r="F57" s="344"/>
      <c r="G57" s="344"/>
      <c r="H57" s="344"/>
      <c r="I57" s="344"/>
      <c r="J57" s="344"/>
      <c r="K57" s="344"/>
      <c r="L57" s="344"/>
      <c r="M57" s="344"/>
      <c r="N57" s="344"/>
      <c r="O57" s="34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C57:O57"/>
    <mergeCell ref="C28:O28"/>
    <mergeCell ref="W28:AG28"/>
    <mergeCell ref="AT28:BI28"/>
    <mergeCell ref="BT28:CI28"/>
    <mergeCell ref="C47:C51"/>
    <mergeCell ref="AM44:AM45"/>
    <mergeCell ref="BI17:BI22"/>
    <mergeCell ref="BL38:BO40"/>
    <mergeCell ref="C34:C37"/>
    <mergeCell ref="AJ37:AO42"/>
    <mergeCell ref="R38:U40"/>
    <mergeCell ref="T42:T43"/>
    <mergeCell ref="BN42:BN43"/>
    <mergeCell ref="BI10:BQ11"/>
    <mergeCell ref="H2:M2"/>
    <mergeCell ref="H3:J3"/>
    <mergeCell ref="L3:M3"/>
    <mergeCell ref="H5:M5"/>
    <mergeCell ref="AN3:BK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7"/>
      <c r="C2" s="167"/>
      <c r="D2" s="167"/>
      <c r="E2" s="167"/>
      <c r="F2" s="167"/>
      <c r="G2" s="167"/>
      <c r="H2" s="167"/>
      <c r="I2" s="167"/>
    </row>
    <row r="3" spans="1:23" x14ac:dyDescent="0.2">
      <c r="A3" s="167"/>
      <c r="B3" s="167"/>
      <c r="C3" s="167"/>
      <c r="D3" s="167"/>
      <c r="E3" s="167"/>
      <c r="F3" s="167"/>
      <c r="G3" s="167"/>
      <c r="H3" s="167"/>
      <c r="I3" s="167"/>
      <c r="P3" s="167"/>
      <c r="Q3" s="167"/>
      <c r="R3" s="167"/>
      <c r="S3" s="167"/>
      <c r="T3" s="167"/>
      <c r="U3" s="167"/>
      <c r="V3" s="167"/>
      <c r="W3" s="167"/>
    </row>
    <row r="4" spans="1:23" x14ac:dyDescent="0.2">
      <c r="A4" s="167"/>
      <c r="B4" s="169"/>
      <c r="C4" s="169"/>
      <c r="D4" s="260" t="s">
        <v>321</v>
      </c>
      <c r="E4" s="260"/>
      <c r="F4" s="260"/>
      <c r="G4" s="260"/>
      <c r="H4" s="167"/>
      <c r="I4" s="167"/>
      <c r="P4" s="167"/>
      <c r="Q4" s="167"/>
      <c r="R4" s="167"/>
      <c r="S4" s="317" t="s">
        <v>368</v>
      </c>
      <c r="T4" s="317"/>
      <c r="U4" s="317"/>
      <c r="V4" s="317"/>
      <c r="W4" s="167"/>
    </row>
    <row r="5" spans="1:23" x14ac:dyDescent="0.2">
      <c r="A5" s="167"/>
      <c r="B5" s="169"/>
      <c r="C5" s="169"/>
      <c r="D5" s="315" t="s">
        <v>86</v>
      </c>
      <c r="E5" s="315"/>
      <c r="F5" s="315"/>
      <c r="G5" s="315"/>
      <c r="H5" s="167"/>
      <c r="I5" s="167"/>
      <c r="P5" s="167"/>
      <c r="Q5" s="167"/>
      <c r="R5" s="167"/>
      <c r="S5" s="317"/>
      <c r="T5" s="317"/>
      <c r="U5" s="317"/>
      <c r="V5" s="317"/>
      <c r="W5" s="167"/>
    </row>
    <row r="6" spans="1:23" ht="15" customHeight="1" x14ac:dyDescent="0.2">
      <c r="A6" s="167"/>
      <c r="B6" s="320" t="s">
        <v>4</v>
      </c>
      <c r="C6" s="3"/>
      <c r="D6" s="197" t="s">
        <v>377</v>
      </c>
      <c r="E6" s="197" t="s">
        <v>193</v>
      </c>
      <c r="F6" s="197" t="s">
        <v>180</v>
      </c>
      <c r="G6" s="197" t="s">
        <v>363</v>
      </c>
      <c r="H6" s="167"/>
      <c r="I6" s="167"/>
      <c r="P6" s="167"/>
      <c r="Q6" s="167"/>
      <c r="R6" s="167"/>
      <c r="S6" s="317"/>
      <c r="T6" s="317"/>
      <c r="U6" s="317"/>
      <c r="V6" s="317"/>
      <c r="W6" s="167"/>
    </row>
    <row r="7" spans="1:23" ht="16" thickBot="1" x14ac:dyDescent="0.25">
      <c r="A7" s="167"/>
      <c r="B7" s="320"/>
      <c r="C7" s="148" t="s">
        <v>353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7"/>
      <c r="I7" s="167"/>
      <c r="P7" s="167"/>
      <c r="Q7" s="167"/>
      <c r="R7" s="167"/>
      <c r="S7" s="318"/>
      <c r="T7" s="318"/>
      <c r="U7" s="318"/>
      <c r="V7" s="318"/>
      <c r="W7" s="167"/>
    </row>
    <row r="8" spans="1:23" x14ac:dyDescent="0.2">
      <c r="A8" s="167"/>
      <c r="B8" s="320"/>
      <c r="C8" s="150" t="s">
        <v>354</v>
      </c>
      <c r="D8" s="3">
        <f>Student_MEROI_Iron</f>
        <v>1.1688963753547168</v>
      </c>
      <c r="E8" s="3">
        <f>Student_IronExtraction</f>
        <v>0.53893601770787558</v>
      </c>
      <c r="F8" s="3">
        <f>Student_IronHauling</f>
        <v>0.15191900995389168</v>
      </c>
      <c r="G8" s="3">
        <f>Student_IronBeneficiation</f>
        <v>0.9084965360427989</v>
      </c>
      <c r="H8" s="167"/>
      <c r="I8" s="167"/>
      <c r="P8" s="167"/>
      <c r="Q8" s="317" t="s">
        <v>367</v>
      </c>
      <c r="R8" s="333"/>
      <c r="S8" s="335" t="s">
        <v>353</v>
      </c>
      <c r="T8" s="336"/>
      <c r="U8" s="321" t="s">
        <v>421</v>
      </c>
      <c r="V8" s="322"/>
      <c r="W8" s="167"/>
    </row>
    <row r="9" spans="1:23" x14ac:dyDescent="0.2">
      <c r="A9" s="167"/>
      <c r="B9" s="320"/>
      <c r="C9" s="149" t="s">
        <v>421</v>
      </c>
      <c r="D9" s="166">
        <f>Product_MEROI_Iron</f>
        <v>0.98147717979234761</v>
      </c>
      <c r="E9" s="3">
        <f>Product_IronExtraction</f>
        <v>0.45252377704390323</v>
      </c>
      <c r="F9" s="3">
        <f>Product_IronHauling</f>
        <v>0.12756053024900801</v>
      </c>
      <c r="G9" s="3">
        <f>Product_IronBeneficiation</f>
        <v>0.75440225157720575</v>
      </c>
      <c r="H9" s="167"/>
      <c r="I9" s="167"/>
      <c r="P9" s="167"/>
      <c r="Q9" s="317"/>
      <c r="R9" s="333"/>
      <c r="S9" s="337"/>
      <c r="T9" s="338"/>
      <c r="U9" s="323"/>
      <c r="V9" s="324"/>
      <c r="W9" s="167"/>
    </row>
    <row r="10" spans="1:23" x14ac:dyDescent="0.2">
      <c r="A10" s="167"/>
      <c r="C10" s="133"/>
      <c r="D10" s="167"/>
      <c r="E10" s="203"/>
      <c r="F10" s="203"/>
      <c r="G10" s="203"/>
      <c r="H10" s="169"/>
      <c r="I10" s="167"/>
      <c r="P10" s="167"/>
      <c r="Q10" s="317"/>
      <c r="R10" s="333"/>
      <c r="S10" s="337"/>
      <c r="T10" s="338"/>
      <c r="U10" s="323"/>
      <c r="V10" s="324"/>
      <c r="W10" s="167"/>
    </row>
    <row r="11" spans="1:23" x14ac:dyDescent="0.2">
      <c r="A11" s="167"/>
      <c r="B11" s="167"/>
      <c r="C11" s="167"/>
      <c r="D11" s="167"/>
      <c r="E11" s="169"/>
      <c r="F11" s="169"/>
      <c r="G11" s="169"/>
      <c r="H11" s="169"/>
      <c r="I11" s="167"/>
      <c r="P11" s="167"/>
      <c r="Q11" s="317"/>
      <c r="R11" s="333"/>
      <c r="S11" s="337"/>
      <c r="T11" s="338"/>
      <c r="U11" s="323"/>
      <c r="V11" s="324"/>
      <c r="W11" s="167"/>
    </row>
    <row r="12" spans="1:23" x14ac:dyDescent="0.2">
      <c r="A12" s="167"/>
      <c r="B12" s="167"/>
      <c r="C12" s="167"/>
      <c r="D12" s="167"/>
      <c r="E12" s="167"/>
      <c r="F12" s="167"/>
      <c r="G12" s="167"/>
      <c r="H12" s="167"/>
      <c r="I12" s="167"/>
      <c r="P12" s="167"/>
      <c r="Q12" s="346" t="s">
        <v>420</v>
      </c>
      <c r="R12" s="333"/>
      <c r="S12" s="329" t="s">
        <v>320</v>
      </c>
      <c r="T12" s="330"/>
      <c r="U12" s="325" t="s">
        <v>354</v>
      </c>
      <c r="V12" s="326"/>
      <c r="W12" s="167"/>
    </row>
    <row r="13" spans="1:23" x14ac:dyDescent="0.2">
      <c r="A13" s="167"/>
      <c r="B13" s="169"/>
      <c r="C13" s="169"/>
      <c r="D13" s="260" t="s">
        <v>321</v>
      </c>
      <c r="E13" s="260"/>
      <c r="F13" s="260"/>
      <c r="G13" s="260"/>
      <c r="H13" s="260"/>
      <c r="I13" s="167"/>
      <c r="P13" s="167"/>
      <c r="Q13" s="317"/>
      <c r="R13" s="333"/>
      <c r="S13" s="329"/>
      <c r="T13" s="330"/>
      <c r="U13" s="325"/>
      <c r="V13" s="326"/>
      <c r="W13" s="167"/>
    </row>
    <row r="14" spans="1:23" ht="15" customHeight="1" x14ac:dyDescent="0.2">
      <c r="A14" s="167"/>
      <c r="B14" s="169"/>
      <c r="C14" s="169"/>
      <c r="D14" s="315" t="s">
        <v>86</v>
      </c>
      <c r="E14" s="315"/>
      <c r="F14" s="315"/>
      <c r="G14" s="315"/>
      <c r="H14" s="315"/>
      <c r="I14" s="167"/>
      <c r="P14" s="167"/>
      <c r="Q14" s="317"/>
      <c r="R14" s="333"/>
      <c r="S14" s="329"/>
      <c r="T14" s="330"/>
      <c r="U14" s="325"/>
      <c r="V14" s="326"/>
      <c r="W14" s="167"/>
    </row>
    <row r="15" spans="1:23" ht="16" thickBot="1" x14ac:dyDescent="0.25">
      <c r="A15" s="167"/>
      <c r="B15" s="319" t="s">
        <v>21</v>
      </c>
      <c r="C15" s="3"/>
      <c r="D15" s="198" t="s">
        <v>377</v>
      </c>
      <c r="E15" s="198" t="s">
        <v>193</v>
      </c>
      <c r="F15" s="198" t="s">
        <v>180</v>
      </c>
      <c r="G15" s="198" t="s">
        <v>363</v>
      </c>
      <c r="H15" s="198" t="s">
        <v>364</v>
      </c>
      <c r="I15" s="167"/>
      <c r="P15" s="167"/>
      <c r="Q15" s="317"/>
      <c r="R15" s="333"/>
      <c r="S15" s="331"/>
      <c r="T15" s="332"/>
      <c r="U15" s="327"/>
      <c r="V15" s="328"/>
      <c r="W15" s="167"/>
    </row>
    <row r="16" spans="1:23" x14ac:dyDescent="0.2">
      <c r="A16" s="167"/>
      <c r="B16" s="319"/>
      <c r="C16" s="148" t="s">
        <v>353</v>
      </c>
      <c r="D16" s="3">
        <f>Bejan_MEROI_Limestone</f>
        <v>74.139326198018011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102</v>
      </c>
      <c r="I16" s="167"/>
      <c r="P16" s="167"/>
      <c r="Q16" s="167"/>
      <c r="R16" s="167"/>
      <c r="S16" s="167"/>
      <c r="T16" s="167"/>
      <c r="U16" s="167"/>
      <c r="V16" s="167"/>
      <c r="W16" s="167"/>
    </row>
    <row r="17" spans="1:12" x14ac:dyDescent="0.2">
      <c r="A17" s="167"/>
      <c r="B17" s="319"/>
      <c r="C17" s="150" t="s">
        <v>354</v>
      </c>
      <c r="D17" s="3">
        <f>Student_MEROI_Limestone</f>
        <v>90.879158583198233</v>
      </c>
      <c r="E17" s="3">
        <f>Student_LimeExtraction</f>
        <v>0.9891161389000479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4.8791498262811513E-3</v>
      </c>
      <c r="I17" s="167"/>
    </row>
    <row r="18" spans="1:12" x14ac:dyDescent="0.2">
      <c r="A18" s="167"/>
      <c r="B18" s="319"/>
      <c r="C18" s="149" t="s">
        <v>421</v>
      </c>
      <c r="D18" s="166">
        <f>Product_MEROI_Limestone</f>
        <v>78.771372051220894</v>
      </c>
      <c r="E18" s="3">
        <f>Product_LimeExtraction</f>
        <v>0.85733667205813602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2.2442181938382317E-4</v>
      </c>
      <c r="I18" s="167"/>
    </row>
    <row r="19" spans="1:12" x14ac:dyDescent="0.2">
      <c r="A19" s="167"/>
      <c r="C19" s="133"/>
      <c r="D19" s="167"/>
      <c r="E19" s="203"/>
      <c r="F19" s="203"/>
      <c r="G19" s="203"/>
      <c r="H19" s="203"/>
      <c r="I19" s="167"/>
      <c r="L19" t="s">
        <v>472</v>
      </c>
    </row>
    <row r="20" spans="1:12" x14ac:dyDescent="0.2">
      <c r="A20" s="167"/>
      <c r="B20" s="167"/>
      <c r="C20" s="167"/>
      <c r="D20" s="167"/>
      <c r="E20" s="167"/>
      <c r="F20" s="167"/>
      <c r="G20" s="167"/>
      <c r="H20" s="167"/>
      <c r="I20" s="167"/>
    </row>
    <row r="21" spans="1:12" x14ac:dyDescent="0.2">
      <c r="A21" s="167"/>
      <c r="B21" s="169"/>
      <c r="C21" s="169"/>
      <c r="D21" s="260" t="s">
        <v>321</v>
      </c>
      <c r="E21" s="260"/>
      <c r="F21" s="260"/>
      <c r="G21" s="260"/>
      <c r="H21" s="167"/>
      <c r="I21" s="167"/>
    </row>
    <row r="22" spans="1:12" ht="15" customHeight="1" x14ac:dyDescent="0.2">
      <c r="A22" s="167"/>
      <c r="B22" s="169"/>
      <c r="C22" s="169"/>
      <c r="D22" s="315" t="s">
        <v>86</v>
      </c>
      <c r="E22" s="315"/>
      <c r="F22" s="315"/>
      <c r="G22" s="315"/>
      <c r="H22" s="167"/>
      <c r="I22" s="167"/>
    </row>
    <row r="23" spans="1:12" x14ac:dyDescent="0.2">
      <c r="A23" s="167"/>
      <c r="B23" s="316" t="s">
        <v>366</v>
      </c>
      <c r="C23" s="3"/>
      <c r="D23" s="157" t="s">
        <v>377</v>
      </c>
      <c r="E23" s="157" t="s">
        <v>193</v>
      </c>
      <c r="F23" s="157" t="s">
        <v>180</v>
      </c>
      <c r="G23" s="157" t="s">
        <v>392</v>
      </c>
      <c r="H23" s="167"/>
      <c r="I23" s="167"/>
    </row>
    <row r="24" spans="1:12" x14ac:dyDescent="0.2">
      <c r="A24" s="167"/>
      <c r="B24" s="316"/>
      <c r="C24" s="148" t="s">
        <v>353</v>
      </c>
      <c r="D24" s="3">
        <f>Bejan_MEROI_Coal</f>
        <v>86.018313920430629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7"/>
      <c r="I24" s="167"/>
    </row>
    <row r="25" spans="1:12" x14ac:dyDescent="0.2">
      <c r="A25" s="167"/>
      <c r="B25" s="316"/>
      <c r="C25" s="150" t="s">
        <v>354</v>
      </c>
      <c r="D25" s="3">
        <f>Student_MEROI_Coal</f>
        <v>85.986035184146729</v>
      </c>
      <c r="E25" s="3">
        <f>Student_CoalExtraction</f>
        <v>0.98850390182880465</v>
      </c>
      <c r="F25" s="3">
        <f>Student_CoalHauling</f>
        <v>0.98164569071456265</v>
      </c>
      <c r="G25" s="3">
        <f>Student_CokeBeneficiation</f>
        <v>1.2331665321430612</v>
      </c>
      <c r="H25" s="167"/>
      <c r="I25" s="167"/>
    </row>
    <row r="26" spans="1:12" x14ac:dyDescent="0.2">
      <c r="A26" s="167"/>
      <c r="B26" s="316"/>
      <c r="C26" s="149" t="s">
        <v>421</v>
      </c>
      <c r="D26" s="166">
        <f>Product_MEROI_Coal</f>
        <v>86.018346631358284</v>
      </c>
      <c r="E26" s="3">
        <f>Product_CoalExtraction</f>
        <v>0.98887535739800203</v>
      </c>
      <c r="F26" s="3">
        <f>Product_CoalHauling</f>
        <v>0.98201456913590202</v>
      </c>
      <c r="G26" s="3">
        <f>Product_CokeBeneficiation</f>
        <v>0.65650751162010967</v>
      </c>
      <c r="I26" s="167"/>
    </row>
    <row r="27" spans="1:12" x14ac:dyDescent="0.2">
      <c r="A27" s="167"/>
      <c r="B27" s="167"/>
      <c r="C27" s="204"/>
      <c r="D27" s="167"/>
      <c r="E27" s="203"/>
      <c r="F27" s="203"/>
      <c r="G27" s="203"/>
      <c r="H27" s="169"/>
      <c r="I27" s="167"/>
    </row>
    <row r="28" spans="1:12" x14ac:dyDescent="0.2">
      <c r="A28" s="167"/>
      <c r="B28" s="167"/>
      <c r="C28" s="167"/>
      <c r="D28" s="167"/>
      <c r="E28" s="167"/>
      <c r="F28" s="167"/>
      <c r="G28" s="167"/>
      <c r="H28" s="167"/>
      <c r="I28" s="167"/>
    </row>
    <row r="29" spans="1:12" x14ac:dyDescent="0.2">
      <c r="A29" s="167"/>
      <c r="B29" s="167"/>
      <c r="C29" s="167"/>
      <c r="D29" s="167"/>
      <c r="E29" s="167"/>
      <c r="F29" s="167"/>
      <c r="G29" s="167"/>
      <c r="H29" s="167"/>
      <c r="I29" s="167"/>
    </row>
    <row r="30" spans="1:12" x14ac:dyDescent="0.2">
      <c r="A30" s="167"/>
      <c r="B30" s="167"/>
      <c r="C30" s="167"/>
      <c r="D30" s="167"/>
      <c r="E30" s="167"/>
      <c r="F30" s="167"/>
      <c r="G30" s="167"/>
      <c r="H30" s="167"/>
      <c r="I30" s="167"/>
    </row>
    <row r="31" spans="1:12" x14ac:dyDescent="0.2">
      <c r="A31" s="167"/>
      <c r="B31" s="167"/>
      <c r="C31" s="167"/>
      <c r="D31" s="167"/>
      <c r="E31" s="167"/>
      <c r="F31" s="167"/>
      <c r="G31" s="167"/>
      <c r="H31" s="167"/>
      <c r="I31" s="167"/>
    </row>
    <row r="32" spans="1:12" x14ac:dyDescent="0.2">
      <c r="A32" s="167"/>
      <c r="B32" s="314" t="s">
        <v>417</v>
      </c>
      <c r="D32" s="196" t="s">
        <v>84</v>
      </c>
      <c r="E32" s="196" t="s">
        <v>365</v>
      </c>
      <c r="F32" s="167"/>
      <c r="G32" s="167"/>
      <c r="H32" s="167"/>
      <c r="I32" s="167"/>
    </row>
    <row r="33" spans="1:9" x14ac:dyDescent="0.2">
      <c r="A33" s="167"/>
      <c r="B33" s="314"/>
      <c r="C33" s="148" t="s">
        <v>353</v>
      </c>
      <c r="D33" s="3" t="s">
        <v>102</v>
      </c>
      <c r="E33" s="3" t="str">
        <f>Bejan_BF</f>
        <v>[-]</v>
      </c>
      <c r="F33" s="167"/>
      <c r="G33" s="167"/>
      <c r="H33" s="167"/>
      <c r="I33" s="167"/>
    </row>
    <row r="34" spans="1:9" x14ac:dyDescent="0.2">
      <c r="A34" s="167"/>
      <c r="B34" s="314"/>
      <c r="C34" s="150" t="s">
        <v>354</v>
      </c>
      <c r="D34" s="3">
        <f>Student_mixer</f>
        <v>0.99300939590335358</v>
      </c>
      <c r="E34" s="3">
        <f>Student_BF</f>
        <v>0.32463356388526649</v>
      </c>
      <c r="F34" s="167"/>
      <c r="G34" s="167"/>
      <c r="H34" s="167"/>
      <c r="I34" s="167"/>
    </row>
    <row r="35" spans="1:9" x14ac:dyDescent="0.2">
      <c r="A35" s="167"/>
      <c r="B35" s="314"/>
      <c r="C35" s="149" t="s">
        <v>421</v>
      </c>
      <c r="D35" s="3">
        <f>Product_Mixer</f>
        <v>1.0717776463170951E-2</v>
      </c>
      <c r="E35" s="3">
        <f>Product_BF</f>
        <v>0.29481168927049028</v>
      </c>
      <c r="F35" s="167"/>
      <c r="G35" s="167"/>
      <c r="H35" s="167"/>
      <c r="I35" s="167"/>
    </row>
    <row r="36" spans="1:9" x14ac:dyDescent="0.2">
      <c r="A36" s="167"/>
      <c r="B36" s="167"/>
      <c r="C36" s="204"/>
      <c r="D36" s="169"/>
      <c r="E36" s="169"/>
      <c r="F36" s="167"/>
      <c r="G36" s="167"/>
      <c r="H36" s="167"/>
      <c r="I36" s="167"/>
    </row>
    <row r="37" spans="1:9" x14ac:dyDescent="0.2">
      <c r="A37" s="167"/>
      <c r="B37" s="167"/>
      <c r="C37" s="167"/>
      <c r="D37" s="167"/>
      <c r="E37" s="167"/>
      <c r="F37" s="167"/>
      <c r="G37" s="167"/>
      <c r="H37" s="167"/>
      <c r="I37" s="167"/>
    </row>
    <row r="38" spans="1:9" x14ac:dyDescent="0.2">
      <c r="A38" s="167"/>
      <c r="B38" s="167"/>
      <c r="C38" s="167"/>
      <c r="D38" s="167"/>
      <c r="E38" s="167"/>
      <c r="F38" s="167"/>
      <c r="G38" s="167"/>
      <c r="H38" s="167"/>
      <c r="I38" s="167"/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Q12:R15"/>
    <mergeCell ref="S12:T15"/>
    <mergeCell ref="U12:V15"/>
    <mergeCell ref="S4:T7"/>
    <mergeCell ref="U4:V7"/>
    <mergeCell ref="Q8:R11"/>
    <mergeCell ref="S8:T11"/>
    <mergeCell ref="U8:V1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dcmitype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933038b0-efc8-4863-81f2-0c2f5cc47dc6"/>
    <ds:schemaRef ds:uri="http://purl.org/dc/terms/"/>
    <ds:schemaRef ds:uri="http://schemas.microsoft.com/office/infopath/2007/PartnerControl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218</vt:i4>
      </vt:variant>
    </vt:vector>
  </HeadingPairs>
  <TitlesOfParts>
    <vt:vector size="229" baseType="lpstr">
      <vt:lpstr>Constants</vt:lpstr>
      <vt:lpstr>BF Calculator</vt:lpstr>
      <vt:lpstr>Ore-&gt;PI</vt:lpstr>
      <vt:lpstr>B RUVY matrices (mat level)</vt:lpstr>
      <vt:lpstr>Mass RUVY matrices (mat level)</vt:lpstr>
      <vt:lpstr>Energy RUVY matrices</vt:lpstr>
      <vt:lpstr>Energy X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CH4_Kiln_out</vt:lpstr>
      <vt:lpstr>CH4_out_COtreatment</vt:lpstr>
      <vt:lpstr>CH4_to_BF</vt:lpstr>
      <vt:lpstr>CH4_to_coke_oven</vt:lpstr>
      <vt:lpstr>CO2_BF_Out</vt:lpstr>
      <vt:lpstr>CO2_Kiln_Out</vt:lpstr>
      <vt:lpstr>CO2_Kiln_Out_ADD</vt:lpstr>
      <vt:lpstr>CO2_out_BF</vt:lpstr>
      <vt:lpstr>CO2_out_coke_oven</vt:lpstr>
      <vt:lpstr>COG_needed</vt:lpstr>
      <vt:lpstr>Coking_BF_in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H2_out_COtreatment</vt:lpstr>
      <vt:lpstr>H2_to_BF</vt:lpstr>
      <vt:lpstr>H2_to_coke_oven</vt:lpstr>
      <vt:lpstr>H2O_Kiln_Out</vt:lpstr>
      <vt:lpstr>H2O_out_BF</vt:lpstr>
      <vt:lpstr>H2O_out_coke_oven</vt:lpstr>
      <vt:lpstr>kg_to_ton</vt:lpstr>
      <vt:lpstr>Kiln_CO2Waste</vt:lpstr>
      <vt:lpstr>Kiln_SolidWaste</vt:lpstr>
      <vt:lpstr>kWh_to_kJ</vt:lpstr>
      <vt:lpstr>LHV_CH4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MW_P</vt:lpstr>
      <vt:lpstr>MW_S</vt:lpstr>
      <vt:lpstr>MW_Si</vt:lpstr>
      <vt:lpstr>MW_SIO2</vt:lpstr>
      <vt:lpstr>N2_added_BF</vt:lpstr>
      <vt:lpstr>N2_BF_out</vt:lpstr>
      <vt:lpstr>N2_in_coke_oven</vt:lpstr>
      <vt:lpstr>N2_Kiln_in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O2_in_coke_oven</vt:lpstr>
      <vt:lpstr>O2_Kiln_in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RT0</vt:lpstr>
      <vt:lpstr>s_0_CO2</vt:lpstr>
      <vt:lpstr>s_0_H2O</vt:lpstr>
      <vt:lpstr>s_0_N2</vt:lpstr>
      <vt:lpstr>s_CO2</vt:lpstr>
      <vt:lpstr>s_H2O</vt:lpstr>
      <vt:lpstr>s_N2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2025-06-24T15:08:21Z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