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/>
  <mc:AlternateContent xmlns:mc="http://schemas.openxmlformats.org/markup-compatibility/2006">
    <mc:Choice Requires="x15">
      <x15ac:absPath xmlns:x15ac="http://schemas.microsoft.com/office/spreadsheetml/2010/11/ac" url="https://calvincollege.sharepoint.com/sites/Exergy/Shared Documents/General/Paper Examples/"/>
    </mc:Choice>
  </mc:AlternateContent>
  <xr:revisionPtr revIDLastSave="13835" documentId="13_ncr:1_{39686040-57A4-234E-91F3-E634542D6EF7}" xr6:coauthVersionLast="47" xr6:coauthVersionMax="47" xr10:uidLastSave="{4AE666E0-946E-F144-91B3-DDA52E0CCC4D}"/>
  <bookViews>
    <workbookView minimized="1" xWindow="440" yWindow="740" windowWidth="51200" windowHeight="28300" activeTab="3" xr2:uid="{B56C0490-30AA-4047-9BD3-68F16EDF25FC}"/>
  </bookViews>
  <sheets>
    <sheet name="Constants" sheetId="3" r:id="rId1"/>
    <sheet name="BF Calculator" sheetId="11" r:id="rId2"/>
    <sheet name="Ore-&gt;PI" sheetId="9" r:id="rId3"/>
    <sheet name="Energy X" sheetId="17" r:id="rId4"/>
    <sheet name="MCC B RUVY matrices (mat" sheetId="20" r:id="rId5"/>
    <sheet name="MCC m RUVY matrices (mat level)" sheetId="15" r:id="rId6"/>
    <sheet name="Energy RUVY matrices" sheetId="18" r:id="rId7"/>
    <sheet name="Efficiencies" sheetId="12" r:id="rId8"/>
    <sheet name="Waste" sheetId="13" r:id="rId9"/>
    <sheet name="Methane Combustion - EES" sheetId="8" r:id="rId10"/>
    <sheet name="Tables for Paper" sheetId="14" r:id="rId11"/>
  </sheets>
  <definedNames>
    <definedName name="Air_to_Kiln">Constants!$AC$4</definedName>
    <definedName name="Ash_in_coal">'BF Calculator'!$G$75</definedName>
    <definedName name="b_ch_Al2O3">Constants!$E$24</definedName>
    <definedName name="b_ch_C">Constants!$E$5</definedName>
    <definedName name="b_ch_C12H23">Constants!$E$41</definedName>
    <definedName name="b_ch_C2H4">Constants!$E$36</definedName>
    <definedName name="b_ch_C8H18">Constants!$E$40</definedName>
    <definedName name="b_ch_Ca">Constants!$H$6</definedName>
    <definedName name="b_ch_CaCO3">Constants!$E$6</definedName>
    <definedName name="b_ch_CaO">Constants!$E$17</definedName>
    <definedName name="b_ch_CaSiO3">Constants!$E$7</definedName>
    <definedName name="b_ch_CH4">Constants!$E$18</definedName>
    <definedName name="b_ch_Cl">Constants!$E$23</definedName>
    <definedName name="b_ch_CO">Constants!$E$16</definedName>
    <definedName name="b_ch_CO2">Constants!$E$8</definedName>
    <definedName name="b_ch_coal">'BF Calculator'!$M$91</definedName>
    <definedName name="b_ch_coke">'BF Calculator'!$N$91</definedName>
    <definedName name="b_ch_Fe">Constants!$E$9</definedName>
    <definedName name="b_ch_Fe2O3">Constants!$E$10</definedName>
    <definedName name="b_ch_FeC">Constants!$E$15</definedName>
    <definedName name="b_ch_H">Constants!$E$21</definedName>
    <definedName name="b_ch_H2">Constants!$H$8</definedName>
    <definedName name="b_ch_H2O">Constants!$E$20</definedName>
    <definedName name="b_ch_K2O">Constants!$E$27</definedName>
    <definedName name="b_ch_MgCO3">Constants!$E$29</definedName>
    <definedName name="b_ch_MgO">Constants!$E$25</definedName>
    <definedName name="b_ch_N">Constants!$E$30</definedName>
    <definedName name="b_ch_N2">Constants!$E$19</definedName>
    <definedName name="b_ch_Na2O">Constants!$E$26</definedName>
    <definedName name="b_ch_O">Constants!$E$11</definedName>
    <definedName name="b_ch_O2">Constants!$E$12</definedName>
    <definedName name="b_ch_oil">Constants!$E$42</definedName>
    <definedName name="b_ch_P">Constants!$E$28</definedName>
    <definedName name="b_ch_S">Constants!$E$22</definedName>
    <definedName name="b_ch_Si">Constants!$E$13</definedName>
    <definedName name="b_ch_SiO2">Constants!$E$14</definedName>
    <definedName name="B_lost_blast_furnace">'Ore-&gt;PI'!$EI$131</definedName>
    <definedName name="B_lost_coal_ext">'Ore-&gt;PI'!$W$210</definedName>
    <definedName name="B_lost_coal_haul">'Ore-&gt;PI'!$AO$210</definedName>
    <definedName name="B_lost_coke_oven">'Ore-&gt;PI'!$BY$210</definedName>
    <definedName name="B_lost_iron_benef">'Ore-&gt;PI'!$BF$46</definedName>
    <definedName name="B_lost_Iron_Ext">'Ore-&gt;PI'!$V$46</definedName>
    <definedName name="B_lost_Iron_haul">'Ore-&gt;PI'!$AN$46</definedName>
    <definedName name="B_lost_kiln">'Ore-&gt;PI'!$BY$130</definedName>
    <definedName name="B_lost_lime_benef">'Ore-&gt;PI'!$BG$130</definedName>
    <definedName name="B_lost_lime_ext">'Ore-&gt;PI'!$V$130</definedName>
    <definedName name="B_lost_lime_haul">'Ore-&gt;PI'!$AO$130</definedName>
    <definedName name="B_lost_mixer">'Ore-&gt;PI'!$DO$131</definedName>
    <definedName name="Bejan_BF">'Ore-&gt;PI'!$EM$131</definedName>
    <definedName name="Bejan_CoalExtraction">'Ore-&gt;PI'!$AA$210</definedName>
    <definedName name="Bejan_CoalHauling">'Ore-&gt;PI'!$AS$210</definedName>
    <definedName name="Bejan_CokeBeneficiation">'Ore-&gt;PI'!$CC$210</definedName>
    <definedName name="Bejan_IronBeneficiation">'Ore-&gt;PI'!$BJ$46</definedName>
    <definedName name="Bejan_IronExtraction">'Ore-&gt;PI'!$Z$46</definedName>
    <definedName name="Bejan_IronHauling">'Ore-&gt;PI'!$AR$46</definedName>
    <definedName name="Bejan_LimeBeneficiation">'Ore-&gt;PI'!$BK$130</definedName>
    <definedName name="Bejan_LimeExtraction">'Ore-&gt;PI'!$Z$130</definedName>
    <definedName name="Bejan_LimeHauling">'Ore-&gt;PI'!$AS$130</definedName>
    <definedName name="Bejan_MEROI_Coal">'Ore-&gt;PI'!$P$193</definedName>
    <definedName name="Bejan_MEROI_Iron">'Ore-&gt;PI'!$P$27</definedName>
    <definedName name="Bejan_MEROI_Limestone">'Ore-&gt;PI'!$P$115</definedName>
    <definedName name="Beneficiation_CoalWaste">'Ore-&gt;PI'!$CO$217</definedName>
    <definedName name="Beneficiation_Iron_waste">'Ore-&gt;PI'!$BV$55</definedName>
    <definedName name="BF_CO2Waste">'Ore-&gt;PI'!$EV$145</definedName>
    <definedName name="BF_SolidWaste">'Ore-&gt;PI'!$FE$104</definedName>
    <definedName name="Btu_to_kJ">Constants!$U$4</definedName>
    <definedName name="C_for_BF">'BF Calculator'!$L$23</definedName>
    <definedName name="cal_to_kJ">Constants!$U$6</definedName>
    <definedName name="CH4_into_Kiln">'BF Calculator'!$C$51</definedName>
    <definedName name="CH4_Kiln_out">'BF Calculator'!$L$62</definedName>
    <definedName name="CH4_out_COtreatment">'BF Calculator'!$Z$88</definedName>
    <definedName name="CH4_to_BF">'BF Calculator'!$Z$99</definedName>
    <definedName name="CH4_to_coke_oven">'BF Calculator'!$AH$99</definedName>
    <definedName name="CO2_BF_Out">'BF Calculator'!$M$23</definedName>
    <definedName name="CO2_Diesel_molcoeff">'BF Calculator'!$M$222</definedName>
    <definedName name="CO2_from_coke_oven_comb">'BF Calculator'!$I$110</definedName>
    <definedName name="CO2_Gasoline_molcoeff">'BF Calculator'!$M$247</definedName>
    <definedName name="CO2_Kiln_Out">'BF Calculator'!$I$38</definedName>
    <definedName name="CO2_Kiln_Out_ADD">'BF Calculator'!$L$59</definedName>
    <definedName name="CO2_molcoeff">'BF Calculator'!$M$222</definedName>
    <definedName name="Co2_Naturalgas_molcoeff">'BF Calculator'!$M$280</definedName>
    <definedName name="Co2_Oil_molcoef">'BF Calculator'!$M$264</definedName>
    <definedName name="CO2_out_BF">'BF Calculator'!$M$153</definedName>
    <definedName name="CO2_out_Coal_Ext">'BF Calculator'!$I$222</definedName>
    <definedName name="CO2_out_coke_oven">'BF Calculator'!$M$187</definedName>
    <definedName name="COG_needed">'BF Calculator'!$G$74</definedName>
    <definedName name="Coking_BF_in">'BF Calculator'!$L$23</definedName>
    <definedName name="Fe_BF_out">'BF Calculator'!$I$31</definedName>
    <definedName name="Fe2O3_BF_in">'BF Calculator'!$I$29</definedName>
    <definedName name="h_0_CO2">Constants!$R$5</definedName>
    <definedName name="h_0_H2O">Constants!$R$6</definedName>
    <definedName name="h_0_N2">Constants!$R$7</definedName>
    <definedName name="h_CO2">Constants!$P$5</definedName>
    <definedName name="h_fg_ash">Constants!$T$27</definedName>
    <definedName name="h_H2O">Constants!$P$6</definedName>
    <definedName name="h_N2">Constants!$P$7</definedName>
    <definedName name="H2_out_COtreatment">'BF Calculator'!$Z$87</definedName>
    <definedName name="H2_to_BF">'BF Calculator'!$Z$98</definedName>
    <definedName name="H2_to_coke_oven">'BF Calculator'!$AH$98</definedName>
    <definedName name="H2O__Diesel_molcoeff">'BF Calculator'!$M$223</definedName>
    <definedName name="H2O_from_coke_oven_comb">'BF Calculator'!$I$111</definedName>
    <definedName name="H2O_Gasoline_molcoeff">'BF Calculator'!$M$248</definedName>
    <definedName name="H2O_Kiln_Out">'BF Calculator'!$L$60</definedName>
    <definedName name="H2O_molcoeff">'BF Calculator'!$M$223</definedName>
    <definedName name="H2O_Naturalgas_molcoeff">'BF Calculator'!$M$281</definedName>
    <definedName name="H2O_Oil_molcoeff">'BF Calculator'!$M$265</definedName>
    <definedName name="H2O_out_BF">'BF Calculator'!$M$152</definedName>
    <definedName name="H2O_out_Coal_Ext">'BF Calculator'!$I$223</definedName>
    <definedName name="H2O_out_coke_oven">'BF Calculator'!$M$186</definedName>
    <definedName name="kg_to_ton">Constants!$W$4</definedName>
    <definedName name="Kiln_CO2Waste">'Ore-&gt;PI'!$CH$142</definedName>
    <definedName name="Kiln_SolidWaste">'Ore-&gt;PI'!$CQ$114</definedName>
    <definedName name="kWh_to_kJ">Constants!$V$4</definedName>
    <definedName name="LHV_CH4">Constants!$Z$4</definedName>
    <definedName name="LHV_Diesel">Constants!$W$13</definedName>
    <definedName name="LHV_Gasoline">Constants!$Z$5</definedName>
    <definedName name="LHV_Oil">Constants!$Z$6</definedName>
    <definedName name="Lime_to_Energy_Conversion">Constants!$AF$3</definedName>
    <definedName name="Limestone_for_BF">'BF Calculator'!$L$27</definedName>
    <definedName name="mass_bal_BF">'Ore-&gt;PI'!$EK$131</definedName>
    <definedName name="mass_bal_CoalExt">'Ore-&gt;PI'!$Y$210</definedName>
    <definedName name="mass_bal_CoalHaul">'Ore-&gt;PI'!$AQ$210</definedName>
    <definedName name="mass_bal_CokeOven">'Ore-&gt;PI'!$CA$210</definedName>
    <definedName name="mass_bal_IronBenef">'Ore-&gt;PI'!$BH$46</definedName>
    <definedName name="mass_bal_IronExt">'Ore-&gt;PI'!$X$46</definedName>
    <definedName name="mass_bal_IronHaul">'Ore-&gt;PI'!$AP$46</definedName>
    <definedName name="mass_bal_kiln">'Ore-&gt;PI'!$CA$130</definedName>
    <definedName name="mass_bal_LimeBenef">'Ore-&gt;PI'!$BI$130</definedName>
    <definedName name="mass_bal_LimeExt">'Ore-&gt;PI'!$X$130</definedName>
    <definedName name="mass_bal_LimeHaul">'Ore-&gt;PI'!$AQ$130</definedName>
    <definedName name="mass_bal_Mixer">'Ore-&gt;PI'!$DQ$131</definedName>
    <definedName name="MgCO3_in">'Ore-&gt;PI'!$AD$131</definedName>
    <definedName name="MgO_out">'BF Calculator'!$I$39</definedName>
    <definedName name="mol_C_Coal">'BF Calculator'!$I$80</definedName>
    <definedName name="mol_C_Coal_in">'BF Calculator'!$I$83</definedName>
    <definedName name="mol_C_to_BF">'Ore-&gt;PI'!$CI$210</definedName>
    <definedName name="mol_Coal">'BF Calculator'!$L$83</definedName>
    <definedName name="mol_H_Coal">'BF Calculator'!$H$83</definedName>
    <definedName name="mol_N_Coal">'BF Calculator'!$K$83</definedName>
    <definedName name="mol_O_Coal">'BF Calculator'!$J$83</definedName>
    <definedName name="MW_Al2O3">Constants!$D$24</definedName>
    <definedName name="MW_C">Constants!$D$5</definedName>
    <definedName name="MW_C12H23">Constants!$D$41</definedName>
    <definedName name="MW_C2H4">Constants!$D$36</definedName>
    <definedName name="MW_C2H6">Constants!$D$31</definedName>
    <definedName name="MW_C6H5CH3">Constants!$D$39</definedName>
    <definedName name="MW_C6H6">Constants!$D$34</definedName>
    <definedName name="MW_C8H18">Constants!$D$40</definedName>
    <definedName name="MW_CaCO3">Constants!$D$6</definedName>
    <definedName name="MW_CaO">Constants!$D$17</definedName>
    <definedName name="MW_CaSiO3">Constants!$D$7</definedName>
    <definedName name="MW_CH4">Constants!$D$18</definedName>
    <definedName name="MW_Cl">Constants!$D$23</definedName>
    <definedName name="MW_CO">Constants!$D$16</definedName>
    <definedName name="MW_CO2">Constants!$D$8</definedName>
    <definedName name="MW_CS2">Constants!$D$38</definedName>
    <definedName name="MW_Fe">Constants!$D$9</definedName>
    <definedName name="MW_Fe2O3">Constants!$D$10</definedName>
    <definedName name="MW_FeC">Constants!$D$15</definedName>
    <definedName name="MW_H">Constants!$D$21</definedName>
    <definedName name="MW_H2O">Constants!$D$20</definedName>
    <definedName name="MW_H2S">Constants!$D$33</definedName>
    <definedName name="MW_HCN">Constants!$D$37</definedName>
    <definedName name="MW_K2O">Constants!$D$27</definedName>
    <definedName name="MW_MgCO3">Constants!$D$29</definedName>
    <definedName name="MW_MgO">Constants!$D$25</definedName>
    <definedName name="MW_N2">Constants!$D$19</definedName>
    <definedName name="MW_Na2O">Constants!$D$26</definedName>
    <definedName name="MW_NH3">Constants!$D$35</definedName>
    <definedName name="MW_O">Constants!$D$11</definedName>
    <definedName name="MW_O2">Constants!$D$12</definedName>
    <definedName name="MW_Oil">Constants!$D$42</definedName>
    <definedName name="MW_P">Constants!$D$28</definedName>
    <definedName name="MW_S">Constants!$D$22</definedName>
    <definedName name="MW_Si">Constants!$D$13</definedName>
    <definedName name="MW_SIO2">Constants!$D$14</definedName>
    <definedName name="N2_added_BF">'BF Calculator'!$C$160</definedName>
    <definedName name="N2_BF_out">'BF Calculator'!$I$23</definedName>
    <definedName name="N2_for_coke_oven_comb">'BF Calculator'!$C$112</definedName>
    <definedName name="N2_from_coke_oven_comb">'BF Calculator'!$I$112</definedName>
    <definedName name="N2_in_Coal_Ext">'BF Calculator'!$C$224</definedName>
    <definedName name="N2_in_coke_oven">'BF Calculator'!$C$193</definedName>
    <definedName name="N2_Kiln_in">'Ore-&gt;PI'!$BN$145</definedName>
    <definedName name="N2_molcoeff">'BF Calculator'!$G$224</definedName>
    <definedName name="N2_out_coke_oven">'BF Calculator'!$M$188</definedName>
    <definedName name="N2_out_COtreatment">'BF Calculator'!$Z$90</definedName>
    <definedName name="N2_to_BF_from_coke">'BF Calculator'!$Z$101</definedName>
    <definedName name="N2_to_coke_oven">'BF Calculator'!$AH$101</definedName>
    <definedName name="NCV_dry_anthrocite">Constants!$P$27</definedName>
    <definedName name="O2_added_BF">'BF Calculator'!$C$159</definedName>
    <definedName name="O2_BF_in">'BF Calculator'!$I$21</definedName>
    <definedName name="O2_Diesel_molcoeff">'BF Calculator'!$G$223</definedName>
    <definedName name="O2_for_coke_oven_comb">'BF Calculator'!$C$111</definedName>
    <definedName name="O2_Gasoline_molcoeff">'BF Calculator'!$G$248</definedName>
    <definedName name="O2_in_Coal_Ext">'BF Calculator'!$C$223</definedName>
    <definedName name="O2_in_coke_oven">'BF Calculator'!$C$192</definedName>
    <definedName name="O2_Kiln_in">'Ore-&gt;PI'!$BN$144</definedName>
    <definedName name="O2_molcoeff">'BF Calculator'!$G$223</definedName>
    <definedName name="O2_Naturalgas_molcoeff">'BF Calculator'!$G$281</definedName>
    <definedName name="O2_Oil_molcoeff">'BF Calculator'!$G$265</definedName>
    <definedName name="O2_out_COtreatment">'BF Calculator'!$Z$89</definedName>
    <definedName name="O2_to_BF_from_coke">'BF Calculator'!$Z$100</definedName>
    <definedName name="O2_to_coke_oven">'BF Calculator'!$AH$100</definedName>
    <definedName name="Ore_to_Kiln">Constants!$AC$3</definedName>
    <definedName name="phi_anthrocite">Constants!$O$27</definedName>
    <definedName name="phi_dry_constant_a_">Constants!$Q$27</definedName>
    <definedName name="phi_dry_constant_b">Constants!$R$27</definedName>
    <definedName name="phi_dry_constant_c">Constants!$S$27</definedName>
    <definedName name="Product_BF">'Ore-&gt;PI'!$EM$133</definedName>
    <definedName name="Product_CoalExtraction">'Ore-&gt;PI'!$AA$212</definedName>
    <definedName name="Product_CoalHauling">'Ore-&gt;PI'!$AS$212</definedName>
    <definedName name="Product_CokeBeneficiation">'Ore-&gt;PI'!$CC$212</definedName>
    <definedName name="Product_IronBeneficiation">'Ore-&gt;PI'!$BJ$48</definedName>
    <definedName name="Product_IronExtraction">'Ore-&gt;PI'!$Z$48</definedName>
    <definedName name="Product_IronHauling">'Ore-&gt;PI'!$AR$48</definedName>
    <definedName name="Product_Kiln">'Ore-&gt;PI'!$CC$132</definedName>
    <definedName name="Product_LimeBeneficiation">'Ore-&gt;PI'!$BK$132</definedName>
    <definedName name="Product_LimeExtraction">'Ore-&gt;PI'!$Z$132</definedName>
    <definedName name="Product_LimeHauling">'Ore-&gt;PI'!$AS$132</definedName>
    <definedName name="Product_MEROI_Coal">'Ore-&gt;PI'!$P$195</definedName>
    <definedName name="Product_MEROI_Iron">'Ore-&gt;PI'!$P$29</definedName>
    <definedName name="Product_MEROI_Limestone">'Ore-&gt;PI'!$P$117</definedName>
    <definedName name="Product_Mixer">'Ore-&gt;PI'!$DS$133</definedName>
    <definedName name="Quicklime_for_BF">'BF Calculator'!$I$37</definedName>
    <definedName name="RT0">Constants!$M$5</definedName>
    <definedName name="s_0_CO2">Constants!$S$5</definedName>
    <definedName name="s_0_H2O">Constants!$S$6</definedName>
    <definedName name="s_0_N2">Constants!$S$7</definedName>
    <definedName name="s_CO2">Constants!$Q$5</definedName>
    <definedName name="s_H2O">Constants!$Q$6</definedName>
    <definedName name="s_N2">Constants!$Q$7</definedName>
    <definedName name="SiO2_BF_in">'BF Calculator'!$I$42</definedName>
    <definedName name="Slag_BF_out">'BF Calculator'!$I$43</definedName>
    <definedName name="Student__LimeHauling">'Ore-&gt;PI'!$AS$131</definedName>
    <definedName name="Student_BF">'Ore-&gt;PI'!$EM$132</definedName>
    <definedName name="Student_CoalExtraction">'Ore-&gt;PI'!$AA$211</definedName>
    <definedName name="Student_CoalHauling">'Ore-&gt;PI'!$AS$211</definedName>
    <definedName name="Student_CokeBeneficiation">'Ore-&gt;PI'!$CC$211</definedName>
    <definedName name="Student_IronBeneficiation">'Ore-&gt;PI'!$BJ$47</definedName>
    <definedName name="Student_IronExtraction">'Ore-&gt;PI'!$Z$47</definedName>
    <definedName name="Student_IronHauling">'Ore-&gt;PI'!$AR$47</definedName>
    <definedName name="Student_Kiln">'Ore-&gt;PI'!$CC$131</definedName>
    <definedName name="Student_LimeBeneficiation">'Ore-&gt;PI'!$BK$131</definedName>
    <definedName name="Student_LimeExtraction">'Ore-&gt;PI'!$Z$131</definedName>
    <definedName name="Student_MEROI_Coal">'Ore-&gt;PI'!$P$194</definedName>
    <definedName name="Student_MEROI_Iron">'Ore-&gt;PI'!$P$28</definedName>
    <definedName name="Student_MEROI_Limestone">'Ore-&gt;PI'!$P$116</definedName>
    <definedName name="Student_mixer">'Ore-&gt;PI'!$DS$132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8" i="17" l="1"/>
  <c r="G17" i="17"/>
  <c r="G16" i="17"/>
  <c r="G15" i="17"/>
  <c r="G14" i="17"/>
  <c r="G13" i="17"/>
  <c r="G12" i="17"/>
  <c r="G11" i="17"/>
  <c r="G24" i="17"/>
  <c r="H24" i="17"/>
  <c r="I24" i="17"/>
  <c r="F24" i="17"/>
  <c r="F18" i="17"/>
  <c r="F17" i="17"/>
  <c r="F16" i="17"/>
  <c r="F15" i="17"/>
  <c r="F14" i="17"/>
  <c r="F13" i="17"/>
  <c r="F10" i="17"/>
  <c r="F12" i="17"/>
  <c r="F11" i="17"/>
  <c r="F9" i="17"/>
  <c r="F7" i="17"/>
  <c r="I14" i="17"/>
  <c r="L80" i="11"/>
  <c r="K80" i="11"/>
  <c r="J80" i="11"/>
  <c r="I80" i="11"/>
  <c r="H80" i="11"/>
  <c r="AE104" i="11"/>
  <c r="Q77" i="11"/>
  <c r="Q76" i="11"/>
  <c r="S77" i="11"/>
  <c r="S76" i="11" s="1"/>
  <c r="Q81" i="11"/>
  <c r="Q85" i="11"/>
  <c r="Q89" i="11"/>
  <c r="AH101" i="11"/>
  <c r="AL98" i="11"/>
  <c r="AD98" i="11"/>
  <c r="Z98" i="11"/>
  <c r="AA91" i="11"/>
  <c r="Z91" i="11"/>
  <c r="AA87" i="11" s="1"/>
  <c r="AC87" i="11"/>
  <c r="AC88" i="11"/>
  <c r="AC90" i="11"/>
  <c r="AC89" i="11"/>
  <c r="AM84" i="11"/>
  <c r="AM83" i="11"/>
  <c r="AO76" i="11"/>
  <c r="AO75" i="11"/>
  <c r="AM79" i="11"/>
  <c r="AH88" i="11"/>
  <c r="AH84" i="11"/>
  <c r="AJ84" i="11"/>
  <c r="AJ80" i="11"/>
  <c r="AH76" i="11"/>
  <c r="CL145" i="9"/>
  <c r="AO130" i="9"/>
  <c r="BF46" i="9"/>
  <c r="CL143" i="9"/>
  <c r="BJ61" i="20"/>
  <c r="V86" i="20"/>
  <c r="G159" i="20"/>
  <c r="C159" i="20"/>
  <c r="G154" i="20"/>
  <c r="C153" i="20"/>
  <c r="C148" i="20"/>
  <c r="C146" i="20"/>
  <c r="C142" i="20"/>
  <c r="C141" i="20"/>
  <c r="C139" i="20"/>
  <c r="AJ118" i="20"/>
  <c r="AI118" i="20"/>
  <c r="C158" i="20" s="1"/>
  <c r="AH118" i="20"/>
  <c r="C157" i="20" s="1"/>
  <c r="AG118" i="20"/>
  <c r="C156" i="20" s="1"/>
  <c r="AF118" i="20"/>
  <c r="C155" i="20" s="1"/>
  <c r="AE118" i="20"/>
  <c r="C154" i="20" s="1"/>
  <c r="AD118" i="20"/>
  <c r="AC118" i="20"/>
  <c r="C152" i="20" s="1"/>
  <c r="AB118" i="20"/>
  <c r="C151" i="20" s="1"/>
  <c r="AA118" i="20"/>
  <c r="C150" i="20" s="1"/>
  <c r="Z118" i="20"/>
  <c r="C149" i="20" s="1"/>
  <c r="Y118" i="20"/>
  <c r="X118" i="20"/>
  <c r="C147" i="20" s="1"/>
  <c r="W118" i="20"/>
  <c r="V118" i="20"/>
  <c r="C145" i="20" s="1"/>
  <c r="U118" i="20"/>
  <c r="C144" i="20" s="1"/>
  <c r="T118" i="20"/>
  <c r="C143" i="20" s="1"/>
  <c r="S118" i="20"/>
  <c r="R118" i="20"/>
  <c r="Q118" i="20"/>
  <c r="C140" i="20" s="1"/>
  <c r="P118" i="20"/>
  <c r="O118" i="20"/>
  <c r="C138" i="20" s="1"/>
  <c r="N118" i="20"/>
  <c r="C137" i="20" s="1"/>
  <c r="M118" i="20"/>
  <c r="C136" i="20" s="1"/>
  <c r="L118" i="20"/>
  <c r="C135" i="20" s="1"/>
  <c r="K95" i="20"/>
  <c r="J95" i="20"/>
  <c r="I95" i="20"/>
  <c r="H95" i="20"/>
  <c r="G95" i="20"/>
  <c r="F95" i="20"/>
  <c r="E95" i="20"/>
  <c r="D95" i="20"/>
  <c r="C95" i="20"/>
  <c r="BD75" i="20"/>
  <c r="BD74" i="20"/>
  <c r="G158" i="20" s="1"/>
  <c r="BD73" i="20"/>
  <c r="G157" i="20" s="1"/>
  <c r="BK72" i="20"/>
  <c r="BD70" i="20"/>
  <c r="BD69" i="20"/>
  <c r="G153" i="20" s="1"/>
  <c r="BK68" i="20"/>
  <c r="BK67" i="20"/>
  <c r="BD66" i="20"/>
  <c r="G150" i="20" s="1"/>
  <c r="BD65" i="20"/>
  <c r="G149" i="20" s="1"/>
  <c r="BK64" i="20"/>
  <c r="BK63" i="20"/>
  <c r="BK62" i="20"/>
  <c r="BD61" i="20"/>
  <c r="G145" i="20" s="1"/>
  <c r="BK60" i="20"/>
  <c r="BK59" i="20"/>
  <c r="BK58" i="20"/>
  <c r="BK57" i="20"/>
  <c r="BD56" i="20"/>
  <c r="G140" i="20" s="1"/>
  <c r="BK55" i="20"/>
  <c r="BD54" i="20"/>
  <c r="G138" i="20" s="1"/>
  <c r="BK53" i="20"/>
  <c r="BD52" i="20"/>
  <c r="G136" i="20" s="1"/>
  <c r="BK51" i="20"/>
  <c r="BK50" i="20"/>
  <c r="BK49" i="20"/>
  <c r="BK48" i="20"/>
  <c r="BK47" i="20"/>
  <c r="BK46" i="20"/>
  <c r="BK45" i="20"/>
  <c r="BK44" i="20"/>
  <c r="BK43" i="20"/>
  <c r="BK42" i="20"/>
  <c r="BD50" i="15"/>
  <c r="BD52" i="15"/>
  <c r="BD54" i="15"/>
  <c r="BD56" i="15"/>
  <c r="BD61" i="15"/>
  <c r="BD65" i="15"/>
  <c r="BD66" i="15"/>
  <c r="BD69" i="15"/>
  <c r="G153" i="15" s="1"/>
  <c r="BD70" i="15"/>
  <c r="G154" i="15" s="1"/>
  <c r="BD73" i="15"/>
  <c r="G157" i="15" s="1"/>
  <c r="BD74" i="15"/>
  <c r="G158" i="15" s="1"/>
  <c r="BD75" i="15"/>
  <c r="C141" i="15"/>
  <c r="C140" i="15"/>
  <c r="C139" i="15"/>
  <c r="C138" i="15"/>
  <c r="AF118" i="15"/>
  <c r="C155" i="15" s="1"/>
  <c r="AG118" i="15"/>
  <c r="C156" i="15" s="1"/>
  <c r="AH118" i="15"/>
  <c r="C157" i="15" s="1"/>
  <c r="AI118" i="15"/>
  <c r="C158" i="15" s="1"/>
  <c r="AJ118" i="15"/>
  <c r="C159" i="15" s="1"/>
  <c r="BK72" i="15"/>
  <c r="G159" i="15"/>
  <c r="K95" i="15"/>
  <c r="K118" i="15"/>
  <c r="C134" i="15" s="1"/>
  <c r="D95" i="15"/>
  <c r="E95" i="15"/>
  <c r="F95" i="15"/>
  <c r="G95" i="15"/>
  <c r="H95" i="15"/>
  <c r="I95" i="15"/>
  <c r="J95" i="15"/>
  <c r="C95" i="15"/>
  <c r="AA118" i="15"/>
  <c r="C150" i="15" s="1"/>
  <c r="AB118" i="15"/>
  <c r="C151" i="15" s="1"/>
  <c r="AC118" i="15"/>
  <c r="C152" i="15" s="1"/>
  <c r="AD118" i="15"/>
  <c r="C153" i="15" s="1"/>
  <c r="AE118" i="15"/>
  <c r="C154" i="15" s="1"/>
  <c r="L118" i="15"/>
  <c r="C135" i="15" s="1"/>
  <c r="M118" i="15"/>
  <c r="C136" i="15" s="1"/>
  <c r="N118" i="15"/>
  <c r="C137" i="15" s="1"/>
  <c r="O118" i="15"/>
  <c r="P118" i="15"/>
  <c r="Q118" i="15"/>
  <c r="R118" i="15"/>
  <c r="S118" i="15"/>
  <c r="C142" i="15" s="1"/>
  <c r="T118" i="15"/>
  <c r="C143" i="15" s="1"/>
  <c r="U118" i="15"/>
  <c r="C144" i="15" s="1"/>
  <c r="V118" i="15"/>
  <c r="C145" i="15" s="1"/>
  <c r="W118" i="15"/>
  <c r="C146" i="15" s="1"/>
  <c r="X118" i="15"/>
  <c r="C147" i="15" s="1"/>
  <c r="Y118" i="15"/>
  <c r="C148" i="15" s="1"/>
  <c r="Z118" i="15"/>
  <c r="C149" i="15" s="1"/>
  <c r="EA118" i="9"/>
  <c r="J282" i="11"/>
  <c r="D282" i="11"/>
  <c r="J281" i="11"/>
  <c r="G265" i="11"/>
  <c r="J266" i="11"/>
  <c r="D266" i="11"/>
  <c r="J265" i="11"/>
  <c r="DY105" i="9"/>
  <c r="P19" i="3"/>
  <c r="D42" i="3"/>
  <c r="D264" i="11" s="1"/>
  <c r="U20" i="3"/>
  <c r="M248" i="11"/>
  <c r="M247" i="11"/>
  <c r="G248" i="11" s="1"/>
  <c r="AH148" i="9"/>
  <c r="P13" i="3"/>
  <c r="Q13" i="3" s="1"/>
  <c r="U6" i="3"/>
  <c r="M223" i="11"/>
  <c r="M222" i="11"/>
  <c r="G223" i="11" s="1"/>
  <c r="E40" i="3"/>
  <c r="O155" i="9" s="1"/>
  <c r="BH260" i="9"/>
  <c r="BI260" i="9" s="1"/>
  <c r="D103" i="11"/>
  <c r="D105" i="11" s="1"/>
  <c r="C104" i="11"/>
  <c r="F100" i="11"/>
  <c r="BK58" i="15"/>
  <c r="BK57" i="15"/>
  <c r="BK62" i="15"/>
  <c r="G150" i="15"/>
  <c r="BK42" i="15"/>
  <c r="BK45" i="15"/>
  <c r="BK46" i="15"/>
  <c r="BK47" i="15"/>
  <c r="BK48" i="15"/>
  <c r="BK49" i="15"/>
  <c r="BK43" i="15"/>
  <c r="BK44" i="15"/>
  <c r="BK51" i="15"/>
  <c r="BK53" i="15"/>
  <c r="BK55" i="15"/>
  <c r="E18" i="3"/>
  <c r="BR230" i="9" s="1"/>
  <c r="EH237" i="9"/>
  <c r="BG210" i="9"/>
  <c r="BR229" i="9"/>
  <c r="CS229" i="9"/>
  <c r="EA156" i="9"/>
  <c r="DC237" i="9"/>
  <c r="AA81" i="11"/>
  <c r="DO131" i="9"/>
  <c r="L22" i="13" s="1"/>
  <c r="AO210" i="9"/>
  <c r="M17" i="13" s="1"/>
  <c r="M12" i="13"/>
  <c r="BG130" i="9"/>
  <c r="N12" i="13" s="1"/>
  <c r="AN46" i="9"/>
  <c r="M6" i="13" s="1"/>
  <c r="Q59" i="11"/>
  <c r="Q60" i="11" s="1"/>
  <c r="E33" i="14"/>
  <c r="D13" i="11"/>
  <c r="E13" i="11" s="1"/>
  <c r="D12" i="11"/>
  <c r="E12" i="11" s="1"/>
  <c r="Z218" i="9"/>
  <c r="Z219" i="9"/>
  <c r="Z220" i="9"/>
  <c r="Z221" i="9"/>
  <c r="Z217" i="9"/>
  <c r="H91" i="11"/>
  <c r="G91" i="11"/>
  <c r="D86" i="11"/>
  <c r="CJ237" i="9"/>
  <c r="CG243" i="9"/>
  <c r="E32" i="3"/>
  <c r="D35" i="3"/>
  <c r="D37" i="3"/>
  <c r="D38" i="3"/>
  <c r="D39" i="3"/>
  <c r="D34" i="3"/>
  <c r="D33" i="3"/>
  <c r="D31" i="3"/>
  <c r="L132" i="9"/>
  <c r="K48" i="9"/>
  <c r="K49" i="9"/>
  <c r="K50" i="9"/>
  <c r="K51" i="9"/>
  <c r="E21" i="3"/>
  <c r="P33" i="8"/>
  <c r="D6" i="3"/>
  <c r="M130" i="9" s="1"/>
  <c r="D29" i="3"/>
  <c r="BP131" i="9" s="1"/>
  <c r="D28" i="3"/>
  <c r="BO61" i="9" s="1"/>
  <c r="D27" i="3"/>
  <c r="AE48" i="9" s="1"/>
  <c r="AF48" i="9" s="1"/>
  <c r="D26" i="3"/>
  <c r="M214" i="9" s="1"/>
  <c r="D25" i="3"/>
  <c r="AX213" i="9" s="1"/>
  <c r="D24" i="3"/>
  <c r="CH221" i="9" s="1"/>
  <c r="D23" i="3"/>
  <c r="D22" i="3"/>
  <c r="AE51" i="9" s="1"/>
  <c r="AF51" i="9" s="1"/>
  <c r="D20" i="3"/>
  <c r="M60" i="11" s="1"/>
  <c r="D19" i="3"/>
  <c r="CH241" i="9" s="1"/>
  <c r="D14" i="3"/>
  <c r="M47" i="9" s="1"/>
  <c r="D13" i="3"/>
  <c r="D11" i="3"/>
  <c r="D7" i="3"/>
  <c r="D5" i="3"/>
  <c r="Y54" i="8" s="1"/>
  <c r="D10" i="3"/>
  <c r="AF215" i="9" s="1"/>
  <c r="D17" i="3"/>
  <c r="BP212" i="9" s="1"/>
  <c r="D21" i="3"/>
  <c r="E92" i="11" s="1"/>
  <c r="H61" i="11"/>
  <c r="Q61" i="11" s="1"/>
  <c r="AU49" i="9"/>
  <c r="BM60" i="9" s="1"/>
  <c r="AU50" i="9"/>
  <c r="BM61" i="9" s="1"/>
  <c r="AU51" i="9"/>
  <c r="BM62" i="9" s="1"/>
  <c r="AU48" i="9"/>
  <c r="BM59" i="9" s="1"/>
  <c r="E7" i="13"/>
  <c r="F8" i="13"/>
  <c r="EK117" i="9"/>
  <c r="EL117" i="9" s="1"/>
  <c r="DP107" i="9"/>
  <c r="DQ107" i="9" s="1"/>
  <c r="DP120" i="9"/>
  <c r="DQ120" i="9" s="1"/>
  <c r="Z4" i="3"/>
  <c r="BO132" i="9"/>
  <c r="AW132" i="9"/>
  <c r="AE132" i="9"/>
  <c r="E29" i="3"/>
  <c r="AZ131" i="9" s="1"/>
  <c r="E27" i="3"/>
  <c r="AG48" i="9" s="1"/>
  <c r="C28" i="3"/>
  <c r="E28" i="3" s="1"/>
  <c r="O50" i="9" s="1"/>
  <c r="Y222" i="9"/>
  <c r="E26" i="3"/>
  <c r="AH214" i="9" s="1"/>
  <c r="E25" i="3"/>
  <c r="O213" i="9" s="1"/>
  <c r="E24" i="3"/>
  <c r="CJ221" i="9" s="1"/>
  <c r="E23" i="3"/>
  <c r="E22" i="3"/>
  <c r="E33" i="3" s="1"/>
  <c r="BG194" i="9"/>
  <c r="BG193" i="9"/>
  <c r="BG192" i="9"/>
  <c r="BG191" i="9"/>
  <c r="BG190" i="9"/>
  <c r="BF195" i="9" s="1"/>
  <c r="Y185" i="9"/>
  <c r="Y186" i="9"/>
  <c r="E226" i="9"/>
  <c r="Y187" i="9"/>
  <c r="Y188" i="9"/>
  <c r="Y189" i="9"/>
  <c r="Y190" i="9"/>
  <c r="E227" i="9"/>
  <c r="Y191" i="9"/>
  <c r="Y192" i="9"/>
  <c r="E228" i="9"/>
  <c r="Y193" i="9"/>
  <c r="Y194" i="9"/>
  <c r="E142" i="9"/>
  <c r="E145" i="9"/>
  <c r="E146" i="9"/>
  <c r="E147" i="9"/>
  <c r="E157" i="9"/>
  <c r="E148" i="9"/>
  <c r="E141" i="9"/>
  <c r="BG114" i="9"/>
  <c r="BG115" i="9"/>
  <c r="BH30" i="9"/>
  <c r="BH31" i="9"/>
  <c r="BH32" i="9"/>
  <c r="BH33" i="9"/>
  <c r="BH34" i="9"/>
  <c r="BH28" i="9"/>
  <c r="E66" i="9"/>
  <c r="E67" i="9"/>
  <c r="E68" i="9"/>
  <c r="E69" i="9"/>
  <c r="E70" i="9"/>
  <c r="E71" i="9"/>
  <c r="BG29" i="9"/>
  <c r="D65" i="9"/>
  <c r="E65" i="9" s="1"/>
  <c r="BF113" i="9"/>
  <c r="D143" i="9"/>
  <c r="D144" i="9"/>
  <c r="E144" i="9" s="1"/>
  <c r="E43" i="11"/>
  <c r="E41" i="11" s="1"/>
  <c r="E37" i="11" s="1"/>
  <c r="E36" i="11" s="1"/>
  <c r="E30" i="11"/>
  <c r="E27" i="11" s="1"/>
  <c r="E16" i="3"/>
  <c r="CJ239" i="9" s="1"/>
  <c r="E20" i="3"/>
  <c r="AX44" i="8" s="1"/>
  <c r="E19" i="3"/>
  <c r="AX45" i="8" s="1"/>
  <c r="CD43" i="8"/>
  <c r="CD42" i="8"/>
  <c r="CC43" i="8"/>
  <c r="CC42" i="8"/>
  <c r="CF43" i="8"/>
  <c r="CE43" i="8"/>
  <c r="CF42" i="8"/>
  <c r="CE42" i="8"/>
  <c r="H14" i="17" l="1"/>
  <c r="J217" i="11"/>
  <c r="M224" i="11"/>
  <c r="J242" i="11"/>
  <c r="M249" i="11"/>
  <c r="E229" i="9"/>
  <c r="Q19" i="3"/>
  <c r="Q20" i="3" s="1"/>
  <c r="U19" i="3" s="1"/>
  <c r="R19" i="3"/>
  <c r="R20" i="3" s="1"/>
  <c r="V19" i="3" s="1"/>
  <c r="V20" i="3" s="1"/>
  <c r="C42" i="3" s="1"/>
  <c r="E42" i="3" s="1"/>
  <c r="EA105" i="9" s="1"/>
  <c r="AF148" i="9"/>
  <c r="D249" i="11"/>
  <c r="Q14" i="3"/>
  <c r="U13" i="3" s="1"/>
  <c r="J249" i="11"/>
  <c r="J248" i="11"/>
  <c r="U14" i="3"/>
  <c r="M168" i="9"/>
  <c r="O168" i="9"/>
  <c r="AF147" i="9"/>
  <c r="AH147" i="9"/>
  <c r="R13" i="3"/>
  <c r="R14" i="3" s="1"/>
  <c r="AE68" i="9"/>
  <c r="AG69" i="9"/>
  <c r="AG68" i="9"/>
  <c r="O241" i="9"/>
  <c r="AE69" i="9"/>
  <c r="J223" i="11"/>
  <c r="AF232" i="9"/>
  <c r="AH232" i="9"/>
  <c r="AF233" i="9"/>
  <c r="AH233" i="9"/>
  <c r="M241" i="9"/>
  <c r="M77" i="9"/>
  <c r="O77" i="9"/>
  <c r="J224" i="11"/>
  <c r="D224" i="11"/>
  <c r="E193" i="11"/>
  <c r="CH254" i="9"/>
  <c r="E84" i="11"/>
  <c r="E103" i="11"/>
  <c r="D112" i="11"/>
  <c r="AF211" i="9"/>
  <c r="AF214" i="9"/>
  <c r="E152" i="11"/>
  <c r="O152" i="11"/>
  <c r="D32" i="3"/>
  <c r="J112" i="11"/>
  <c r="EA157" i="9"/>
  <c r="EH238" i="9"/>
  <c r="BR258" i="9"/>
  <c r="DY156" i="9"/>
  <c r="J111" i="11"/>
  <c r="E155" i="11"/>
  <c r="O154" i="11"/>
  <c r="H37" i="8"/>
  <c r="EX146" i="9"/>
  <c r="D40" i="3"/>
  <c r="BR232" i="9"/>
  <c r="D41" i="3"/>
  <c r="E35" i="3"/>
  <c r="DA237" i="9"/>
  <c r="DC238" i="9"/>
  <c r="BR247" i="9"/>
  <c r="CH237" i="9"/>
  <c r="N91" i="11"/>
  <c r="AF212" i="9"/>
  <c r="AH213" i="9"/>
  <c r="AB75" i="11"/>
  <c r="AB87" i="11"/>
  <c r="BP214" i="9"/>
  <c r="M212" i="9"/>
  <c r="D18" i="3"/>
  <c r="AJ98" i="11"/>
  <c r="BR214" i="9"/>
  <c r="AB98" i="11"/>
  <c r="EF237" i="9"/>
  <c r="D16" i="3"/>
  <c r="AB77" i="11" s="1"/>
  <c r="EA159" i="9"/>
  <c r="BR213" i="9"/>
  <c r="O188" i="11"/>
  <c r="E102" i="11"/>
  <c r="AB101" i="11"/>
  <c r="BP215" i="9"/>
  <c r="AJ101" i="11"/>
  <c r="E160" i="11"/>
  <c r="BP216" i="9"/>
  <c r="CH256" i="9"/>
  <c r="CJ256" i="9"/>
  <c r="CJ254" i="9"/>
  <c r="AH211" i="9"/>
  <c r="EZ146" i="9"/>
  <c r="AF213" i="9"/>
  <c r="DA240" i="9"/>
  <c r="BP229" i="9"/>
  <c r="M211" i="9"/>
  <c r="EF240" i="9"/>
  <c r="AB79" i="11"/>
  <c r="DC240" i="9"/>
  <c r="BP232" i="9"/>
  <c r="EH240" i="9"/>
  <c r="AB90" i="11"/>
  <c r="BP247" i="9"/>
  <c r="BP211" i="9"/>
  <c r="D36" i="3"/>
  <c r="BR211" i="9"/>
  <c r="E186" i="11"/>
  <c r="E100" i="11"/>
  <c r="C100" i="11" s="1"/>
  <c r="D8" i="3"/>
  <c r="E189" i="11"/>
  <c r="E80" i="11"/>
  <c r="D12" i="3"/>
  <c r="DY159" i="9"/>
  <c r="BP213" i="9"/>
  <c r="O186" i="11"/>
  <c r="E101" i="11"/>
  <c r="H59" i="11"/>
  <c r="O214" i="9"/>
  <c r="M215" i="9"/>
  <c r="M216" i="9"/>
  <c r="O211" i="9"/>
  <c r="E94" i="11"/>
  <c r="E93" i="11"/>
  <c r="M213" i="9"/>
  <c r="CJ241" i="9"/>
  <c r="E91" i="11"/>
  <c r="AF216" i="9"/>
  <c r="CJ242" i="9"/>
  <c r="Z222" i="9"/>
  <c r="M46" i="9"/>
  <c r="C74" i="11"/>
  <c r="M36" i="11"/>
  <c r="M51" i="9"/>
  <c r="N51" i="9" s="1"/>
  <c r="D30" i="3"/>
  <c r="E30" i="3"/>
  <c r="M131" i="9"/>
  <c r="M132" i="9" s="1"/>
  <c r="O131" i="9"/>
  <c r="O51" i="9"/>
  <c r="M50" i="9"/>
  <c r="N50" i="9" s="1"/>
  <c r="M49" i="9"/>
  <c r="N49" i="9" s="1"/>
  <c r="O49" i="9"/>
  <c r="O48" i="9"/>
  <c r="M48" i="9"/>
  <c r="M37" i="11"/>
  <c r="Y53" i="8"/>
  <c r="Y55" i="8" s="1"/>
  <c r="X54" i="8" s="1"/>
  <c r="N14" i="8"/>
  <c r="AG51" i="9"/>
  <c r="N13" i="8"/>
  <c r="AW51" i="9"/>
  <c r="AX51" i="9" s="1"/>
  <c r="BQ60" i="9"/>
  <c r="D61" i="11"/>
  <c r="AZ211" i="9"/>
  <c r="CJ144" i="9"/>
  <c r="M61" i="11"/>
  <c r="BR156" i="9"/>
  <c r="CJ145" i="9"/>
  <c r="CL144" i="9"/>
  <c r="Y52" i="8"/>
  <c r="AE50" i="9"/>
  <c r="AF50" i="9" s="1"/>
  <c r="M35" i="11"/>
  <c r="M38" i="11"/>
  <c r="BM63" i="9"/>
  <c r="BN60" i="9" s="1"/>
  <c r="BP61" i="9"/>
  <c r="E15" i="13"/>
  <c r="BG35" i="9"/>
  <c r="BO59" i="9"/>
  <c r="BP59" i="9" s="1"/>
  <c r="BO60" i="9"/>
  <c r="BP60" i="9" s="1"/>
  <c r="H35" i="11"/>
  <c r="AF131" i="9"/>
  <c r="H39" i="11"/>
  <c r="AW50" i="9"/>
  <c r="AX50" i="9" s="1"/>
  <c r="BP145" i="9"/>
  <c r="AY48" i="9"/>
  <c r="AY51" i="9"/>
  <c r="AG49" i="9"/>
  <c r="BQ59" i="9"/>
  <c r="AG50" i="9"/>
  <c r="BQ61" i="9"/>
  <c r="AY50" i="9"/>
  <c r="BR131" i="9"/>
  <c r="BR145" i="9"/>
  <c r="CJ118" i="9"/>
  <c r="CJ119" i="9" s="1"/>
  <c r="AW48" i="9"/>
  <c r="AX48" i="9" s="1"/>
  <c r="BO62" i="9"/>
  <c r="BP62" i="9" s="1"/>
  <c r="AX131" i="9"/>
  <c r="CL118" i="9"/>
  <c r="AH131" i="9"/>
  <c r="BQ62" i="9"/>
  <c r="AE49" i="9"/>
  <c r="AF49" i="9" s="1"/>
  <c r="CH224" i="9"/>
  <c r="AY49" i="9"/>
  <c r="CH223" i="9"/>
  <c r="AW49" i="9"/>
  <c r="AX49" i="9" s="1"/>
  <c r="AX211" i="9"/>
  <c r="CJ223" i="9"/>
  <c r="AX214" i="9"/>
  <c r="AZ213" i="9"/>
  <c r="AZ214" i="9"/>
  <c r="CJ224" i="9"/>
  <c r="EX147" i="9"/>
  <c r="EA145" i="9"/>
  <c r="EZ147" i="9"/>
  <c r="H20" i="11"/>
  <c r="H23" i="11"/>
  <c r="DY145" i="9"/>
  <c r="V15" i="11"/>
  <c r="BG195" i="9"/>
  <c r="D72" i="9"/>
  <c r="E143" i="9"/>
  <c r="BG113" i="9"/>
  <c r="BG116" i="9" s="1"/>
  <c r="BH29" i="9"/>
  <c r="E72" i="9"/>
  <c r="E25" i="11"/>
  <c r="E32" i="11"/>
  <c r="V13" i="11" s="1"/>
  <c r="H51" i="8"/>
  <c r="F51" i="8"/>
  <c r="AV44" i="8"/>
  <c r="AV45" i="8"/>
  <c r="E14" i="8"/>
  <c r="CG43" i="8"/>
  <c r="CG42" i="8"/>
  <c r="D265" i="11" l="1"/>
  <c r="DY144" i="9"/>
  <c r="D281" i="11"/>
  <c r="E85" i="11"/>
  <c r="D280" i="11"/>
  <c r="DY118" i="9"/>
  <c r="J264" i="11"/>
  <c r="J280" i="11"/>
  <c r="M266" i="11"/>
  <c r="J259" i="11" s="1"/>
  <c r="DY106" i="9"/>
  <c r="DY119" i="9"/>
  <c r="M144" i="9"/>
  <c r="M145" i="9" s="1"/>
  <c r="AE67" i="9"/>
  <c r="AE70" i="9" s="1"/>
  <c r="AF146" i="9"/>
  <c r="AF149" i="9" s="1"/>
  <c r="J247" i="11"/>
  <c r="M155" i="9"/>
  <c r="M156" i="9" s="1"/>
  <c r="D247" i="11"/>
  <c r="M167" i="9"/>
  <c r="M169" i="9" s="1"/>
  <c r="D248" i="11"/>
  <c r="D222" i="11"/>
  <c r="M63" i="9"/>
  <c r="M64" i="9" s="1"/>
  <c r="M226" i="9"/>
  <c r="M227" i="9" s="1"/>
  <c r="M62" i="11"/>
  <c r="E12" i="8"/>
  <c r="D111" i="11"/>
  <c r="D223" i="11"/>
  <c r="M76" i="9"/>
  <c r="M78" i="9" s="1"/>
  <c r="M240" i="9"/>
  <c r="M242" i="9" s="1"/>
  <c r="J222" i="11"/>
  <c r="AF231" i="9"/>
  <c r="AF234" i="9" s="1"/>
  <c r="AB99" i="11"/>
  <c r="BP156" i="9" a="1"/>
  <c r="BP156" i="9" s="1"/>
  <c r="BP157" i="9" s="1"/>
  <c r="BP230" i="9"/>
  <c r="F37" i="8" a="1"/>
  <c r="F37" i="8" s="1"/>
  <c r="D59" i="11"/>
  <c r="E187" i="11"/>
  <c r="EF238" i="9"/>
  <c r="CJ143" i="9"/>
  <c r="D110" i="11"/>
  <c r="BP258" i="9" a="1"/>
  <c r="BP258" i="9" s="1"/>
  <c r="BP259" i="9" s="1"/>
  <c r="M59" i="11"/>
  <c r="J110" i="11"/>
  <c r="Y50" i="8"/>
  <c r="BP217" i="9"/>
  <c r="AB88" i="11"/>
  <c r="DA238" i="9"/>
  <c r="AB80" i="11"/>
  <c r="CH239" i="9"/>
  <c r="CH242" i="9"/>
  <c r="AJ99" i="11"/>
  <c r="E153" i="11"/>
  <c r="DY157" i="9"/>
  <c r="O153" i="11"/>
  <c r="E83" i="11"/>
  <c r="E188" i="11"/>
  <c r="DY158" i="9"/>
  <c r="EF239" i="9"/>
  <c r="DA239" i="9"/>
  <c r="E192" i="11"/>
  <c r="BP246" i="9"/>
  <c r="BP248" i="9" s="1"/>
  <c r="AF217" i="9"/>
  <c r="E154" i="11"/>
  <c r="O187" i="11"/>
  <c r="CH255" i="9"/>
  <c r="CH257" i="9" s="1"/>
  <c r="AJ100" i="11"/>
  <c r="AB76" i="11"/>
  <c r="CH238" i="9"/>
  <c r="E81" i="11"/>
  <c r="AB78" i="11"/>
  <c r="Y51" i="8"/>
  <c r="BP231" i="9"/>
  <c r="AB100" i="11"/>
  <c r="E159" i="11"/>
  <c r="E161" i="11" s="1"/>
  <c r="CH240" i="9"/>
  <c r="AB89" i="11"/>
  <c r="D60" i="11"/>
  <c r="E82" i="11"/>
  <c r="M217" i="9"/>
  <c r="X53" i="8"/>
  <c r="M52" i="9"/>
  <c r="N48" i="9"/>
  <c r="BV55" i="9"/>
  <c r="BN59" i="9"/>
  <c r="BN61" i="9"/>
  <c r="BN62" i="9"/>
  <c r="BF116" i="9"/>
  <c r="BO63" i="9"/>
  <c r="BP63" i="9"/>
  <c r="BH35" i="9"/>
  <c r="E22" i="11"/>
  <c r="E26" i="11"/>
  <c r="V12" i="11" s="1"/>
  <c r="E17" i="3"/>
  <c r="BR212" i="9" s="1"/>
  <c r="BO21" i="8"/>
  <c r="BO20" i="8"/>
  <c r="BF44" i="8"/>
  <c r="BE44" i="8"/>
  <c r="BF43" i="8"/>
  <c r="BE43" i="8"/>
  <c r="Q6" i="3"/>
  <c r="BD44" i="8" s="1"/>
  <c r="P7" i="3"/>
  <c r="BN22" i="8" s="1"/>
  <c r="P6" i="3"/>
  <c r="BC44" i="8" s="1"/>
  <c r="Q5" i="3"/>
  <c r="BD43" i="8" s="1"/>
  <c r="P5" i="3"/>
  <c r="BN20" i="8" s="1"/>
  <c r="Q7" i="3"/>
  <c r="BD45" i="8" s="1"/>
  <c r="S7" i="3"/>
  <c r="R7" i="3"/>
  <c r="L5" i="3"/>
  <c r="K5" i="3"/>
  <c r="V86" i="15" l="1"/>
  <c r="V95" i="15" s="1"/>
  <c r="BK61" i="20"/>
  <c r="V95" i="20"/>
  <c r="BJ61" i="15"/>
  <c r="V13" i="3"/>
  <c r="V14" i="3" s="1"/>
  <c r="C41" i="3" s="1"/>
  <c r="E41" i="3" s="1"/>
  <c r="D62" i="11"/>
  <c r="E6" i="13"/>
  <c r="E8" i="13" s="1"/>
  <c r="BK50" i="15"/>
  <c r="BN63" i="9"/>
  <c r="O212" i="9"/>
  <c r="AH212" i="9"/>
  <c r="DY132" i="9"/>
  <c r="CJ130" i="9"/>
  <c r="CJ131" i="9" s="1"/>
  <c r="CL130" i="9"/>
  <c r="EA132" i="9"/>
  <c r="BR60" i="9"/>
  <c r="BS60" i="9" s="1"/>
  <c r="BR59" i="9"/>
  <c r="BS59" i="9" s="1"/>
  <c r="BR61" i="9"/>
  <c r="BS61" i="9" s="1"/>
  <c r="BR62" i="9"/>
  <c r="BS62" i="9" s="1"/>
  <c r="AX212" i="9"/>
  <c r="CH222" i="9"/>
  <c r="CJ222" i="9"/>
  <c r="AZ212" i="9"/>
  <c r="H30" i="11"/>
  <c r="H27" i="11"/>
  <c r="H41" i="11"/>
  <c r="H37" i="11"/>
  <c r="E19" i="11"/>
  <c r="E21" i="11"/>
  <c r="M5" i="3"/>
  <c r="BG44" i="8"/>
  <c r="CF44" i="8"/>
  <c r="CD44" i="8"/>
  <c r="BC45" i="8"/>
  <c r="CC44" i="8"/>
  <c r="CE44" i="8"/>
  <c r="BE45" i="8"/>
  <c r="BF45" i="8"/>
  <c r="BC43" i="8"/>
  <c r="BG43" i="8" s="1"/>
  <c r="BN21" i="8"/>
  <c r="BO22" i="8"/>
  <c r="E37" i="8"/>
  <c r="E38" i="8" s="1"/>
  <c r="E15" i="3"/>
  <c r="E14" i="3"/>
  <c r="BR216" i="9" s="1"/>
  <c r="E13" i="3"/>
  <c r="E12" i="3"/>
  <c r="O167" i="9" s="1"/>
  <c r="E11" i="3"/>
  <c r="E10" i="3"/>
  <c r="BR215" i="9" s="1"/>
  <c r="E9" i="3"/>
  <c r="EZ130" i="9" s="1"/>
  <c r="E8" i="3"/>
  <c r="AH146" i="9" s="1"/>
  <c r="E7" i="3"/>
  <c r="E6" i="3"/>
  <c r="O130" i="9" s="1"/>
  <c r="E5" i="3"/>
  <c r="BX43" i="8"/>
  <c r="BX44" i="8"/>
  <c r="BV43" i="8"/>
  <c r="BV44" i="8"/>
  <c r="D9" i="3"/>
  <c r="AE47" i="9"/>
  <c r="AE46" i="9"/>
  <c r="O144" i="9" l="1"/>
  <c r="O63" i="9"/>
  <c r="O226" i="9"/>
  <c r="AH231" i="9"/>
  <c r="AG67" i="9"/>
  <c r="O240" i="9"/>
  <c r="O76" i="9"/>
  <c r="E36" i="3"/>
  <c r="CJ238" i="9" s="1" a="1"/>
  <c r="CJ238" i="9" s="1"/>
  <c r="CJ210" i="9"/>
  <c r="CJ240" i="9"/>
  <c r="CJ255" i="9"/>
  <c r="CJ257" i="9" s="1"/>
  <c r="EA158" i="9"/>
  <c r="EA160" i="9" s="1"/>
  <c r="BR246" i="9"/>
  <c r="BR231" i="9"/>
  <c r="BR233" i="9" s="1"/>
  <c r="DC239" i="9"/>
  <c r="DC241" i="9" s="1"/>
  <c r="EH239" i="9"/>
  <c r="EH241" i="9" s="1"/>
  <c r="E31" i="3"/>
  <c r="E34" i="3"/>
  <c r="E37" i="3"/>
  <c r="E39" i="3"/>
  <c r="E38" i="3"/>
  <c r="AH215" i="9"/>
  <c r="O215" i="9"/>
  <c r="AH216" i="9"/>
  <c r="O216" i="9"/>
  <c r="O46" i="9"/>
  <c r="O47" i="9"/>
  <c r="BT60" i="9"/>
  <c r="BU60" i="9" s="1"/>
  <c r="BV60" i="9" s="1"/>
  <c r="BW60" i="9" s="1"/>
  <c r="BT59" i="9"/>
  <c r="BU59" i="9" s="1"/>
  <c r="BV59" i="9" s="1"/>
  <c r="BW59" i="9" s="1"/>
  <c r="BT61" i="9"/>
  <c r="BU61" i="9" s="1"/>
  <c r="BV61" i="9" s="1"/>
  <c r="BW61" i="9" s="1"/>
  <c r="BT62" i="9"/>
  <c r="BU62" i="9" s="1"/>
  <c r="BV62" i="9" s="1"/>
  <c r="BW62" i="9" s="1"/>
  <c r="H38" i="11"/>
  <c r="CJ142" i="9"/>
  <c r="AY46" i="9"/>
  <c r="AG46" i="9"/>
  <c r="BR144" i="9"/>
  <c r="AF130" i="9"/>
  <c r="BP130" i="9"/>
  <c r="BP132" i="9" s="1"/>
  <c r="AX130" i="9"/>
  <c r="AX132" i="9" s="1"/>
  <c r="BR130" i="9"/>
  <c r="AH130" i="9"/>
  <c r="AZ130" i="9"/>
  <c r="BP144" i="9"/>
  <c r="EZ145" i="9"/>
  <c r="CL142" i="9"/>
  <c r="AY47" i="9"/>
  <c r="AG47" i="9"/>
  <c r="AE52" i="9"/>
  <c r="AX216" i="9"/>
  <c r="AW47" i="9"/>
  <c r="CH226" i="9"/>
  <c r="CJ226" i="9"/>
  <c r="AZ216" i="9"/>
  <c r="AX215" i="9"/>
  <c r="CH225" i="9"/>
  <c r="AW46" i="9"/>
  <c r="AZ215" i="9"/>
  <c r="CJ225" i="9"/>
  <c r="BO46" i="9"/>
  <c r="DY130" i="9"/>
  <c r="F12" i="11"/>
  <c r="H29" i="11"/>
  <c r="BQ46" i="9"/>
  <c r="EA130" i="9"/>
  <c r="H50" i="8"/>
  <c r="EA144" i="9"/>
  <c r="EA131" i="9"/>
  <c r="BQ47" i="9"/>
  <c r="DY131" i="9"/>
  <c r="H42" i="11"/>
  <c r="BO47" i="9"/>
  <c r="H36" i="11"/>
  <c r="EA133" i="9"/>
  <c r="DY146" i="9"/>
  <c r="H21" i="11"/>
  <c r="EZ108" i="9"/>
  <c r="EZ109" i="9" s="1"/>
  <c r="EX130" i="9"/>
  <c r="EX131" i="9" s="1"/>
  <c r="H31" i="11"/>
  <c r="H43" i="11"/>
  <c r="EX108" i="9"/>
  <c r="EX109" i="9" s="1"/>
  <c r="EX145" i="9"/>
  <c r="EX148" i="9" s="1"/>
  <c r="H25" i="11"/>
  <c r="H22" i="11"/>
  <c r="H32" i="11"/>
  <c r="DY133" i="9"/>
  <c r="H26" i="11"/>
  <c r="H19" i="11"/>
  <c r="CH210" i="9"/>
  <c r="EZ131" i="9"/>
  <c r="V11" i="11"/>
  <c r="E23" i="11"/>
  <c r="F13" i="11"/>
  <c r="G13" i="11" s="1"/>
  <c r="E13" i="8"/>
  <c r="F50" i="8"/>
  <c r="BV42" i="8"/>
  <c r="N12" i="8"/>
  <c r="AV43" i="8"/>
  <c r="BX42" i="8"/>
  <c r="AX43" i="8"/>
  <c r="CG44" i="8"/>
  <c r="CG45" i="8" s="1"/>
  <c r="BG45" i="8"/>
  <c r="BG46" i="8" s="1"/>
  <c r="AA43" i="8"/>
  <c r="AA45" i="8"/>
  <c r="Y43" i="8"/>
  <c r="F12" i="8"/>
  <c r="D5" i="8" s="1"/>
  <c r="I12" i="8" s="1"/>
  <c r="F38" i="8"/>
  <c r="Y45" i="8"/>
  <c r="BL22" i="8"/>
  <c r="BL20" i="8"/>
  <c r="Y44" i="8"/>
  <c r="BL21" i="8"/>
  <c r="AA44" i="8"/>
  <c r="M33" i="8"/>
  <c r="Q33" i="8" s="1"/>
  <c r="X43" i="8"/>
  <c r="CJ243" i="9" l="1"/>
  <c r="CH227" i="9"/>
  <c r="I13" i="8"/>
  <c r="I14" i="8" s="1"/>
  <c r="DY134" i="9"/>
  <c r="AF132" i="9"/>
  <c r="BP146" i="9"/>
  <c r="BV63" i="9"/>
  <c r="AW52" i="9"/>
  <c r="AX217" i="9"/>
  <c r="BO48" i="9"/>
  <c r="G12" i="11"/>
  <c r="BL23" i="8"/>
  <c r="G37" i="8"/>
  <c r="I37" i="8" s="1"/>
  <c r="J37" i="8" s="1"/>
  <c r="K37" i="8" s="1"/>
  <c r="L37" i="8" s="1"/>
  <c r="M37" i="8" s="1"/>
  <c r="Z43" i="8"/>
  <c r="Z55" i="8" s="1"/>
  <c r="R13" i="8"/>
  <c r="O13" i="8" s="1"/>
  <c r="M13" i="8" s="1"/>
  <c r="R12" i="8"/>
  <c r="O12" i="8" s="1"/>
  <c r="Z53" i="8" l="1"/>
  <c r="Z54" i="8"/>
  <c r="F14" i="8"/>
  <c r="D14" i="8" s="1"/>
  <c r="R14" i="8"/>
  <c r="G38" i="8"/>
  <c r="G14" i="11"/>
  <c r="F14" i="11"/>
  <c r="H13" i="11" s="1"/>
  <c r="F42" i="11" s="1"/>
  <c r="M38" i="8"/>
  <c r="N37" i="8"/>
  <c r="M12" i="8"/>
  <c r="F13" i="8"/>
  <c r="D13" i="8" s="1"/>
  <c r="AU44" i="8"/>
  <c r="BU43" i="8" s="1"/>
  <c r="BW43" i="8" s="1"/>
  <c r="N33" i="8" l="1"/>
  <c r="O14" i="8"/>
  <c r="H5" i="8"/>
  <c r="F43" i="11"/>
  <c r="N38" i="8"/>
  <c r="H12" i="11"/>
  <c r="BK21" i="8"/>
  <c r="BM21" i="8" s="1"/>
  <c r="BP21" i="8" s="1"/>
  <c r="BQ21" i="8" s="1"/>
  <c r="AW44" i="8"/>
  <c r="AU43" i="8"/>
  <c r="BU42" i="8" s="1"/>
  <c r="I12" i="11" l="1"/>
  <c r="J12" i="11" s="1"/>
  <c r="G42" i="11" s="1"/>
  <c r="I42" i="11" s="1"/>
  <c r="F29" i="11"/>
  <c r="F41" i="11"/>
  <c r="BW42" i="8"/>
  <c r="BK20" i="8"/>
  <c r="AW43" i="8"/>
  <c r="E50" i="8"/>
  <c r="E51" i="8"/>
  <c r="F15" i="8"/>
  <c r="G14" i="8" s="1"/>
  <c r="J42" i="11" l="1"/>
  <c r="DW131" i="9"/>
  <c r="G43" i="11"/>
  <c r="I43" i="11" s="1"/>
  <c r="F37" i="11"/>
  <c r="G41" i="11"/>
  <c r="I41" i="11" s="1"/>
  <c r="J41" i="11" s="1"/>
  <c r="F30" i="11"/>
  <c r="G29" i="11"/>
  <c r="I29" i="11" s="1"/>
  <c r="F31" i="11"/>
  <c r="G31" i="11" s="1"/>
  <c r="I31" i="11" s="1"/>
  <c r="BM20" i="8"/>
  <c r="BP20" i="8" s="1"/>
  <c r="BQ20" i="8" s="1"/>
  <c r="G12" i="8"/>
  <c r="G13" i="8"/>
  <c r="X45" i="8"/>
  <c r="G51" i="8"/>
  <c r="D15" i="8"/>
  <c r="X44" i="8"/>
  <c r="G50" i="8"/>
  <c r="E52" i="8"/>
  <c r="M46" i="8" s="1"/>
  <c r="M14" i="8"/>
  <c r="O15" i="8"/>
  <c r="P12" i="8" s="1"/>
  <c r="EV130" i="9" l="1"/>
  <c r="J29" i="11"/>
  <c r="DW130" i="9"/>
  <c r="J43" i="11"/>
  <c r="EV108" i="9"/>
  <c r="BM47" i="9"/>
  <c r="AU47" i="9" s="1"/>
  <c r="DZ131" i="9"/>
  <c r="J31" i="11"/>
  <c r="G30" i="11"/>
  <c r="I30" i="11" s="1"/>
  <c r="J30" i="11" s="1"/>
  <c r="F27" i="11"/>
  <c r="F32" i="11"/>
  <c r="G32" i="11" s="1"/>
  <c r="I32" i="11" s="1"/>
  <c r="M23" i="11" s="1"/>
  <c r="F36" i="11"/>
  <c r="G37" i="11"/>
  <c r="P13" i="8"/>
  <c r="P14" i="8"/>
  <c r="AU45" i="8"/>
  <c r="BU44" i="8" s="1"/>
  <c r="M15" i="8"/>
  <c r="G52" i="8"/>
  <c r="I50" i="8" s="1"/>
  <c r="Z44" i="8"/>
  <c r="X46" i="8"/>
  <c r="G15" i="8"/>
  <c r="AF38" i="8" l="1"/>
  <c r="S44" i="8" s="1"/>
  <c r="X50" i="8"/>
  <c r="X52" i="8"/>
  <c r="X51" i="8"/>
  <c r="I37" i="11"/>
  <c r="J37" i="11" s="1"/>
  <c r="O37" i="11"/>
  <c r="EV131" i="9"/>
  <c r="FE126" i="9" s="1"/>
  <c r="EY130" i="9"/>
  <c r="AC47" i="9"/>
  <c r="AX47" i="9"/>
  <c r="BP47" i="9"/>
  <c r="BM46" i="9"/>
  <c r="AU46" i="9" s="1"/>
  <c r="AC46" i="9" s="1"/>
  <c r="DZ130" i="9"/>
  <c r="EV109" i="9"/>
  <c r="FE104" i="9" s="1"/>
  <c r="EY108" i="9"/>
  <c r="J32" i="11"/>
  <c r="G36" i="11"/>
  <c r="F25" i="11"/>
  <c r="F26" i="11" s="1"/>
  <c r="G26" i="11" s="1"/>
  <c r="I26" i="11" s="1"/>
  <c r="J26" i="11" s="1"/>
  <c r="G27" i="11"/>
  <c r="I27" i="11" s="1"/>
  <c r="J27" i="11" s="1"/>
  <c r="BW44" i="8"/>
  <c r="BW45" i="8" s="1"/>
  <c r="BU45" i="8"/>
  <c r="CH38" i="8" s="1"/>
  <c r="BK22" i="8"/>
  <c r="AU46" i="8"/>
  <c r="BH38" i="8" s="1"/>
  <c r="I51" i="8"/>
  <c r="J51" i="8" s="1"/>
  <c r="K51" i="8" s="1"/>
  <c r="L51" i="8" s="1"/>
  <c r="M51" i="8" s="1"/>
  <c r="N51" i="8" s="1"/>
  <c r="J50" i="8"/>
  <c r="K50" i="8" s="1"/>
  <c r="L50" i="8" s="1"/>
  <c r="M50" i="8" s="1"/>
  <c r="Z45" i="8"/>
  <c r="Z46" i="8" s="1"/>
  <c r="AB43" i="8" s="1"/>
  <c r="AW45" i="8"/>
  <c r="P15" i="8"/>
  <c r="AJ93" i="15" l="1"/>
  <c r="AJ95" i="15" s="1"/>
  <c r="BJ75" i="15"/>
  <c r="BK75" i="15" s="1"/>
  <c r="AH93" i="15"/>
  <c r="BI73" i="15"/>
  <c r="BK73" i="15" s="1"/>
  <c r="AH95" i="15"/>
  <c r="EW108" i="9"/>
  <c r="EW130" i="9"/>
  <c r="BK68" i="15"/>
  <c r="G6" i="13"/>
  <c r="K46" i="9"/>
  <c r="N46" i="9" s="1"/>
  <c r="K47" i="9"/>
  <c r="N47" i="9" s="1"/>
  <c r="EY131" i="9"/>
  <c r="FA130" i="9" s="1"/>
  <c r="FA131" i="9" s="1"/>
  <c r="Z50" i="8"/>
  <c r="AA50" i="8" s="1"/>
  <c r="CH130" i="9"/>
  <c r="CK130" i="9" s="1"/>
  <c r="BM44" i="8"/>
  <c r="AL46" i="8"/>
  <c r="I36" i="11"/>
  <c r="L27" i="11" s="1"/>
  <c r="B51" i="11" s="1"/>
  <c r="C51" i="11" s="1"/>
  <c r="BO156" i="9" s="1"/>
  <c r="BN156" i="9" s="1"/>
  <c r="N37" i="11"/>
  <c r="AX46" i="9"/>
  <c r="AF47" i="9"/>
  <c r="AU52" i="9"/>
  <c r="FA108" i="9"/>
  <c r="EY109" i="9"/>
  <c r="BM48" i="9"/>
  <c r="BP46" i="9"/>
  <c r="G25" i="11"/>
  <c r="I25" i="11" s="1"/>
  <c r="J25" i="11" s="1"/>
  <c r="F22" i="11"/>
  <c r="I52" i="8"/>
  <c r="BM22" i="8"/>
  <c r="BK23" i="8"/>
  <c r="BP16" i="8" s="1"/>
  <c r="F52" i="8"/>
  <c r="AW46" i="8"/>
  <c r="M52" i="8"/>
  <c r="N54" i="8" s="1"/>
  <c r="N50" i="8"/>
  <c r="N52" i="8" s="1"/>
  <c r="N46" i="8" s="1"/>
  <c r="AC43" i="8"/>
  <c r="AD43" i="8" s="1"/>
  <c r="AE43" i="8" s="1"/>
  <c r="AF43" i="8" s="1"/>
  <c r="AG43" i="8" s="1"/>
  <c r="AB45" i="8"/>
  <c r="AC45" i="8" s="1"/>
  <c r="AD45" i="8" s="1"/>
  <c r="AE45" i="8" s="1"/>
  <c r="AF45" i="8" s="1"/>
  <c r="AG45" i="8" s="1"/>
  <c r="AB44" i="8"/>
  <c r="AC44" i="8" s="1"/>
  <c r="AD44" i="8" s="1"/>
  <c r="AE44" i="8" s="1"/>
  <c r="AF44" i="8" s="1"/>
  <c r="AG44" i="8" s="1"/>
  <c r="K130" i="9" l="1"/>
  <c r="N130" i="9" s="1"/>
  <c r="K52" i="9"/>
  <c r="L46" i="9" s="1"/>
  <c r="CH131" i="9"/>
  <c r="CQ126" i="9" s="1"/>
  <c r="N52" i="9"/>
  <c r="U46" i="8"/>
  <c r="R45" i="8"/>
  <c r="FB130" i="9"/>
  <c r="FC130" i="9" s="1"/>
  <c r="CK131" i="9"/>
  <c r="CM130" i="9" s="1"/>
  <c r="CN130" i="9" s="1"/>
  <c r="CO130" i="9" s="1"/>
  <c r="CP130" i="9" s="1"/>
  <c r="CQ130" i="9" s="1"/>
  <c r="BI34" i="9"/>
  <c r="BK34" i="9" s="1"/>
  <c r="BI28" i="9"/>
  <c r="BK28" i="9" s="1"/>
  <c r="BI33" i="9"/>
  <c r="BK33" i="9" s="1"/>
  <c r="BI31" i="9"/>
  <c r="BK31" i="9" s="1"/>
  <c r="BI30" i="9"/>
  <c r="BK30" i="9" s="1"/>
  <c r="BI32" i="9"/>
  <c r="BK32" i="9" s="1"/>
  <c r="BI29" i="9"/>
  <c r="BK29" i="9" s="1"/>
  <c r="AD50" i="9"/>
  <c r="AD49" i="9"/>
  <c r="BD42" i="9"/>
  <c r="AD48" i="9"/>
  <c r="AD51" i="9"/>
  <c r="AV46" i="9"/>
  <c r="AD47" i="9"/>
  <c r="AX52" i="9"/>
  <c r="AC52" i="9"/>
  <c r="AD46" i="9"/>
  <c r="AF46" i="9"/>
  <c r="AV50" i="9"/>
  <c r="AV51" i="9"/>
  <c r="AV48" i="9"/>
  <c r="AV49" i="9"/>
  <c r="AV47" i="9"/>
  <c r="BP48" i="9"/>
  <c r="BR47" i="9" s="1"/>
  <c r="BS47" i="9" s="1"/>
  <c r="BT47" i="9" s="1"/>
  <c r="BU47" i="9" s="1"/>
  <c r="BV47" i="9" s="1"/>
  <c r="BW47" i="9" s="1"/>
  <c r="BV42" i="9"/>
  <c r="BN47" i="9"/>
  <c r="BN46" i="9"/>
  <c r="FB108" i="9"/>
  <c r="FC108" i="9" s="1"/>
  <c r="FD108" i="9" s="1"/>
  <c r="FA109" i="9"/>
  <c r="F21" i="11"/>
  <c r="F23" i="11" s="1"/>
  <c r="G23" i="11" s="1"/>
  <c r="I23" i="11" s="1"/>
  <c r="G22" i="11"/>
  <c r="I22" i="11" s="1"/>
  <c r="J22" i="11" s="1"/>
  <c r="F19" i="11"/>
  <c r="G19" i="11" s="1"/>
  <c r="BY44" i="8"/>
  <c r="BZ44" i="8" s="1"/>
  <c r="CA44" i="8" s="1"/>
  <c r="CB44" i="8" s="1"/>
  <c r="CH44" i="8" s="1"/>
  <c r="CI44" i="8" s="1"/>
  <c r="BY42" i="8"/>
  <c r="BY43" i="8"/>
  <c r="BZ43" i="8" s="1"/>
  <c r="CA43" i="8" s="1"/>
  <c r="CB43" i="8" s="1"/>
  <c r="CH43" i="8" s="1"/>
  <c r="CI43" i="8" s="1"/>
  <c r="BP22" i="8"/>
  <c r="BM23" i="8"/>
  <c r="AY44" i="8"/>
  <c r="AY43" i="8"/>
  <c r="AY45" i="8"/>
  <c r="Y46" i="8"/>
  <c r="AF46" i="8"/>
  <c r="AB46" i="8"/>
  <c r="U86" i="15" l="1"/>
  <c r="BB60" i="15"/>
  <c r="L47" i="9"/>
  <c r="BB64" i="15"/>
  <c r="R83" i="15"/>
  <c r="AK83" i="15" s="1"/>
  <c r="E169" i="15" s="1"/>
  <c r="AV57" i="15"/>
  <c r="U95" i="15"/>
  <c r="AK86" i="15"/>
  <c r="E172" i="15" s="1"/>
  <c r="DW132" i="9"/>
  <c r="Y89" i="15"/>
  <c r="L50" i="9"/>
  <c r="L49" i="9"/>
  <c r="L51" i="9"/>
  <c r="L48" i="9"/>
  <c r="T42" i="9"/>
  <c r="C108" i="15" s="1"/>
  <c r="C118" i="15" s="1"/>
  <c r="C126" i="15" s="1"/>
  <c r="K131" i="9"/>
  <c r="N131" i="9" s="1"/>
  <c r="N132" i="9" s="1"/>
  <c r="P131" i="9" s="1"/>
  <c r="Q131" i="9" s="1"/>
  <c r="M19" i="11"/>
  <c r="BK35" i="9"/>
  <c r="AV50" i="20" s="1"/>
  <c r="BP23" i="8"/>
  <c r="BQ22" i="8"/>
  <c r="BQ23" i="8" s="1"/>
  <c r="BQ16" i="8" s="1"/>
  <c r="P51" i="9"/>
  <c r="P50" i="9"/>
  <c r="Q50" i="9" s="1"/>
  <c r="R50" i="9" s="1"/>
  <c r="S50" i="9" s="1"/>
  <c r="T50" i="9" s="1"/>
  <c r="U50" i="9" s="1"/>
  <c r="P48" i="9"/>
  <c r="P49" i="9"/>
  <c r="P46" i="9"/>
  <c r="Q46" i="9" s="1"/>
  <c r="R46" i="9" s="1"/>
  <c r="S46" i="9" s="1"/>
  <c r="T46" i="9" s="1"/>
  <c r="P47" i="9"/>
  <c r="Q47" i="9" s="1"/>
  <c r="R47" i="9" s="1"/>
  <c r="S47" i="9" s="1"/>
  <c r="T47" i="9" s="1"/>
  <c r="U47" i="9" s="1"/>
  <c r="BH46" i="9"/>
  <c r="AQ28" i="9"/>
  <c r="FB131" i="9"/>
  <c r="CR130" i="9"/>
  <c r="CQ131" i="9"/>
  <c r="BR46" i="9"/>
  <c r="BS46" i="9" s="1"/>
  <c r="BT46" i="9" s="1"/>
  <c r="BU46" i="9" s="1"/>
  <c r="AD52" i="9"/>
  <c r="F65" i="9"/>
  <c r="H65" i="9" s="1"/>
  <c r="AL42" i="9"/>
  <c r="F68" i="9"/>
  <c r="H68" i="9" s="1"/>
  <c r="F66" i="9"/>
  <c r="H66" i="9" s="1"/>
  <c r="F71" i="9"/>
  <c r="H71" i="9" s="1"/>
  <c r="F70" i="9"/>
  <c r="H70" i="9" s="1"/>
  <c r="F69" i="9"/>
  <c r="H69" i="9" s="1"/>
  <c r="F67" i="9"/>
  <c r="H67" i="9" s="1"/>
  <c r="AH49" i="9"/>
  <c r="AZ50" i="9"/>
  <c r="AZ51" i="9"/>
  <c r="AZ48" i="9"/>
  <c r="AH50" i="9"/>
  <c r="AH51" i="9"/>
  <c r="AI51" i="9" s="1"/>
  <c r="AJ51" i="9" s="1"/>
  <c r="AK51" i="9" s="1"/>
  <c r="AL51" i="9" s="1"/>
  <c r="AM51" i="9" s="1"/>
  <c r="AH48" i="9"/>
  <c r="AI48" i="9" s="1"/>
  <c r="AJ48" i="9" s="1"/>
  <c r="AK48" i="9" s="1"/>
  <c r="AL48" i="9" s="1"/>
  <c r="AM48" i="9" s="1"/>
  <c r="AZ49" i="9"/>
  <c r="AZ47" i="9"/>
  <c r="AZ46" i="9"/>
  <c r="AH47" i="9"/>
  <c r="AV52" i="9"/>
  <c r="AH46" i="9"/>
  <c r="AF52" i="9"/>
  <c r="FD130" i="9"/>
  <c r="FC131" i="9"/>
  <c r="FD109" i="9"/>
  <c r="FE108" i="9"/>
  <c r="J23" i="11"/>
  <c r="G21" i="11"/>
  <c r="I21" i="11" s="1"/>
  <c r="F20" i="11"/>
  <c r="G20" i="11" s="1"/>
  <c r="I20" i="11" s="1"/>
  <c r="J20" i="11" s="1"/>
  <c r="I19" i="11"/>
  <c r="L23" i="11" s="1"/>
  <c r="BV45" i="8"/>
  <c r="BY45" i="8"/>
  <c r="BZ42" i="8"/>
  <c r="CA42" i="8" s="1"/>
  <c r="CB42" i="8" s="1"/>
  <c r="CB45" i="8" s="1"/>
  <c r="AZ45" i="8"/>
  <c r="BA45" i="8" s="1"/>
  <c r="BB45" i="8" s="1"/>
  <c r="BH45" i="8" s="1"/>
  <c r="BI45" i="8" s="1"/>
  <c r="AZ44" i="8"/>
  <c r="BA44" i="8" s="1"/>
  <c r="BB44" i="8" s="1"/>
  <c r="BH44" i="8" s="1"/>
  <c r="BI44" i="8" s="1"/>
  <c r="AY46" i="8"/>
  <c r="AV46" i="8"/>
  <c r="AZ43" i="8"/>
  <c r="BA43" i="8" s="1"/>
  <c r="BB43" i="8" s="1"/>
  <c r="BH43" i="8" s="1"/>
  <c r="AG46" i="8"/>
  <c r="AG38" i="8" s="1"/>
  <c r="R95" i="15" l="1"/>
  <c r="K132" i="9"/>
  <c r="T126" i="9" s="1"/>
  <c r="L52" i="9"/>
  <c r="L80" i="15"/>
  <c r="L95" i="15" s="1"/>
  <c r="AV77" i="15"/>
  <c r="C172" i="15" s="1"/>
  <c r="BD57" i="15"/>
  <c r="AS51" i="15"/>
  <c r="BD64" i="15"/>
  <c r="G148" i="15" s="1"/>
  <c r="BD60" i="15"/>
  <c r="G144" i="15" s="1"/>
  <c r="Y95" i="15"/>
  <c r="AP42" i="15"/>
  <c r="G134" i="15"/>
  <c r="AS28" i="9"/>
  <c r="AS50" i="20" s="1"/>
  <c r="D109" i="15"/>
  <c r="D118" i="15" s="1"/>
  <c r="C127" i="15" s="1"/>
  <c r="AQ43" i="15"/>
  <c r="R131" i="9"/>
  <c r="S131" i="9" s="1"/>
  <c r="T131" i="9" s="1"/>
  <c r="U131" i="9" s="1"/>
  <c r="Q51" i="9"/>
  <c r="R51" i="9" s="1"/>
  <c r="S51" i="9" s="1"/>
  <c r="T51" i="9" s="1"/>
  <c r="U51" i="9" s="1"/>
  <c r="G8" i="12"/>
  <c r="AP46" i="9"/>
  <c r="P130" i="9"/>
  <c r="Q49" i="9"/>
  <c r="R49" i="9" s="1"/>
  <c r="S49" i="9" s="1"/>
  <c r="T49" i="9" s="1"/>
  <c r="U49" i="9" s="1"/>
  <c r="Q48" i="9"/>
  <c r="R48" i="9" s="1"/>
  <c r="S48" i="9" s="1"/>
  <c r="T48" i="9" s="1"/>
  <c r="U46" i="9"/>
  <c r="U45" i="8"/>
  <c r="R44" i="8"/>
  <c r="CR131" i="9"/>
  <c r="CR126" i="9" s="1"/>
  <c r="L19" i="11"/>
  <c r="BV46" i="9"/>
  <c r="BW63" i="9"/>
  <c r="BW55" i="9" s="1"/>
  <c r="H72" i="9"/>
  <c r="AI46" i="9"/>
  <c r="AJ46" i="9" s="1"/>
  <c r="AK46" i="9" s="1"/>
  <c r="AL46" i="9" s="1"/>
  <c r="BA48" i="9"/>
  <c r="BB48" i="9" s="1"/>
  <c r="BC48" i="9" s="1"/>
  <c r="BD48" i="9" s="1"/>
  <c r="BE48" i="9" s="1"/>
  <c r="BA51" i="9"/>
  <c r="BB51" i="9" s="1"/>
  <c r="BC51" i="9" s="1"/>
  <c r="BD51" i="9" s="1"/>
  <c r="BE51" i="9" s="1"/>
  <c r="BA50" i="9"/>
  <c r="BB50" i="9" s="1"/>
  <c r="BC50" i="9" s="1"/>
  <c r="BD50" i="9" s="1"/>
  <c r="BE50" i="9" s="1"/>
  <c r="AI47" i="9"/>
  <c r="AJ47" i="9" s="1"/>
  <c r="AK47" i="9" s="1"/>
  <c r="AL47" i="9" s="1"/>
  <c r="AM47" i="9" s="1"/>
  <c r="BA46" i="9"/>
  <c r="BB46" i="9" s="1"/>
  <c r="BC46" i="9" s="1"/>
  <c r="BD46" i="9" s="1"/>
  <c r="BA49" i="9"/>
  <c r="BB49" i="9" s="1"/>
  <c r="BC49" i="9" s="1"/>
  <c r="BD49" i="9" s="1"/>
  <c r="BE49" i="9" s="1"/>
  <c r="AI49" i="9"/>
  <c r="AJ49" i="9" s="1"/>
  <c r="AK49" i="9" s="1"/>
  <c r="AL49" i="9" s="1"/>
  <c r="AM49" i="9" s="1"/>
  <c r="BA47" i="9"/>
  <c r="BB47" i="9" s="1"/>
  <c r="BC47" i="9" s="1"/>
  <c r="BD47" i="9" s="1"/>
  <c r="BE47" i="9" s="1"/>
  <c r="AI50" i="9"/>
  <c r="AJ50" i="9" s="1"/>
  <c r="AK50" i="9" s="1"/>
  <c r="AL50" i="9" s="1"/>
  <c r="AM50" i="9" s="1"/>
  <c r="F72" i="9"/>
  <c r="K63" i="9" s="1"/>
  <c r="J21" i="11"/>
  <c r="FE109" i="9"/>
  <c r="FF108" i="9"/>
  <c r="FF109" i="9" s="1"/>
  <c r="FF104" i="9" s="1"/>
  <c r="FE130" i="9"/>
  <c r="FD131" i="9"/>
  <c r="J19" i="11"/>
  <c r="CH42" i="8"/>
  <c r="BB46" i="8"/>
  <c r="BI43" i="8"/>
  <c r="BH46" i="8"/>
  <c r="AR46" i="9" l="1"/>
  <c r="BJ46" i="9"/>
  <c r="BJ75" i="20"/>
  <c r="BK75" i="20" s="1"/>
  <c r="AJ93" i="20"/>
  <c r="AJ95" i="20" s="1"/>
  <c r="BB64" i="20"/>
  <c r="BD64" i="20" s="1"/>
  <c r="G148" i="20" s="1"/>
  <c r="Y89" i="20"/>
  <c r="Y95" i="20" s="1"/>
  <c r="BD51" i="15"/>
  <c r="AS77" i="15"/>
  <c r="C169" i="15" s="1"/>
  <c r="BD42" i="15"/>
  <c r="G126" i="15" s="1"/>
  <c r="G7" i="17"/>
  <c r="I7" i="17" s="1"/>
  <c r="L63" i="9"/>
  <c r="N6" i="13"/>
  <c r="P27" i="9"/>
  <c r="D7" i="14" s="1"/>
  <c r="BV48" i="9"/>
  <c r="G7" i="14"/>
  <c r="F7" i="14"/>
  <c r="F8" i="12"/>
  <c r="G73" i="11"/>
  <c r="G74" i="11" s="1"/>
  <c r="BN210" i="9" s="1"/>
  <c r="CF210" i="9"/>
  <c r="B74" i="11"/>
  <c r="Q130" i="9"/>
  <c r="R130" i="9" s="1"/>
  <c r="S130" i="9" s="1"/>
  <c r="T130" i="9" s="1"/>
  <c r="P115" i="9" s="1"/>
  <c r="P132" i="9"/>
  <c r="U48" i="9"/>
  <c r="U52" i="9" s="1"/>
  <c r="U42" i="9" s="1"/>
  <c r="T52" i="9"/>
  <c r="BI46" i="8"/>
  <c r="BI38" i="8" s="1"/>
  <c r="AN48" i="8"/>
  <c r="DW133" i="9"/>
  <c r="BW46" i="9"/>
  <c r="BE46" i="9"/>
  <c r="BD52" i="9"/>
  <c r="AL52" i="9"/>
  <c r="AM46" i="9"/>
  <c r="FE131" i="9"/>
  <c r="FF130" i="9"/>
  <c r="CH45" i="8"/>
  <c r="CI42" i="8"/>
  <c r="N27" i="9" l="1"/>
  <c r="AP42" i="20"/>
  <c r="BD42" i="20" s="1"/>
  <c r="G126" i="20" s="1"/>
  <c r="C108" i="20"/>
  <c r="C118" i="20" s="1"/>
  <c r="C126" i="20" s="1"/>
  <c r="H7" i="17"/>
  <c r="K64" i="9"/>
  <c r="G75" i="11"/>
  <c r="C95" i="11" s="1"/>
  <c r="AV210" i="9"/>
  <c r="K210" i="9"/>
  <c r="AD210" i="9"/>
  <c r="G5" i="12"/>
  <c r="D5" i="12"/>
  <c r="F5" i="12"/>
  <c r="F74" i="11"/>
  <c r="CF243" i="9"/>
  <c r="C86" i="11"/>
  <c r="Z81" i="11" s="1"/>
  <c r="D74" i="11"/>
  <c r="T132" i="9"/>
  <c r="U130" i="9"/>
  <c r="P117" i="9" s="1"/>
  <c r="DZ133" i="9"/>
  <c r="CI210" i="9"/>
  <c r="AN47" i="8"/>
  <c r="AK46" i="8"/>
  <c r="CI45" i="8"/>
  <c r="CI38" i="8" s="1"/>
  <c r="BO45" i="8" s="1"/>
  <c r="BO46" i="8"/>
  <c r="FF131" i="9"/>
  <c r="FF126" i="9" s="1"/>
  <c r="AM52" i="9"/>
  <c r="AM42" i="9" s="1"/>
  <c r="AR48" i="9" s="1"/>
  <c r="BE52" i="9"/>
  <c r="BE42" i="9" s="1"/>
  <c r="BW48" i="9"/>
  <c r="BW42" i="9" s="1"/>
  <c r="CF211" i="9"/>
  <c r="CO206" i="9" s="1"/>
  <c r="U86" i="20" l="1"/>
  <c r="BB60" i="20"/>
  <c r="BD60" i="20" s="1"/>
  <c r="G144" i="20" s="1"/>
  <c r="BJ47" i="9"/>
  <c r="G8" i="14" s="1"/>
  <c r="R83" i="20"/>
  <c r="BG46" i="9"/>
  <c r="AR47" i="9"/>
  <c r="F8" i="14" s="1"/>
  <c r="AV57" i="20"/>
  <c r="L80" i="20"/>
  <c r="L95" i="20" s="1"/>
  <c r="AS51" i="20"/>
  <c r="AO46" i="9"/>
  <c r="BJ48" i="9"/>
  <c r="G9" i="14" s="1"/>
  <c r="AH93" i="20"/>
  <c r="AH95" i="20" s="1"/>
  <c r="BI73" i="20"/>
  <c r="BK73" i="20" s="1"/>
  <c r="AB90" i="15"/>
  <c r="AB95" i="15" s="1"/>
  <c r="BB67" i="15"/>
  <c r="U132" i="9"/>
  <c r="U126" i="9" s="1"/>
  <c r="L64" i="9"/>
  <c r="T59" i="9" s="1"/>
  <c r="N63" i="9"/>
  <c r="AF67" i="9" s="1"/>
  <c r="Z78" i="11"/>
  <c r="AC78" i="11" s="1"/>
  <c r="AH83" i="11" s="1"/>
  <c r="Z79" i="11"/>
  <c r="AC79" i="11" s="1"/>
  <c r="Z90" i="11" s="1"/>
  <c r="Z76" i="11"/>
  <c r="AC76" i="11" s="1"/>
  <c r="Z75" i="11"/>
  <c r="AC75" i="11" s="1"/>
  <c r="Z77" i="11"/>
  <c r="AC77" i="11" s="1"/>
  <c r="AH87" i="11" s="1"/>
  <c r="Z80" i="11"/>
  <c r="AC80" i="11" s="1"/>
  <c r="CF227" i="9"/>
  <c r="CF224" i="9" s="1"/>
  <c r="AV214" i="9" s="1"/>
  <c r="CO233" i="9"/>
  <c r="CT229" i="9" s="1"/>
  <c r="CU229" i="9" s="1"/>
  <c r="CW229" i="9" s="1"/>
  <c r="F9" i="14"/>
  <c r="I81" i="11"/>
  <c r="C82" i="11"/>
  <c r="F82" i="11" s="1"/>
  <c r="Q88" i="11" s="1"/>
  <c r="C83" i="11"/>
  <c r="F83" i="11" s="1"/>
  <c r="Q84" i="11" s="1"/>
  <c r="C80" i="11"/>
  <c r="F80" i="11" s="1"/>
  <c r="C81" i="11"/>
  <c r="F81" i="11" s="1"/>
  <c r="C85" i="11"/>
  <c r="F85" i="11" s="1"/>
  <c r="Q80" i="11" s="1"/>
  <c r="C84" i="11"/>
  <c r="F84" i="11" s="1"/>
  <c r="CF239" i="9"/>
  <c r="CI239" i="9" s="1"/>
  <c r="CF240" i="9"/>
  <c r="CF237" i="9"/>
  <c r="CI237" i="9" s="1"/>
  <c r="CF242" i="9"/>
  <c r="CF238" i="9"/>
  <c r="CI238" i="9" s="1"/>
  <c r="CF241" i="9"/>
  <c r="CI241" i="9" s="1"/>
  <c r="BL44" i="8"/>
  <c r="CG210" i="9"/>
  <c r="CI211" i="9"/>
  <c r="P116" i="9" l="1"/>
  <c r="AQ43" i="20"/>
  <c r="BD43" i="20" s="1"/>
  <c r="G127" i="20" s="1"/>
  <c r="N115" i="9"/>
  <c r="D109" i="20"/>
  <c r="D118" i="20" s="1"/>
  <c r="C127" i="20" s="1"/>
  <c r="BD51" i="20"/>
  <c r="G135" i="20" s="1"/>
  <c r="AS77" i="20"/>
  <c r="C169" i="20" s="1"/>
  <c r="AK83" i="20"/>
  <c r="E169" i="20" s="1"/>
  <c r="R95" i="20"/>
  <c r="AV77" i="20"/>
  <c r="C172" i="20" s="1"/>
  <c r="BD57" i="20"/>
  <c r="G141" i="20" s="1"/>
  <c r="U95" i="20"/>
  <c r="AK86" i="20"/>
  <c r="E172" i="20" s="1"/>
  <c r="AP47" i="15"/>
  <c r="G7" i="12"/>
  <c r="BD67" i="15"/>
  <c r="G151" i="15" s="1"/>
  <c r="BB77" i="15"/>
  <c r="C178" i="15" s="1"/>
  <c r="AC90" i="15"/>
  <c r="AC95" i="15" s="1"/>
  <c r="BA68" i="15"/>
  <c r="AF68" i="9"/>
  <c r="N76" i="9"/>
  <c r="N77" i="9" s="1"/>
  <c r="N64" i="9"/>
  <c r="P63" i="9" s="1"/>
  <c r="Q63" i="9" s="1"/>
  <c r="R63" i="9" s="1"/>
  <c r="S63" i="9" s="1"/>
  <c r="T63" i="9" s="1"/>
  <c r="U63" i="9" s="1"/>
  <c r="U64" i="9" s="1"/>
  <c r="U59" i="9" s="1"/>
  <c r="G141" i="15"/>
  <c r="AD214" i="9"/>
  <c r="K214" i="9" s="1"/>
  <c r="N214" i="9" s="1"/>
  <c r="BN214" i="9"/>
  <c r="CI240" i="9"/>
  <c r="CI242" i="9"/>
  <c r="AC81" i="11"/>
  <c r="AD76" i="11" s="1"/>
  <c r="AJ79" i="11"/>
  <c r="CY240" i="9"/>
  <c r="DB240" i="9" s="1"/>
  <c r="AJ75" i="11"/>
  <c r="AH75" i="11"/>
  <c r="AM80" i="11" s="1"/>
  <c r="AJ76" i="11"/>
  <c r="AJ88" i="11"/>
  <c r="AJ87" i="11" s="1"/>
  <c r="AJ83" i="11"/>
  <c r="CF222" i="9"/>
  <c r="AV212" i="9" s="1"/>
  <c r="CF223" i="9"/>
  <c r="AV213" i="9" s="1"/>
  <c r="CF226" i="9"/>
  <c r="AV216" i="9" s="1"/>
  <c r="CF225" i="9"/>
  <c r="AV215" i="9" s="1"/>
  <c r="CF221" i="9"/>
  <c r="AV211" i="9" s="1"/>
  <c r="F7" i="12"/>
  <c r="S85" i="11"/>
  <c r="S84" i="11" s="1"/>
  <c r="S81" i="11"/>
  <c r="S80" i="11" s="1"/>
  <c r="S89" i="11"/>
  <c r="S88" i="11" s="1"/>
  <c r="F6" i="12"/>
  <c r="G6" i="12"/>
  <c r="F86" i="11"/>
  <c r="CK210" i="9"/>
  <c r="CL210" i="9" s="1"/>
  <c r="CM210" i="9" s="1"/>
  <c r="CN210" i="9" s="1"/>
  <c r="G172" i="20" l="1"/>
  <c r="G169" i="20"/>
  <c r="AP47" i="20"/>
  <c r="Z46" i="9"/>
  <c r="P29" i="9"/>
  <c r="P28" i="9"/>
  <c r="BD68" i="15"/>
  <c r="G152" i="15" s="1"/>
  <c r="BA77" i="15"/>
  <c r="C177" i="15" s="1"/>
  <c r="T64" i="9"/>
  <c r="AC67" i="9"/>
  <c r="AC68" i="9"/>
  <c r="K76" i="9"/>
  <c r="CI243" i="9"/>
  <c r="CK238" i="9" s="1"/>
  <c r="CL238" i="9" s="1"/>
  <c r="CM238" i="9" s="1"/>
  <c r="CN238" i="9" s="1"/>
  <c r="CO238" i="9" s="1"/>
  <c r="CP238" i="9" s="1"/>
  <c r="G138" i="15"/>
  <c r="AD216" i="9"/>
  <c r="K216" i="9" s="1"/>
  <c r="N216" i="9" s="1"/>
  <c r="BN216" i="9"/>
  <c r="AD213" i="9"/>
  <c r="K213" i="9" s="1"/>
  <c r="N213" i="9" s="1"/>
  <c r="BN213" i="9"/>
  <c r="AD211" i="9"/>
  <c r="K211" i="9" s="1"/>
  <c r="N211" i="9" s="1"/>
  <c r="BN211" i="9"/>
  <c r="AD212" i="9"/>
  <c r="K212" i="9" s="1"/>
  <c r="N212" i="9" s="1"/>
  <c r="BN212" i="9"/>
  <c r="BQ214" i="9"/>
  <c r="AD215" i="9"/>
  <c r="K215" i="9" s="1"/>
  <c r="N215" i="9" s="1"/>
  <c r="BN215" i="9"/>
  <c r="Z89" i="11"/>
  <c r="CG221" i="9"/>
  <c r="AD79" i="11"/>
  <c r="AD80" i="11"/>
  <c r="AD75" i="11"/>
  <c r="AD77" i="11"/>
  <c r="AD78" i="11"/>
  <c r="Z88" i="11"/>
  <c r="I82" i="11"/>
  <c r="CO210" i="9"/>
  <c r="CP210" i="9" s="1"/>
  <c r="D8" i="14" l="1"/>
  <c r="D6" i="12"/>
  <c r="E7" i="14"/>
  <c r="E5" i="12"/>
  <c r="D9" i="14"/>
  <c r="D7" i="12"/>
  <c r="CK237" i="9"/>
  <c r="CL237" i="9" s="1"/>
  <c r="CM237" i="9" s="1"/>
  <c r="CN237" i="9" s="1"/>
  <c r="CO237" i="9" s="1"/>
  <c r="CP237" i="9" s="1"/>
  <c r="CK240" i="9"/>
  <c r="CL240" i="9" s="1"/>
  <c r="CM240" i="9" s="1"/>
  <c r="CN240" i="9" s="1"/>
  <c r="CO240" i="9" s="1"/>
  <c r="CP240" i="9" s="1"/>
  <c r="CK241" i="9"/>
  <c r="CL241" i="9" s="1"/>
  <c r="CM241" i="9" s="1"/>
  <c r="CN241" i="9" s="1"/>
  <c r="CO241" i="9" s="1"/>
  <c r="CP241" i="9" s="1"/>
  <c r="CK242" i="9"/>
  <c r="CL242" i="9" s="1"/>
  <c r="CM242" i="9" s="1"/>
  <c r="CN242" i="9" s="1"/>
  <c r="CO242" i="9" s="1"/>
  <c r="CP242" i="9" s="1"/>
  <c r="CK239" i="9"/>
  <c r="CL239" i="9" s="1"/>
  <c r="CM239" i="9" s="1"/>
  <c r="CN239" i="9" s="1"/>
  <c r="CO239" i="9" s="1"/>
  <c r="AF69" i="9"/>
  <c r="K77" i="9"/>
  <c r="K78" i="9" s="1"/>
  <c r="T72" i="9" s="1"/>
  <c r="BQ215" i="9"/>
  <c r="K217" i="9"/>
  <c r="T206" i="9" s="1"/>
  <c r="BQ211" i="9"/>
  <c r="BN217" i="9"/>
  <c r="BO215" i="9" s="1"/>
  <c r="BQ216" i="9"/>
  <c r="BQ212" i="9"/>
  <c r="BQ213" i="9"/>
  <c r="CY239" i="9"/>
  <c r="DB239" i="9" s="1"/>
  <c r="CY238" i="9"/>
  <c r="AD81" i="11"/>
  <c r="AO80" i="11"/>
  <c r="AO79" i="11" s="1"/>
  <c r="J83" i="11"/>
  <c r="F102" i="11" s="1"/>
  <c r="C102" i="11" s="1"/>
  <c r="H83" i="11"/>
  <c r="F101" i="11" s="1"/>
  <c r="C101" i="11" s="1"/>
  <c r="K83" i="11"/>
  <c r="F103" i="11" s="1"/>
  <c r="C103" i="11" s="1"/>
  <c r="F91" i="11"/>
  <c r="C91" i="11" s="1"/>
  <c r="L83" i="11"/>
  <c r="BQ210" i="9" s="1"/>
  <c r="CP211" i="9"/>
  <c r="CP206" i="9" s="1"/>
  <c r="C105" i="11" l="1"/>
  <c r="CO243" i="9"/>
  <c r="BB67" i="20"/>
  <c r="AB90" i="20"/>
  <c r="AB95" i="20" s="1"/>
  <c r="CK243" i="9"/>
  <c r="AP45" i="15"/>
  <c r="Z193" i="9"/>
  <c r="F226" i="9"/>
  <c r="F228" i="9"/>
  <c r="F227" i="9"/>
  <c r="L77" i="9"/>
  <c r="L76" i="9"/>
  <c r="AC69" i="9"/>
  <c r="AF70" i="9"/>
  <c r="BO216" i="9"/>
  <c r="BO213" i="9"/>
  <c r="BO212" i="9"/>
  <c r="Z185" i="9"/>
  <c r="Z191" i="9"/>
  <c r="Z189" i="9"/>
  <c r="Z190" i="9"/>
  <c r="Z188" i="9"/>
  <c r="Z187" i="9"/>
  <c r="Z192" i="9"/>
  <c r="Z194" i="9"/>
  <c r="Z186" i="9"/>
  <c r="BM210" i="9"/>
  <c r="BW206" i="9"/>
  <c r="BO210" i="9"/>
  <c r="BO214" i="9"/>
  <c r="BO211" i="9"/>
  <c r="BQ217" i="9"/>
  <c r="BS214" i="9" s="1"/>
  <c r="BT214" i="9" s="1"/>
  <c r="BU214" i="9" s="1"/>
  <c r="BV214" i="9" s="1"/>
  <c r="BW214" i="9" s="1"/>
  <c r="BX214" i="9" s="1"/>
  <c r="DB238" i="9"/>
  <c r="CP239" i="9"/>
  <c r="CP243" i="9" s="1"/>
  <c r="CP233" i="9" s="1"/>
  <c r="AC210" i="9"/>
  <c r="E110" i="15"/>
  <c r="E118" i="15" s="1"/>
  <c r="C128" i="15" s="1"/>
  <c r="AR44" i="15"/>
  <c r="CI223" i="9"/>
  <c r="AY213" i="9"/>
  <c r="Z87" i="11" l="1"/>
  <c r="AC91" i="11"/>
  <c r="BA68" i="20"/>
  <c r="AC90" i="20"/>
  <c r="AC95" i="20" s="1"/>
  <c r="BD67" i="20"/>
  <c r="G151" i="20" s="1"/>
  <c r="BB77" i="20"/>
  <c r="C178" i="20" s="1"/>
  <c r="BD44" i="15"/>
  <c r="AZ63" i="15"/>
  <c r="BD63" i="15" s="1"/>
  <c r="G147" i="15" s="1"/>
  <c r="AP77" i="15"/>
  <c r="C166" i="15" s="1"/>
  <c r="BN258" i="9"/>
  <c r="X88" i="15"/>
  <c r="F229" i="9"/>
  <c r="AH67" i="9"/>
  <c r="AH68" i="9"/>
  <c r="AI68" i="9" s="1"/>
  <c r="AJ68" i="9" s="1"/>
  <c r="AK68" i="9" s="1"/>
  <c r="AL68" i="9" s="1"/>
  <c r="AM68" i="9" s="1"/>
  <c r="AC70" i="9"/>
  <c r="AH69" i="9"/>
  <c r="AI69" i="9" s="1"/>
  <c r="AJ69" i="9" s="1"/>
  <c r="AK69" i="9" s="1"/>
  <c r="AL69" i="9" s="1"/>
  <c r="AM69" i="9" s="1"/>
  <c r="Z195" i="9"/>
  <c r="AB195" i="9" s="1"/>
  <c r="AR50" i="20" s="1"/>
  <c r="BJ260" i="9"/>
  <c r="BL260" i="9" s="1"/>
  <c r="I15" i="17"/>
  <c r="BS210" i="9"/>
  <c r="BT210" i="9" s="1"/>
  <c r="BU210" i="9" s="1"/>
  <c r="H13" i="17"/>
  <c r="G140" i="15"/>
  <c r="BS211" i="9"/>
  <c r="BT211" i="9" s="1"/>
  <c r="BU211" i="9" s="1"/>
  <c r="BV211" i="9" s="1"/>
  <c r="BW211" i="9" s="1"/>
  <c r="BX211" i="9" s="1"/>
  <c r="BO217" i="9"/>
  <c r="BS213" i="9"/>
  <c r="BT213" i="9" s="1"/>
  <c r="BU213" i="9" s="1"/>
  <c r="BV213" i="9" s="1"/>
  <c r="BW213" i="9" s="1"/>
  <c r="BX213" i="9" s="1"/>
  <c r="BS212" i="9"/>
  <c r="BT212" i="9" s="1"/>
  <c r="BU212" i="9" s="1"/>
  <c r="BV212" i="9" s="1"/>
  <c r="BW212" i="9" s="1"/>
  <c r="BX212" i="9" s="1"/>
  <c r="BS215" i="9"/>
  <c r="BT215" i="9" s="1"/>
  <c r="BU215" i="9" s="1"/>
  <c r="BV215" i="9" s="1"/>
  <c r="BW215" i="9" s="1"/>
  <c r="BX215" i="9" s="1"/>
  <c r="BS216" i="9"/>
  <c r="BT216" i="9" s="1"/>
  <c r="BU216" i="9" s="1"/>
  <c r="BV216" i="9" s="1"/>
  <c r="BW216" i="9" s="1"/>
  <c r="BX216" i="9" s="1"/>
  <c r="CY237" i="9"/>
  <c r="BI35" i="9"/>
  <c r="F8" i="17" s="1"/>
  <c r="J36" i="11"/>
  <c r="AV130" i="9"/>
  <c r="AD130" i="9"/>
  <c r="AG130" i="9" s="1"/>
  <c r="BD68" i="20" l="1"/>
  <c r="G152" i="20" s="1"/>
  <c r="BA77" i="20"/>
  <c r="C177" i="20" s="1"/>
  <c r="X95" i="15"/>
  <c r="AK88" i="15"/>
  <c r="E174" i="15" s="1"/>
  <c r="BO258" i="9"/>
  <c r="C110" i="11" s="1"/>
  <c r="BN259" i="9"/>
  <c r="H229" i="9"/>
  <c r="K226" i="9"/>
  <c r="AI67" i="9"/>
  <c r="AJ67" i="9" s="1"/>
  <c r="AK67" i="9" s="1"/>
  <c r="AL67" i="9" s="1"/>
  <c r="AH70" i="9"/>
  <c r="AL63" i="9"/>
  <c r="X46" i="9" s="1"/>
  <c r="AD67" i="9"/>
  <c r="AD68" i="9"/>
  <c r="AD69" i="9"/>
  <c r="H15" i="17"/>
  <c r="I13" i="17"/>
  <c r="BQ258" i="9"/>
  <c r="BO259" i="9"/>
  <c r="BW254" i="9" s="1"/>
  <c r="BS217" i="9"/>
  <c r="DB237" i="9"/>
  <c r="CY241" i="9"/>
  <c r="G8" i="17"/>
  <c r="I8" i="17" s="1"/>
  <c r="H8" i="17"/>
  <c r="AD131" i="9"/>
  <c r="I35" i="11" s="1"/>
  <c r="DW134" i="9"/>
  <c r="DZ132" i="9"/>
  <c r="AV131" i="9"/>
  <c r="AY130" i="9"/>
  <c r="BN130" i="9"/>
  <c r="AZ46" i="15" l="1"/>
  <c r="BJ52" i="15"/>
  <c r="E8" i="12"/>
  <c r="M80" i="15"/>
  <c r="AK80" i="15" s="1"/>
  <c r="EF126" i="9"/>
  <c r="DX131" i="9"/>
  <c r="DX130" i="9"/>
  <c r="DX132" i="9"/>
  <c r="DX133" i="9"/>
  <c r="K227" i="9"/>
  <c r="L226" i="9"/>
  <c r="AD70" i="9"/>
  <c r="AL70" i="9"/>
  <c r="AM67" i="9"/>
  <c r="AM70" i="9" s="1"/>
  <c r="AM63" i="9" s="1"/>
  <c r="E110" i="11"/>
  <c r="K111" i="11" s="1"/>
  <c r="BQ259" i="9"/>
  <c r="BS258" i="9"/>
  <c r="BT258" i="9" s="1"/>
  <c r="BU258" i="9" s="1"/>
  <c r="BV258" i="9" s="1"/>
  <c r="BW258" i="9" s="1"/>
  <c r="BW259" i="9" s="1"/>
  <c r="G149" i="15"/>
  <c r="CZ237" i="9"/>
  <c r="DW160" i="9"/>
  <c r="DH233" i="9"/>
  <c r="CZ238" i="9"/>
  <c r="CZ240" i="9"/>
  <c r="CZ239" i="9"/>
  <c r="DB241" i="9"/>
  <c r="G35" i="11"/>
  <c r="N35" i="11" s="1"/>
  <c r="DR120" i="9"/>
  <c r="DW118" i="9" s="1"/>
  <c r="DX118" i="9" s="1"/>
  <c r="C280" i="11" s="1"/>
  <c r="EM117" i="9"/>
  <c r="DR107" i="9"/>
  <c r="DW105" i="9" s="1"/>
  <c r="DQ131" i="9"/>
  <c r="AQ113" i="9"/>
  <c r="AS113" i="9" s="1"/>
  <c r="AT50" i="20" s="1"/>
  <c r="F143" i="9"/>
  <c r="H143" i="9" s="1"/>
  <c r="F157" i="9"/>
  <c r="K155" i="9" s="1"/>
  <c r="F146" i="9"/>
  <c r="H146" i="9" s="1"/>
  <c r="F144" i="9"/>
  <c r="H144" i="9" s="1"/>
  <c r="F142" i="9"/>
  <c r="H142" i="9" s="1"/>
  <c r="F148" i="9"/>
  <c r="H148" i="9" s="1"/>
  <c r="AD132" i="9"/>
  <c r="AM126" i="9" s="1"/>
  <c r="F147" i="9"/>
  <c r="H147" i="9" s="1"/>
  <c r="F145" i="9"/>
  <c r="H145" i="9" s="1"/>
  <c r="J35" i="11"/>
  <c r="F141" i="9"/>
  <c r="AG131" i="9"/>
  <c r="AG132" i="9" s="1"/>
  <c r="AI130" i="9" s="1"/>
  <c r="AJ130" i="9" s="1"/>
  <c r="AK130" i="9" s="1"/>
  <c r="AL130" i="9" s="1"/>
  <c r="BN131" i="9"/>
  <c r="BQ130" i="9"/>
  <c r="BH115" i="9"/>
  <c r="BJ115" i="9" s="1"/>
  <c r="BH114" i="9"/>
  <c r="BJ114" i="9" s="1"/>
  <c r="AY131" i="9"/>
  <c r="AY132" i="9" s="1"/>
  <c r="BA130" i="9" s="1"/>
  <c r="BH113" i="9"/>
  <c r="AV132" i="9"/>
  <c r="BE126" i="9" s="1"/>
  <c r="DZ134" i="9"/>
  <c r="EB132" i="9" s="1"/>
  <c r="EC132" i="9" s="1"/>
  <c r="ED132" i="9" s="1"/>
  <c r="EE132" i="9" s="1"/>
  <c r="EF132" i="9" s="1"/>
  <c r="V46" i="9" l="1"/>
  <c r="L6" i="13" s="1"/>
  <c r="M80" i="20"/>
  <c r="BJ52" i="20"/>
  <c r="BK52" i="20" s="1"/>
  <c r="F28" i="17"/>
  <c r="H18" i="17"/>
  <c r="H28" i="17" s="1"/>
  <c r="G10" i="17"/>
  <c r="F27" i="17"/>
  <c r="H10" i="17"/>
  <c r="H27" i="17" s="1"/>
  <c r="AG92" i="15"/>
  <c r="AK92" i="15" s="1"/>
  <c r="E178" i="15" s="1"/>
  <c r="BC72" i="15"/>
  <c r="BD72" i="15" s="1"/>
  <c r="G156" i="15" s="1"/>
  <c r="S84" i="15"/>
  <c r="AK84" i="15" s="1"/>
  <c r="E170" i="15" s="1"/>
  <c r="AW58" i="15"/>
  <c r="AF91" i="15"/>
  <c r="AK91" i="15" s="1"/>
  <c r="E177" i="15" s="1"/>
  <c r="M95" i="20"/>
  <c r="AK80" i="20"/>
  <c r="E166" i="20" s="1"/>
  <c r="AT53" i="15"/>
  <c r="N81" i="15"/>
  <c r="N95" i="15" s="1"/>
  <c r="M95" i="15"/>
  <c r="E166" i="15"/>
  <c r="F149" i="9"/>
  <c r="K144" i="9" s="1"/>
  <c r="L227" i="9"/>
  <c r="T222" i="9" s="1"/>
  <c r="C222" i="11"/>
  <c r="N226" i="9"/>
  <c r="N227" i="9" s="1"/>
  <c r="P226" i="9" s="1"/>
  <c r="Q226" i="9" s="1"/>
  <c r="R226" i="9" s="1"/>
  <c r="S226" i="9" s="1"/>
  <c r="T226" i="9" s="1"/>
  <c r="DW106" i="9"/>
  <c r="DX105" i="9"/>
  <c r="E280" i="11"/>
  <c r="DW119" i="9"/>
  <c r="L155" i="9"/>
  <c r="K156" i="9"/>
  <c r="I111" i="11"/>
  <c r="C116" i="11"/>
  <c r="K110" i="11"/>
  <c r="E111" i="11" s="1"/>
  <c r="BX259" i="9"/>
  <c r="BX254" i="9" s="1"/>
  <c r="AZ46" i="20" s="1"/>
  <c r="BX258" i="9"/>
  <c r="H157" i="9"/>
  <c r="CT237" i="9"/>
  <c r="EF152" i="9"/>
  <c r="DD237" i="9"/>
  <c r="DE237" i="9" s="1"/>
  <c r="DF237" i="9" s="1"/>
  <c r="DG237" i="9" s="1"/>
  <c r="DH237" i="9" s="1"/>
  <c r="CZ241" i="9"/>
  <c r="DD240" i="9"/>
  <c r="DE240" i="9" s="1"/>
  <c r="DF240" i="9" s="1"/>
  <c r="DG240" i="9" s="1"/>
  <c r="DH240" i="9" s="1"/>
  <c r="DI240" i="9" s="1"/>
  <c r="DD239" i="9"/>
  <c r="DE239" i="9" s="1"/>
  <c r="DF239" i="9" s="1"/>
  <c r="DG239" i="9" s="1"/>
  <c r="DH239" i="9" s="1"/>
  <c r="DI239" i="9" s="1"/>
  <c r="DD238" i="9"/>
  <c r="DE238" i="9" s="1"/>
  <c r="DF238" i="9" s="1"/>
  <c r="DG238" i="9" s="1"/>
  <c r="DH238" i="9" s="1"/>
  <c r="CV237" i="9" s="1"/>
  <c r="G9" i="17"/>
  <c r="I9" i="17" s="1"/>
  <c r="EO117" i="9"/>
  <c r="F25" i="17"/>
  <c r="DT107" i="9"/>
  <c r="DT120" i="9"/>
  <c r="D34" i="12"/>
  <c r="N38" i="11"/>
  <c r="N36" i="11"/>
  <c r="F35" i="11"/>
  <c r="F38" i="11" s="1"/>
  <c r="G38" i="11" s="1"/>
  <c r="H141" i="9"/>
  <c r="AQ130" i="9"/>
  <c r="AI131" i="9"/>
  <c r="AJ131" i="9" s="1"/>
  <c r="AK131" i="9" s="1"/>
  <c r="AL131" i="9" s="1"/>
  <c r="AM131" i="9" s="1"/>
  <c r="AN131" i="9" s="1"/>
  <c r="BN132" i="9"/>
  <c r="BN146" i="9" s="1"/>
  <c r="AM130" i="9"/>
  <c r="BB130" i="9"/>
  <c r="BC130" i="9" s="1"/>
  <c r="BD130" i="9" s="1"/>
  <c r="BE130" i="9" s="1"/>
  <c r="AS130" i="9" s="1"/>
  <c r="BJ113" i="9"/>
  <c r="BJ116" i="9" s="1"/>
  <c r="AW50" i="20" s="1"/>
  <c r="BH116" i="9"/>
  <c r="BQ131" i="9"/>
  <c r="EB130" i="9"/>
  <c r="EB133" i="9"/>
  <c r="EC133" i="9" s="1"/>
  <c r="ED133" i="9" s="1"/>
  <c r="EE133" i="9" s="1"/>
  <c r="EF133" i="9" s="1"/>
  <c r="EG133" i="9" s="1"/>
  <c r="EB131" i="9"/>
  <c r="EC131" i="9" s="1"/>
  <c r="ED131" i="9" s="1"/>
  <c r="EE131" i="9" s="1"/>
  <c r="EF131" i="9" s="1"/>
  <c r="EG132" i="9"/>
  <c r="BA131" i="9"/>
  <c r="BB131" i="9" s="1"/>
  <c r="BC131" i="9" s="1"/>
  <c r="BD131" i="9" s="1"/>
  <c r="BE131" i="9" s="1"/>
  <c r="BF131" i="9" s="1"/>
  <c r="BC50" i="20" l="1"/>
  <c r="G28" i="17"/>
  <c r="I18" i="17"/>
  <c r="I28" i="17" s="1"/>
  <c r="S95" i="15"/>
  <c r="G27" i="17"/>
  <c r="I10" i="17"/>
  <c r="I27" i="17" s="1"/>
  <c r="AF95" i="15"/>
  <c r="AT77" i="15"/>
  <c r="C170" i="15" s="1"/>
  <c r="BD53" i="15"/>
  <c r="G137" i="15" s="1"/>
  <c r="AW77" i="15"/>
  <c r="C173" i="15" s="1"/>
  <c r="BD58" i="15"/>
  <c r="G142" i="15" s="1"/>
  <c r="AR47" i="15"/>
  <c r="BC71" i="15"/>
  <c r="U226" i="9"/>
  <c r="U227" i="9" s="1"/>
  <c r="U222" i="9" s="1"/>
  <c r="AR47" i="20" s="1"/>
  <c r="T227" i="9"/>
  <c r="E222" i="11"/>
  <c r="K280" i="11"/>
  <c r="K281" i="11"/>
  <c r="I281" i="11" s="1"/>
  <c r="C264" i="11"/>
  <c r="E264" i="11" s="1"/>
  <c r="DZ105" i="9"/>
  <c r="DX106" i="9"/>
  <c r="EF101" i="9" s="1"/>
  <c r="DZ118" i="9"/>
  <c r="DX119" i="9"/>
  <c r="EF114" i="9" s="1"/>
  <c r="N155" i="9"/>
  <c r="C247" i="11"/>
  <c r="L156" i="9"/>
  <c r="T151" i="9" s="1"/>
  <c r="L144" i="9"/>
  <c r="K145" i="9"/>
  <c r="C115" i="11"/>
  <c r="E115" i="11" s="1"/>
  <c r="E116" i="11" s="1"/>
  <c r="I110" i="11"/>
  <c r="G135" i="15"/>
  <c r="H9" i="17"/>
  <c r="DI238" i="9"/>
  <c r="CV239" i="9" s="1"/>
  <c r="DI237" i="9"/>
  <c r="DH241" i="9"/>
  <c r="DD241" i="9"/>
  <c r="I17" i="17"/>
  <c r="H17" i="17"/>
  <c r="H16" i="17"/>
  <c r="H25" i="17" s="1"/>
  <c r="BW126" i="9"/>
  <c r="F17" i="12"/>
  <c r="F16" i="14"/>
  <c r="F39" i="11"/>
  <c r="G39" i="11" s="1"/>
  <c r="O38" i="11" s="1"/>
  <c r="E35" i="11"/>
  <c r="E39" i="11" s="1"/>
  <c r="V14" i="11" s="1"/>
  <c r="I38" i="11"/>
  <c r="O36" i="11"/>
  <c r="AM132" i="9"/>
  <c r="AN130" i="9"/>
  <c r="AI132" i="9"/>
  <c r="EG131" i="9"/>
  <c r="EB134" i="9"/>
  <c r="EC130" i="9"/>
  <c r="ED130" i="9" s="1"/>
  <c r="EE130" i="9" s="1"/>
  <c r="EF130" i="9" s="1"/>
  <c r="BQ132" i="9"/>
  <c r="BS130" i="9" s="1"/>
  <c r="BA132" i="9"/>
  <c r="BF130" i="9"/>
  <c r="BE132" i="9"/>
  <c r="W87" i="15" l="1"/>
  <c r="AY62" i="15"/>
  <c r="BD62" i="15" s="1"/>
  <c r="G146" i="15" s="1"/>
  <c r="BC46" i="15"/>
  <c r="I114" i="15"/>
  <c r="I118" i="15" s="1"/>
  <c r="C132" i="15" s="1"/>
  <c r="AQ48" i="15"/>
  <c r="BD48" i="15" s="1"/>
  <c r="G132" i="15" s="1"/>
  <c r="BC49" i="15"/>
  <c r="BD49" i="15" s="1"/>
  <c r="W95" i="15"/>
  <c r="AK87" i="15"/>
  <c r="E173" i="15" s="1"/>
  <c r="J115" i="15"/>
  <c r="J118" i="15" s="1"/>
  <c r="C133" i="15" s="1"/>
  <c r="C232" i="11"/>
  <c r="K223" i="11"/>
  <c r="I223" i="11" s="1"/>
  <c r="AD232" i="9" s="1"/>
  <c r="K222" i="11"/>
  <c r="E223" i="11"/>
  <c r="DZ106" i="9"/>
  <c r="EB105" i="9" s="1"/>
  <c r="EC105" i="9" s="1"/>
  <c r="ED105" i="9" s="1"/>
  <c r="EE105" i="9" s="1"/>
  <c r="EF105" i="9" s="1"/>
  <c r="K265" i="11"/>
  <c r="I265" i="11" s="1"/>
  <c r="K264" i="11"/>
  <c r="E265" i="11"/>
  <c r="E281" i="11"/>
  <c r="I280" i="11"/>
  <c r="DZ119" i="9"/>
  <c r="EB118" i="9" s="1"/>
  <c r="EC118" i="9" s="1"/>
  <c r="ED118" i="9" s="1"/>
  <c r="EE118" i="9" s="1"/>
  <c r="EF118" i="9" s="1"/>
  <c r="N156" i="9"/>
  <c r="P155" i="9" s="1"/>
  <c r="Q155" i="9" s="1"/>
  <c r="R155" i="9" s="1"/>
  <c r="S155" i="9" s="1"/>
  <c r="T155" i="9" s="1"/>
  <c r="E247" i="11"/>
  <c r="N144" i="9"/>
  <c r="L145" i="9"/>
  <c r="T140" i="9" s="1"/>
  <c r="E112" i="11"/>
  <c r="K112" i="11" s="1"/>
  <c r="C111" i="11"/>
  <c r="D16" i="14"/>
  <c r="D18" i="14"/>
  <c r="DI241" i="9"/>
  <c r="DI233" i="9" s="1"/>
  <c r="I11" i="17"/>
  <c r="H11" i="17"/>
  <c r="I16" i="17"/>
  <c r="I25" i="17" s="1"/>
  <c r="G25" i="17"/>
  <c r="BI130" i="9"/>
  <c r="G17" i="12" s="1"/>
  <c r="BN144" i="9"/>
  <c r="BW140" i="9"/>
  <c r="F14" i="12"/>
  <c r="E38" i="11"/>
  <c r="V18" i="11" s="1"/>
  <c r="G44" i="11"/>
  <c r="I39" i="11"/>
  <c r="CH118" i="9" s="1"/>
  <c r="CK118" i="9" s="1"/>
  <c r="O35" i="11"/>
  <c r="J38" i="11"/>
  <c r="BF132" i="9"/>
  <c r="BF126" i="9" s="1"/>
  <c r="AN132" i="9"/>
  <c r="AN126" i="9" s="1"/>
  <c r="E31" i="12"/>
  <c r="EG130" i="9"/>
  <c r="DS133" i="9" s="1"/>
  <c r="D35" i="14" s="1"/>
  <c r="BT130" i="9"/>
  <c r="BU130" i="9" s="1"/>
  <c r="BV130" i="9" s="1"/>
  <c r="BW130" i="9" s="1"/>
  <c r="BS131" i="9"/>
  <c r="BT131" i="9" s="1"/>
  <c r="BU131" i="9" s="1"/>
  <c r="BV131" i="9" s="1"/>
  <c r="BW131" i="9" s="1"/>
  <c r="BX131" i="9" s="1"/>
  <c r="BX130" i="9" l="1"/>
  <c r="BK132" i="9" s="1"/>
  <c r="BK130" i="9"/>
  <c r="S84" i="20"/>
  <c r="AW58" i="20"/>
  <c r="AS131" i="9"/>
  <c r="CV238" i="9"/>
  <c r="CS237" i="9"/>
  <c r="AF91" i="20"/>
  <c r="AP130" i="9"/>
  <c r="AT53" i="20"/>
  <c r="N81" i="20"/>
  <c r="N95" i="20" s="1"/>
  <c r="AS132" i="9"/>
  <c r="F18" i="14" s="1"/>
  <c r="AG147" i="9"/>
  <c r="AG146" i="9"/>
  <c r="AY45" i="15"/>
  <c r="AQ47" i="15"/>
  <c r="BD47" i="15" s="1"/>
  <c r="G131" i="15" s="1"/>
  <c r="H113" i="15"/>
  <c r="H118" i="15" s="1"/>
  <c r="C131" i="15" s="1"/>
  <c r="BN145" i="9"/>
  <c r="BO145" i="9" s="1"/>
  <c r="BO144" i="9"/>
  <c r="C223" i="11"/>
  <c r="E224" i="11"/>
  <c r="I222" i="11"/>
  <c r="AD231" i="9" s="1"/>
  <c r="C230" i="11"/>
  <c r="G232" i="11" s="1"/>
  <c r="G231" i="11" s="1"/>
  <c r="G230" i="11" s="1"/>
  <c r="C231" i="11"/>
  <c r="E232" i="11" s="1"/>
  <c r="I264" i="11"/>
  <c r="G281" i="11"/>
  <c r="C281" i="11"/>
  <c r="E282" i="11"/>
  <c r="E283" i="11" s="1"/>
  <c r="EG105" i="9"/>
  <c r="EG106" i="9" s="1"/>
  <c r="EG101" i="9" s="1"/>
  <c r="EF106" i="9"/>
  <c r="E266" i="11"/>
  <c r="C265" i="11"/>
  <c r="EG118" i="9"/>
  <c r="EG119" i="9" s="1"/>
  <c r="EG114" i="9" s="1"/>
  <c r="EF119" i="9"/>
  <c r="E248" i="11"/>
  <c r="K248" i="11"/>
  <c r="I248" i="11" s="1"/>
  <c r="K247" i="11"/>
  <c r="U155" i="9"/>
  <c r="U156" i="9" s="1"/>
  <c r="U151" i="9" s="1"/>
  <c r="T156" i="9"/>
  <c r="N167" i="9"/>
  <c r="N145" i="9"/>
  <c r="P144" i="9" s="1"/>
  <c r="Q144" i="9" s="1"/>
  <c r="R144" i="9" s="1"/>
  <c r="S144" i="9" s="1"/>
  <c r="T144" i="9" s="1"/>
  <c r="I112" i="11"/>
  <c r="C112" i="11"/>
  <c r="D14" i="12"/>
  <c r="BD43" i="15"/>
  <c r="G127" i="15" s="1"/>
  <c r="D17" i="14"/>
  <c r="C60" i="11"/>
  <c r="BQ144" i="9"/>
  <c r="D16" i="12"/>
  <c r="I44" i="11"/>
  <c r="J39" i="11"/>
  <c r="J44" i="11" s="1"/>
  <c r="CH119" i="9"/>
  <c r="CQ114" i="9" s="1"/>
  <c r="D33" i="12"/>
  <c r="EG134" i="9"/>
  <c r="EG126" i="9" s="1"/>
  <c r="F17" i="14"/>
  <c r="CK119" i="9"/>
  <c r="CM118" i="9" s="1"/>
  <c r="CN118" i="9" s="1"/>
  <c r="BS132" i="9"/>
  <c r="BW132" i="9"/>
  <c r="CH145" i="9" l="1"/>
  <c r="CK145" i="9" s="1"/>
  <c r="BC46" i="20"/>
  <c r="BC49" i="20"/>
  <c r="BD49" i="20" s="1"/>
  <c r="G133" i="20" s="1"/>
  <c r="J115" i="20"/>
  <c r="J118" i="20" s="1"/>
  <c r="C133" i="20" s="1"/>
  <c r="AT77" i="20"/>
  <c r="C170" i="20" s="1"/>
  <c r="BD53" i="20"/>
  <c r="G137" i="20" s="1"/>
  <c r="AK91" i="20"/>
  <c r="E177" i="20" s="1"/>
  <c r="G177" i="20" s="1"/>
  <c r="AF95" i="20"/>
  <c r="AQ48" i="20"/>
  <c r="BD48" i="20" s="1"/>
  <c r="G132" i="20" s="1"/>
  <c r="I114" i="20"/>
  <c r="I118" i="20" s="1"/>
  <c r="C132" i="20" s="1"/>
  <c r="BD58" i="20"/>
  <c r="G142" i="20" s="1"/>
  <c r="AW77" i="20"/>
  <c r="C173" i="20" s="1"/>
  <c r="S95" i="20"/>
  <c r="AK84" i="20"/>
  <c r="E170" i="20" s="1"/>
  <c r="BC72" i="20"/>
  <c r="BD72" i="20" s="1"/>
  <c r="G156" i="20" s="1"/>
  <c r="AG92" i="20"/>
  <c r="Z89" i="15"/>
  <c r="Z95" i="15" s="1"/>
  <c r="BJ65" i="15"/>
  <c r="BK65" i="15" s="1"/>
  <c r="BQ145" i="9"/>
  <c r="BQ146" i="9" s="1"/>
  <c r="C61" i="11"/>
  <c r="E61" i="11" s="1"/>
  <c r="N61" i="11" s="1"/>
  <c r="AG95" i="15"/>
  <c r="AG231" i="9"/>
  <c r="E231" i="11"/>
  <c r="E230" i="11"/>
  <c r="K224" i="11"/>
  <c r="C224" i="11"/>
  <c r="C225" i="11" s="1"/>
  <c r="E225" i="11"/>
  <c r="K240" i="9"/>
  <c r="C266" i="11"/>
  <c r="C267" i="11" s="1"/>
  <c r="K266" i="11"/>
  <c r="E267" i="11"/>
  <c r="K282" i="11"/>
  <c r="C282" i="11"/>
  <c r="C283" i="11" s="1"/>
  <c r="M282" i="11"/>
  <c r="J275" i="11" s="1"/>
  <c r="AD146" i="9"/>
  <c r="AD147" i="9"/>
  <c r="I247" i="11"/>
  <c r="E249" i="11"/>
  <c r="C248" i="11"/>
  <c r="T145" i="9"/>
  <c r="U144" i="9"/>
  <c r="U145" i="9" s="1"/>
  <c r="U140" i="9" s="1"/>
  <c r="K167" i="9"/>
  <c r="N168" i="9"/>
  <c r="C113" i="11"/>
  <c r="I113" i="11"/>
  <c r="BK63" i="15"/>
  <c r="F13" i="13"/>
  <c r="BK52" i="15"/>
  <c r="C54" i="11"/>
  <c r="D54" i="11" s="1"/>
  <c r="E60" i="11"/>
  <c r="G16" i="14"/>
  <c r="D15" i="12"/>
  <c r="F15" i="12"/>
  <c r="F16" i="12"/>
  <c r="DS132" i="9"/>
  <c r="D34" i="14" s="1"/>
  <c r="DP131" i="9"/>
  <c r="BX132" i="9"/>
  <c r="BX126" i="9" s="1"/>
  <c r="G18" i="14"/>
  <c r="CO118" i="9"/>
  <c r="CP118" i="9" s="1"/>
  <c r="CQ118" i="9" s="1"/>
  <c r="BS144" i="9" l="1"/>
  <c r="AY62" i="20"/>
  <c r="BD62" i="20" s="1"/>
  <c r="G146" i="20" s="1"/>
  <c r="BK131" i="9"/>
  <c r="W87" i="20"/>
  <c r="BH130" i="9"/>
  <c r="G170" i="20"/>
  <c r="AQ47" i="20"/>
  <c r="BD47" i="20" s="1"/>
  <c r="G131" i="20" s="1"/>
  <c r="H113" i="20"/>
  <c r="H118" i="20" s="1"/>
  <c r="C131" i="20" s="1"/>
  <c r="Z130" i="9"/>
  <c r="AK92" i="20"/>
  <c r="E178" i="20" s="1"/>
  <c r="G178" i="20" s="1"/>
  <c r="AG95" i="20"/>
  <c r="L61" i="11"/>
  <c r="AD233" i="9"/>
  <c r="K241" i="9"/>
  <c r="K242" i="9" s="1"/>
  <c r="T236" i="9" s="1"/>
  <c r="I224" i="11"/>
  <c r="I225" i="11" s="1"/>
  <c r="K225" i="11"/>
  <c r="I282" i="11"/>
  <c r="I283" i="11" s="1"/>
  <c r="K283" i="11"/>
  <c r="I266" i="11"/>
  <c r="I267" i="11" s="1"/>
  <c r="K267" i="11"/>
  <c r="K168" i="9"/>
  <c r="K169" i="9" s="1"/>
  <c r="T163" i="9" s="1"/>
  <c r="AG148" i="9"/>
  <c r="K249" i="11"/>
  <c r="C249" i="11"/>
  <c r="C250" i="11" s="1"/>
  <c r="E250" i="11"/>
  <c r="N169" i="9"/>
  <c r="P167" i="9" s="1"/>
  <c r="Q167" i="9" s="1"/>
  <c r="R167" i="9" s="1"/>
  <c r="S167" i="9" s="1"/>
  <c r="T167" i="9" s="1"/>
  <c r="U167" i="9" s="1"/>
  <c r="BS145" i="9"/>
  <c r="BT145" i="9" s="1"/>
  <c r="BU145" i="9" s="1"/>
  <c r="BV145" i="9" s="1"/>
  <c r="BW145" i="9" s="1"/>
  <c r="BX145" i="9" s="1"/>
  <c r="G17" i="14"/>
  <c r="G14" i="12"/>
  <c r="G16" i="12"/>
  <c r="D32" i="12"/>
  <c r="CR118" i="9"/>
  <c r="CR119" i="9" s="1"/>
  <c r="CR114" i="9" s="1"/>
  <c r="CQ119" i="9"/>
  <c r="AK87" i="20" l="1"/>
  <c r="E173" i="20" s="1"/>
  <c r="G173" i="20" s="1"/>
  <c r="W95" i="20"/>
  <c r="BT144" i="9"/>
  <c r="BU144" i="9" s="1"/>
  <c r="BV144" i="9" s="1"/>
  <c r="BW144" i="9" s="1"/>
  <c r="BX144" i="9" s="1"/>
  <c r="BX146" i="9" s="1"/>
  <c r="BX140" i="9" s="1"/>
  <c r="AY45" i="20" s="1"/>
  <c r="BS146" i="9"/>
  <c r="Z89" i="20"/>
  <c r="Z95" i="20" s="1"/>
  <c r="BJ65" i="20"/>
  <c r="BK65" i="20" s="1"/>
  <c r="AQ45" i="15"/>
  <c r="AR45" i="15"/>
  <c r="AR77" i="15" s="1"/>
  <c r="C168" i="15" s="1"/>
  <c r="AG233" i="9"/>
  <c r="AD234" i="9"/>
  <c r="L168" i="9"/>
  <c r="P168" i="9"/>
  <c r="Q168" i="9" s="1"/>
  <c r="R168" i="9" s="1"/>
  <c r="S168" i="9" s="1"/>
  <c r="T168" i="9" s="1"/>
  <c r="T169" i="9" s="1"/>
  <c r="AD148" i="9"/>
  <c r="AG149" i="9"/>
  <c r="AI148" i="9" s="1"/>
  <c r="AJ148" i="9" s="1"/>
  <c r="AK148" i="9" s="1"/>
  <c r="AL148" i="9" s="1"/>
  <c r="AM148" i="9" s="1"/>
  <c r="AN148" i="9" s="1"/>
  <c r="I249" i="11"/>
  <c r="I250" i="11" s="1"/>
  <c r="K250" i="11"/>
  <c r="E16" i="14"/>
  <c r="E14" i="12"/>
  <c r="L167" i="9"/>
  <c r="G15" i="12"/>
  <c r="L169" i="9" l="1"/>
  <c r="U168" i="9"/>
  <c r="U169" i="9" s="1"/>
  <c r="U163" i="9" s="1"/>
  <c r="BW146" i="9"/>
  <c r="AQ77" i="15"/>
  <c r="C167" i="15" s="1"/>
  <c r="AE233" i="9"/>
  <c r="AE232" i="9"/>
  <c r="AE231" i="9"/>
  <c r="AI146" i="9"/>
  <c r="AI147" i="9"/>
  <c r="AJ147" i="9" s="1"/>
  <c r="AK147" i="9" s="1"/>
  <c r="AL147" i="9" s="1"/>
  <c r="AM147" i="9" s="1"/>
  <c r="AN147" i="9" s="1"/>
  <c r="AD149" i="9"/>
  <c r="AG212" i="9"/>
  <c r="AG213" i="9"/>
  <c r="AY214" i="9"/>
  <c r="H228" i="9"/>
  <c r="AB194" i="9"/>
  <c r="AB193" i="9"/>
  <c r="AB189" i="9"/>
  <c r="H226" i="9"/>
  <c r="AB190" i="9"/>
  <c r="H227" i="9"/>
  <c r="AB191" i="9"/>
  <c r="AB186" i="9"/>
  <c r="AB188" i="9"/>
  <c r="AB185" i="9"/>
  <c r="AY216" i="9"/>
  <c r="CI226" i="9"/>
  <c r="AB187" i="9"/>
  <c r="AB192" i="9"/>
  <c r="AG216" i="9"/>
  <c r="AQ45" i="20" l="1"/>
  <c r="AQ77" i="20" s="1"/>
  <c r="C167" i="20" s="1"/>
  <c r="Z132" i="9"/>
  <c r="AE147" i="9"/>
  <c r="AM142" i="9"/>
  <c r="AE146" i="9"/>
  <c r="AE148" i="9"/>
  <c r="E18" i="14"/>
  <c r="E16" i="12"/>
  <c r="AI149" i="9"/>
  <c r="AJ146" i="9"/>
  <c r="AK146" i="9" s="1"/>
  <c r="AL146" i="9" s="1"/>
  <c r="AM146" i="9" s="1"/>
  <c r="AG215" i="9"/>
  <c r="AG214" i="9"/>
  <c r="CI224" i="9"/>
  <c r="AY215" i="9"/>
  <c r="O81" i="15" l="1"/>
  <c r="X130" i="9"/>
  <c r="E17" i="12" s="1"/>
  <c r="BJ54" i="15"/>
  <c r="O95" i="15"/>
  <c r="AM149" i="9"/>
  <c r="AN146" i="9"/>
  <c r="AN149" i="9" s="1"/>
  <c r="AN142" i="9" s="1"/>
  <c r="AE149" i="9"/>
  <c r="AY211" i="9"/>
  <c r="CI225" i="9"/>
  <c r="O81" i="20" l="1"/>
  <c r="V130" i="9"/>
  <c r="BJ54" i="20"/>
  <c r="BK54" i="20" s="1"/>
  <c r="Z131" i="9"/>
  <c r="W130" i="9"/>
  <c r="O95" i="20"/>
  <c r="AK81" i="20"/>
  <c r="E167" i="20" s="1"/>
  <c r="G167" i="20" s="1"/>
  <c r="AK81" i="15"/>
  <c r="E167" i="15" s="1"/>
  <c r="L12" i="13"/>
  <c r="CI221" i="9"/>
  <c r="CO217" i="9"/>
  <c r="E21" i="13" s="1"/>
  <c r="E23" i="13" s="1"/>
  <c r="CG223" i="9"/>
  <c r="CG226" i="9"/>
  <c r="CG224" i="9"/>
  <c r="CG225" i="9"/>
  <c r="CG222" i="9"/>
  <c r="CI222" i="9"/>
  <c r="CI227" i="9" s="1"/>
  <c r="CK221" i="9" s="1"/>
  <c r="AD90" i="15" l="1"/>
  <c r="BJ69" i="15"/>
  <c r="BK69" i="15" s="1"/>
  <c r="AD95" i="15"/>
  <c r="E17" i="14"/>
  <c r="E15" i="12"/>
  <c r="BK60" i="15"/>
  <c r="CK226" i="9"/>
  <c r="CL226" i="9" s="1"/>
  <c r="CM226" i="9" s="1"/>
  <c r="CN226" i="9" s="1"/>
  <c r="CO226" i="9" s="1"/>
  <c r="CP226" i="9" s="1"/>
  <c r="CK222" i="9"/>
  <c r="CL222" i="9" s="1"/>
  <c r="CM222" i="9" s="1"/>
  <c r="CN222" i="9" s="1"/>
  <c r="CO222" i="9" s="1"/>
  <c r="CP222" i="9" s="1"/>
  <c r="CK224" i="9"/>
  <c r="CL224" i="9" s="1"/>
  <c r="CM224" i="9" s="1"/>
  <c r="CN224" i="9" s="1"/>
  <c r="CO224" i="9" s="1"/>
  <c r="CP224" i="9" s="1"/>
  <c r="CL221" i="9"/>
  <c r="CM221" i="9" s="1"/>
  <c r="CN221" i="9" s="1"/>
  <c r="CO221" i="9" s="1"/>
  <c r="CP221" i="9" s="1"/>
  <c r="CK223" i="9"/>
  <c r="CL223" i="9" s="1"/>
  <c r="CM223" i="9" s="1"/>
  <c r="CN223" i="9" s="1"/>
  <c r="CO223" i="9" s="1"/>
  <c r="CP223" i="9" s="1"/>
  <c r="CK225" i="9"/>
  <c r="CL225" i="9" s="1"/>
  <c r="CM225" i="9" s="1"/>
  <c r="CN225" i="9" s="1"/>
  <c r="CO225" i="9" s="1"/>
  <c r="CP225" i="9" s="1"/>
  <c r="CK227" i="9" l="1"/>
  <c r="CO227" i="9"/>
  <c r="CP227" i="9"/>
  <c r="CP217" i="9" s="1"/>
  <c r="AV217" i="9"/>
  <c r="AY212" i="9"/>
  <c r="AD90" i="20" l="1"/>
  <c r="AD95" i="20" s="1"/>
  <c r="BJ69" i="20"/>
  <c r="BK69" i="20" s="1"/>
  <c r="BH194" i="9"/>
  <c r="BJ194" i="9" s="1"/>
  <c r="L216" i="9"/>
  <c r="AG211" i="9" s="1"/>
  <c r="L210" i="9"/>
  <c r="AW215" i="9"/>
  <c r="AW213" i="9"/>
  <c r="AW212" i="9"/>
  <c r="BE206" i="9"/>
  <c r="L215" i="9"/>
  <c r="AD217" i="9"/>
  <c r="L211" i="9"/>
  <c r="L214" i="9"/>
  <c r="AE212" i="9"/>
  <c r="AW211" i="9"/>
  <c r="BH193" i="9"/>
  <c r="BJ193" i="9" s="1"/>
  <c r="AW210" i="9"/>
  <c r="AE210" i="9"/>
  <c r="X222" i="9" s="1"/>
  <c r="X221" i="9" s="1"/>
  <c r="AE214" i="9"/>
  <c r="L212" i="9"/>
  <c r="AE215" i="9"/>
  <c r="AW214" i="9"/>
  <c r="AW216" i="9"/>
  <c r="AE213" i="9"/>
  <c r="BH190" i="9"/>
  <c r="BH192" i="9"/>
  <c r="BJ192" i="9" s="1"/>
  <c r="AE211" i="9"/>
  <c r="BH191" i="9"/>
  <c r="BJ191" i="9" s="1"/>
  <c r="L213" i="9"/>
  <c r="AE216" i="9"/>
  <c r="CR237" i="9" l="1"/>
  <c r="T85" i="15"/>
  <c r="T95" i="15" s="1"/>
  <c r="AX59" i="15"/>
  <c r="AK85" i="15"/>
  <c r="E171" i="15" s="1"/>
  <c r="BI210" i="9"/>
  <c r="AM206" i="9"/>
  <c r="AQ190" i="9"/>
  <c r="AS190" i="9" s="1"/>
  <c r="AU50" i="20" s="1"/>
  <c r="X216" i="9"/>
  <c r="X219" i="9"/>
  <c r="X217" i="9"/>
  <c r="X218" i="9"/>
  <c r="X220" i="9"/>
  <c r="BH195" i="9"/>
  <c r="BJ190" i="9"/>
  <c r="BJ195" i="9" s="1"/>
  <c r="AX50" i="20" s="1"/>
  <c r="BD50" i="20" l="1"/>
  <c r="G134" i="20" s="1"/>
  <c r="K116" i="20"/>
  <c r="K118" i="20" s="1"/>
  <c r="C134" i="20" s="1"/>
  <c r="AX77" i="15"/>
  <c r="C174" i="15" s="1"/>
  <c r="BD59" i="15"/>
  <c r="G143" i="15" s="1"/>
  <c r="P82" i="15"/>
  <c r="P95" i="15" s="1"/>
  <c r="AU55" i="15"/>
  <c r="G136" i="15"/>
  <c r="G133" i="15"/>
  <c r="G128" i="15"/>
  <c r="G24" i="14"/>
  <c r="AQ210" i="9"/>
  <c r="Y210" i="9"/>
  <c r="G22" i="12"/>
  <c r="AU77" i="15" l="1"/>
  <c r="C171" i="15" s="1"/>
  <c r="BD55" i="15"/>
  <c r="E25" i="12"/>
  <c r="F25" i="12"/>
  <c r="CG227" i="9" l="1"/>
  <c r="C59" i="11"/>
  <c r="BQ156" i="9"/>
  <c r="BO157" i="9"/>
  <c r="BW152" i="9"/>
  <c r="G112" i="15" l="1"/>
  <c r="G118" i="15" s="1"/>
  <c r="C130" i="15" s="1"/>
  <c r="AY46" i="15"/>
  <c r="E59" i="11"/>
  <c r="C62" i="11"/>
  <c r="BS156" i="9"/>
  <c r="BT156" i="9" s="1"/>
  <c r="BU156" i="9" s="1"/>
  <c r="BV156" i="9" s="1"/>
  <c r="BW156" i="9" s="1"/>
  <c r="BW157" i="9" s="1"/>
  <c r="BQ157" i="9"/>
  <c r="G26" i="17" l="1"/>
  <c r="F26" i="17"/>
  <c r="BX156" i="9"/>
  <c r="BD46" i="15"/>
  <c r="AY77" i="15"/>
  <c r="C175" i="15" s="1"/>
  <c r="G130" i="15"/>
  <c r="H12" i="17"/>
  <c r="H26" i="17" s="1"/>
  <c r="I12" i="17"/>
  <c r="I26" i="17" s="1"/>
  <c r="BX157" i="9"/>
  <c r="E62" i="11"/>
  <c r="D51" i="11"/>
  <c r="BX152" i="9"/>
  <c r="AY46" i="20" l="1"/>
  <c r="G112" i="20"/>
  <c r="G118" i="20" s="1"/>
  <c r="C130" i="20" s="1"/>
  <c r="CC132" i="9"/>
  <c r="F61" i="11"/>
  <c r="F60" i="11"/>
  <c r="O59" i="11" s="1"/>
  <c r="F59" i="11"/>
  <c r="H18" i="14"/>
  <c r="N63" i="11"/>
  <c r="BD46" i="20" l="1"/>
  <c r="G130" i="20" s="1"/>
  <c r="AY77" i="20"/>
  <c r="C175" i="20" s="1"/>
  <c r="N59" i="11"/>
  <c r="L59" i="11" s="1"/>
  <c r="O60" i="11"/>
  <c r="N60" i="11" s="1"/>
  <c r="L60" i="11" s="1"/>
  <c r="F62" i="11"/>
  <c r="O63" i="11" s="1"/>
  <c r="O61" i="11"/>
  <c r="CH142" i="9"/>
  <c r="H16" i="12"/>
  <c r="CH144" i="9" l="1"/>
  <c r="L62" i="11"/>
  <c r="N62" i="11" s="1"/>
  <c r="O62" i="11" s="1"/>
  <c r="F14" i="13"/>
  <c r="F15" i="13" s="1"/>
  <c r="CK142" i="9"/>
  <c r="CK144" i="9"/>
  <c r="H51" i="11"/>
  <c r="CH143" i="9" l="1"/>
  <c r="AG232" i="9"/>
  <c r="CK143" i="9"/>
  <c r="CK146" i="9" s="1"/>
  <c r="CH146" i="9"/>
  <c r="L63" i="11"/>
  <c r="AG234" i="9" l="1"/>
  <c r="AI232" i="9" s="1"/>
  <c r="AJ232" i="9" s="1"/>
  <c r="AK232" i="9" s="1"/>
  <c r="AL232" i="9" s="1"/>
  <c r="AM232" i="9" s="1"/>
  <c r="CI143" i="9"/>
  <c r="AM227" i="9"/>
  <c r="CM145" i="9"/>
  <c r="CN145" i="9" s="1"/>
  <c r="CO145" i="9" s="1"/>
  <c r="CP145" i="9" s="1"/>
  <c r="CQ145" i="9" s="1"/>
  <c r="CR145" i="9" s="1"/>
  <c r="CM142" i="9"/>
  <c r="CI145" i="9"/>
  <c r="CQ138" i="9"/>
  <c r="CI142" i="9"/>
  <c r="CI144" i="9"/>
  <c r="CM144" i="9"/>
  <c r="CN144" i="9" s="1"/>
  <c r="CO144" i="9" s="1"/>
  <c r="CP144" i="9" s="1"/>
  <c r="CQ144" i="9" s="1"/>
  <c r="CR144" i="9" s="1"/>
  <c r="CM143" i="9"/>
  <c r="CN143" i="9" s="1"/>
  <c r="CO143" i="9" s="1"/>
  <c r="CP143" i="9" s="1"/>
  <c r="CQ143" i="9" s="1"/>
  <c r="CR143" i="9" s="1"/>
  <c r="Q82" i="15" l="1"/>
  <c r="AK82" i="15" s="1"/>
  <c r="E168" i="15" s="1"/>
  <c r="BJ56" i="15"/>
  <c r="BK56" i="15" s="1"/>
  <c r="AA89" i="15"/>
  <c r="BJ66" i="15"/>
  <c r="BK66" i="15" s="1"/>
  <c r="AA95" i="15"/>
  <c r="AK89" i="15"/>
  <c r="E175" i="15" s="1"/>
  <c r="Q95" i="15"/>
  <c r="AN232" i="9"/>
  <c r="AI231" i="9"/>
  <c r="AJ231" i="9" s="1"/>
  <c r="AK231" i="9" s="1"/>
  <c r="AL231" i="9" s="1"/>
  <c r="AM231" i="9" s="1"/>
  <c r="AN231" i="9" s="1"/>
  <c r="AI233" i="9"/>
  <c r="AJ233" i="9" s="1"/>
  <c r="AK233" i="9" s="1"/>
  <c r="AL233" i="9" s="1"/>
  <c r="AM233" i="9" s="1"/>
  <c r="AN233" i="9" s="1"/>
  <c r="AE234" i="9"/>
  <c r="CA130" i="9"/>
  <c r="H17" i="12" s="1"/>
  <c r="BK64" i="15"/>
  <c r="CM146" i="9"/>
  <c r="CN142" i="9"/>
  <c r="CO142" i="9" s="1"/>
  <c r="CP142" i="9" s="1"/>
  <c r="CQ142" i="9" s="1"/>
  <c r="CI146" i="9"/>
  <c r="AI234" i="9" l="1"/>
  <c r="AM234" i="9"/>
  <c r="AN234" i="9"/>
  <c r="AN227" i="9" s="1"/>
  <c r="CQ146" i="9"/>
  <c r="CR142" i="9"/>
  <c r="CR146" i="9" s="1"/>
  <c r="CR138" i="9" s="1"/>
  <c r="CC131" i="9" l="1"/>
  <c r="BZ130" i="9"/>
  <c r="BY130" i="9"/>
  <c r="W210" i="9"/>
  <c r="L17" i="13" s="1"/>
  <c r="BJ56" i="20"/>
  <c r="BK56" i="20" s="1"/>
  <c r="Q82" i="20"/>
  <c r="Q95" i="20" s="1"/>
  <c r="AA89" i="20"/>
  <c r="BJ66" i="20"/>
  <c r="BK66" i="20" s="1"/>
  <c r="O12" i="13"/>
  <c r="H17" i="14"/>
  <c r="AA95" i="20" l="1"/>
  <c r="AK89" i="20"/>
  <c r="E175" i="20" s="1"/>
  <c r="G175" i="20" s="1"/>
  <c r="H15" i="12"/>
  <c r="F92" i="11"/>
  <c r="C92" i="11" s="1"/>
  <c r="I91" i="11" l="1"/>
  <c r="F93" i="11"/>
  <c r="C93" i="11" s="1"/>
  <c r="J91" i="11" l="1"/>
  <c r="F94" i="11"/>
  <c r="C94" i="11" s="1"/>
  <c r="K91" i="11" s="1"/>
  <c r="L91" i="11" s="1"/>
  <c r="M91" i="11" s="1"/>
  <c r="BR210" i="9" s="1"/>
  <c r="BV210" i="9" s="1"/>
  <c r="BW210" i="9" s="1"/>
  <c r="J210" i="9"/>
  <c r="AU210" i="9"/>
  <c r="BX210" i="9" l="1"/>
  <c r="AZ210" i="9"/>
  <c r="AH210" i="9" s="1"/>
  <c r="O210" i="9" s="1"/>
  <c r="C96" i="11"/>
  <c r="D93" i="11" l="1"/>
  <c r="D92" i="11"/>
  <c r="D95" i="11"/>
  <c r="D91" i="11"/>
  <c r="D94" i="11"/>
  <c r="N210" i="9"/>
  <c r="AG210" i="9"/>
  <c r="AY210" i="9"/>
  <c r="AY217" i="9" l="1"/>
  <c r="AI213" i="9" s="1"/>
  <c r="AJ213" i="9" s="1"/>
  <c r="AK213" i="9" s="1"/>
  <c r="AL213" i="9" s="1"/>
  <c r="AM213" i="9" s="1"/>
  <c r="AN213" i="9" s="1"/>
  <c r="P210" i="9"/>
  <c r="AG217" i="9"/>
  <c r="N217" i="9"/>
  <c r="BX217" i="9"/>
  <c r="BX206" i="9" s="1"/>
  <c r="BW217" i="9"/>
  <c r="BA210" i="9"/>
  <c r="BB210" i="9" s="1"/>
  <c r="BC210" i="9" s="1"/>
  <c r="BD210" i="9" s="1"/>
  <c r="BE210" i="9" s="1"/>
  <c r="BK210" i="9" s="1"/>
  <c r="Q210" i="9"/>
  <c r="R210" i="9" s="1"/>
  <c r="S210" i="9" s="1"/>
  <c r="T210" i="9" s="1"/>
  <c r="P193" i="9" s="1"/>
  <c r="BA215" i="9"/>
  <c r="BB215" i="9" s="1"/>
  <c r="BC215" i="9" s="1"/>
  <c r="BD215" i="9" s="1"/>
  <c r="BE215" i="9" s="1"/>
  <c r="BF215" i="9" s="1"/>
  <c r="P214" i="9"/>
  <c r="Q214" i="9" s="1"/>
  <c r="R214" i="9" s="1"/>
  <c r="S214" i="9" s="1"/>
  <c r="T214" i="9" s="1"/>
  <c r="U214" i="9" s="1"/>
  <c r="P215" i="9"/>
  <c r="Q215" i="9" s="1"/>
  <c r="R215" i="9" s="1"/>
  <c r="S215" i="9" s="1"/>
  <c r="T215" i="9" s="1"/>
  <c r="U215" i="9" s="1"/>
  <c r="AI210" i="9"/>
  <c r="BA216" i="9"/>
  <c r="BB216" i="9" s="1"/>
  <c r="BC216" i="9" s="1"/>
  <c r="BD216" i="9" s="1"/>
  <c r="BE216" i="9" s="1"/>
  <c r="BF216" i="9" s="1"/>
  <c r="BA214" i="9"/>
  <c r="BB214" i="9" s="1"/>
  <c r="BC214" i="9" s="1"/>
  <c r="BD214" i="9" s="1"/>
  <c r="BE214" i="9" s="1"/>
  <c r="BF214" i="9" s="1"/>
  <c r="BA211" i="9"/>
  <c r="BB211" i="9" s="1"/>
  <c r="BC211" i="9" s="1"/>
  <c r="BD211" i="9" s="1"/>
  <c r="BE211" i="9" s="1"/>
  <c r="BF211" i="9" s="1"/>
  <c r="AI214" i="9"/>
  <c r="AJ214" i="9" s="1"/>
  <c r="AK214" i="9" s="1"/>
  <c r="AL214" i="9" s="1"/>
  <c r="AM214" i="9" s="1"/>
  <c r="AN214" i="9" s="1"/>
  <c r="BA213" i="9"/>
  <c r="BB213" i="9" s="1"/>
  <c r="BC213" i="9" s="1"/>
  <c r="BD213" i="9" s="1"/>
  <c r="BE213" i="9" s="1"/>
  <c r="BF213" i="9" s="1"/>
  <c r="P211" i="9"/>
  <c r="Q211" i="9" s="1"/>
  <c r="R211" i="9" s="1"/>
  <c r="S211" i="9" s="1"/>
  <c r="T211" i="9" s="1"/>
  <c r="U211" i="9" s="1"/>
  <c r="AI211" i="9"/>
  <c r="AJ211" i="9" s="1"/>
  <c r="AK211" i="9" s="1"/>
  <c r="AL211" i="9" s="1"/>
  <c r="AM211" i="9" s="1"/>
  <c r="AN211" i="9" s="1"/>
  <c r="P213" i="9"/>
  <c r="Q213" i="9" s="1"/>
  <c r="R213" i="9" s="1"/>
  <c r="S213" i="9" s="1"/>
  <c r="T213" i="9" s="1"/>
  <c r="U213" i="9" s="1"/>
  <c r="AI212" i="9"/>
  <c r="AJ212" i="9" s="1"/>
  <c r="AK212" i="9" s="1"/>
  <c r="AL212" i="9" s="1"/>
  <c r="AM212" i="9" s="1"/>
  <c r="AN212" i="9" s="1"/>
  <c r="P212" i="9"/>
  <c r="Q212" i="9" s="1"/>
  <c r="R212" i="9" s="1"/>
  <c r="S212" i="9" s="1"/>
  <c r="T212" i="9" s="1"/>
  <c r="U212" i="9" s="1"/>
  <c r="BA212" i="9"/>
  <c r="BB212" i="9" s="1"/>
  <c r="BC212" i="9" s="1"/>
  <c r="BD212" i="9" s="1"/>
  <c r="BE212" i="9" s="1"/>
  <c r="BF212" i="9" s="1"/>
  <c r="AI216" i="9"/>
  <c r="AJ216" i="9" s="1"/>
  <c r="AK216" i="9" s="1"/>
  <c r="AL216" i="9" s="1"/>
  <c r="AM216" i="9" s="1"/>
  <c r="AN216" i="9" s="1"/>
  <c r="P216" i="9"/>
  <c r="Q216" i="9" s="1"/>
  <c r="R216" i="9" s="1"/>
  <c r="S216" i="9" s="1"/>
  <c r="T216" i="9" s="1"/>
  <c r="U216" i="9" s="1"/>
  <c r="X88" i="20" l="1"/>
  <c r="AZ63" i="20"/>
  <c r="BD63" i="20" s="1"/>
  <c r="G147" i="20" s="1"/>
  <c r="AI215" i="9"/>
  <c r="AJ215" i="9" s="1"/>
  <c r="AK215" i="9" s="1"/>
  <c r="AL215" i="9" s="1"/>
  <c r="AM215" i="9" s="1"/>
  <c r="AN215" i="9" s="1"/>
  <c r="P217" i="9"/>
  <c r="AI217" i="9"/>
  <c r="AJ210" i="9"/>
  <c r="AK210" i="9" s="1"/>
  <c r="AL210" i="9" s="1"/>
  <c r="AM210" i="9" s="1"/>
  <c r="AA210" i="9" s="1"/>
  <c r="T217" i="9"/>
  <c r="U210" i="9"/>
  <c r="BA217" i="9"/>
  <c r="BF210" i="9"/>
  <c r="BE217" i="9"/>
  <c r="AS210" i="9" l="1"/>
  <c r="AK88" i="20"/>
  <c r="E174" i="20" s="1"/>
  <c r="X95" i="20"/>
  <c r="U217" i="9"/>
  <c r="U206" i="9" s="1"/>
  <c r="P195" i="9"/>
  <c r="F22" i="12"/>
  <c r="F24" i="14"/>
  <c r="BF217" i="9"/>
  <c r="BF206" i="9" s="1"/>
  <c r="AN210" i="9"/>
  <c r="AM217" i="9"/>
  <c r="BH210" i="9" l="1"/>
  <c r="T85" i="20"/>
  <c r="AX59" i="20"/>
  <c r="BK212" i="9"/>
  <c r="BK211" i="9"/>
  <c r="E110" i="20"/>
  <c r="E118" i="20" s="1"/>
  <c r="C128" i="20" s="1"/>
  <c r="AR44" i="20"/>
  <c r="P194" i="9"/>
  <c r="N193" i="9"/>
  <c r="E24" i="14"/>
  <c r="E22" i="12"/>
  <c r="D24" i="14"/>
  <c r="D22" i="12"/>
  <c r="AN217" i="9"/>
  <c r="AN206" i="9" s="1"/>
  <c r="P82" i="20" l="1"/>
  <c r="AU55" i="20"/>
  <c r="AP210" i="9"/>
  <c r="AS212" i="9"/>
  <c r="BD44" i="20"/>
  <c r="G128" i="20" s="1"/>
  <c r="AX77" i="20"/>
  <c r="C174" i="20" s="1"/>
  <c r="G174" i="20" s="1"/>
  <c r="BD59" i="20"/>
  <c r="G143" i="20" s="1"/>
  <c r="AS211" i="9"/>
  <c r="F25" i="14" s="1"/>
  <c r="T95" i="20"/>
  <c r="AK85" i="20"/>
  <c r="E171" i="20" s="1"/>
  <c r="D24" i="12"/>
  <c r="D26" i="14"/>
  <c r="F23" i="12" l="1"/>
  <c r="BD55" i="20"/>
  <c r="G139" i="20" s="1"/>
  <c r="AU77" i="20"/>
  <c r="C171" i="20" s="1"/>
  <c r="G171" i="20" s="1"/>
  <c r="P95" i="20"/>
  <c r="AK82" i="20"/>
  <c r="E168" i="20" s="1"/>
  <c r="F24" i="12"/>
  <c r="F26" i="14"/>
  <c r="D23" i="12"/>
  <c r="D25" i="14"/>
  <c r="BK54" i="15" l="1"/>
  <c r="BK61" i="15"/>
  <c r="G139" i="15" l="1"/>
  <c r="G145" i="15"/>
  <c r="BK67" i="15" l="1"/>
  <c r="L78" i="9" l="1"/>
  <c r="N78" i="9" l="1"/>
  <c r="P76" i="9"/>
  <c r="Q76" i="9" s="1"/>
  <c r="R76" i="9" s="1"/>
  <c r="S76" i="9" s="1"/>
  <c r="T76" i="9" s="1"/>
  <c r="BK59" i="15"/>
  <c r="U76" i="9" l="1"/>
  <c r="P77" i="9"/>
  <c r="Q77" i="9" s="1"/>
  <c r="R77" i="9" s="1"/>
  <c r="S77" i="9" s="1"/>
  <c r="T77" i="9" s="1"/>
  <c r="T78" i="9" s="1"/>
  <c r="U77" i="9" l="1"/>
  <c r="U78" i="9" s="1"/>
  <c r="U72" i="9" s="1"/>
  <c r="G173" i="15"/>
  <c r="G174" i="15"/>
  <c r="G177" i="15"/>
  <c r="G168" i="15"/>
  <c r="G167" i="15"/>
  <c r="G169" i="15"/>
  <c r="G175" i="15"/>
  <c r="G170" i="15"/>
  <c r="G178" i="15"/>
  <c r="G172" i="15"/>
  <c r="G171" i="15"/>
  <c r="AP45" i="20" l="1"/>
  <c r="AP77" i="20" s="1"/>
  <c r="C166" i="20" s="1"/>
  <c r="G166" i="20" s="1"/>
  <c r="Z48" i="9"/>
  <c r="W46" i="9"/>
  <c r="Z47" i="9"/>
  <c r="G166" i="15"/>
  <c r="E8" i="14" l="1"/>
  <c r="E6" i="12"/>
  <c r="E9" i="14"/>
  <c r="E7" i="12"/>
  <c r="AD89" i="11"/>
  <c r="Z102" i="11"/>
  <c r="AD88" i="11" l="1"/>
  <c r="AH102" i="11"/>
  <c r="AA90" i="11"/>
  <c r="AI101" i="11" s="1"/>
  <c r="AD90" i="11"/>
  <c r="BN232" i="9"/>
  <c r="C189" i="11"/>
  <c r="AK101" i="11"/>
  <c r="ED240" i="9"/>
  <c r="AA89" i="11"/>
  <c r="AD87" i="11"/>
  <c r="AD91" i="11" s="1"/>
  <c r="AA101" i="11"/>
  <c r="Z101" i="11" s="1"/>
  <c r="AA88" i="11"/>
  <c r="AI98" i="11" l="1"/>
  <c r="AH98" i="11" s="1"/>
  <c r="AA98" i="11"/>
  <c r="AI99" i="11"/>
  <c r="AA99" i="11"/>
  <c r="AI100" i="11"/>
  <c r="AH100" i="11" s="1"/>
  <c r="AA100" i="11"/>
  <c r="Z100" i="11" s="1"/>
  <c r="BQ232" i="9"/>
  <c r="AC101" i="11"/>
  <c r="C155" i="11"/>
  <c r="DW159" i="9"/>
  <c r="AC98" i="11"/>
  <c r="DW156" i="9"/>
  <c r="C152" i="11"/>
  <c r="EG240" i="9"/>
  <c r="F189" i="11"/>
  <c r="ED237" i="9"/>
  <c r="AK98" i="11"/>
  <c r="C186" i="11"/>
  <c r="BN229" i="9"/>
  <c r="F186" i="11" l="1"/>
  <c r="F152" i="11"/>
  <c r="E203" i="11"/>
  <c r="DX156" i="9"/>
  <c r="DZ156" i="9"/>
  <c r="EG237" i="9"/>
  <c r="BN231" i="9"/>
  <c r="ED239" i="9"/>
  <c r="AK100" i="11"/>
  <c r="C188" i="11"/>
  <c r="Z99" i="11"/>
  <c r="AA102" i="11"/>
  <c r="DX159" i="9"/>
  <c r="DZ159" i="9"/>
  <c r="F155" i="11"/>
  <c r="DW158" i="9"/>
  <c r="AC100" i="11"/>
  <c r="C154" i="11"/>
  <c r="BQ229" i="9"/>
  <c r="AH99" i="11"/>
  <c r="AI102" i="11"/>
  <c r="F188" i="11" l="1"/>
  <c r="EG239" i="9"/>
  <c r="BQ231" i="9"/>
  <c r="DX158" i="9"/>
  <c r="DZ158" i="9"/>
  <c r="C187" i="11"/>
  <c r="BN230" i="9"/>
  <c r="ED238" i="9"/>
  <c r="AK99" i="11"/>
  <c r="F154" i="11"/>
  <c r="AC99" i="11"/>
  <c r="DW157" i="9"/>
  <c r="C153" i="11"/>
  <c r="DZ157" i="9" l="1"/>
  <c r="DX157" i="9"/>
  <c r="AK102" i="11"/>
  <c r="AL99" i="11" s="1"/>
  <c r="AC102" i="11"/>
  <c r="EG238" i="9"/>
  <c r="ED241" i="9"/>
  <c r="EM233" i="9" s="1"/>
  <c r="BI71" i="15" s="1"/>
  <c r="BK71" i="15" s="1"/>
  <c r="F153" i="11"/>
  <c r="C156" i="11"/>
  <c r="BQ230" i="9"/>
  <c r="BN233" i="9"/>
  <c r="F187" i="11"/>
  <c r="C190" i="11"/>
  <c r="D187" i="11" s="1"/>
  <c r="C203" i="11"/>
  <c r="C202" i="11" s="1"/>
  <c r="D189" i="11" l="1"/>
  <c r="D186" i="11"/>
  <c r="D188" i="11"/>
  <c r="BW225" i="9"/>
  <c r="AZ71" i="15" s="1"/>
  <c r="BD71" i="15" s="1"/>
  <c r="G155" i="15" s="1"/>
  <c r="BO232" i="9"/>
  <c r="EE240" i="9"/>
  <c r="BO229" i="9"/>
  <c r="EE237" i="9"/>
  <c r="EE239" i="9"/>
  <c r="BO231" i="9"/>
  <c r="BQ233" i="9"/>
  <c r="EI238" i="9" s="1"/>
  <c r="EJ238" i="9" s="1"/>
  <c r="EK238" i="9" s="1"/>
  <c r="EL238" i="9" s="1"/>
  <c r="EM238" i="9" s="1"/>
  <c r="EN238" i="9" s="1"/>
  <c r="EG241" i="9"/>
  <c r="AD101" i="11"/>
  <c r="G152" i="11"/>
  <c r="AD100" i="11"/>
  <c r="G155" i="11"/>
  <c r="AD99" i="11"/>
  <c r="BO230" i="9"/>
  <c r="D155" i="11"/>
  <c r="D152" i="11"/>
  <c r="D154" i="11"/>
  <c r="D153" i="11"/>
  <c r="AL101" i="11"/>
  <c r="AL100" i="11"/>
  <c r="C200" i="11"/>
  <c r="C199" i="11" s="1"/>
  <c r="H199" i="11" s="1"/>
  <c r="H200" i="11" s="1"/>
  <c r="F190" i="11"/>
  <c r="G187" i="11" s="1"/>
  <c r="E200" i="11"/>
  <c r="E199" i="11" s="1"/>
  <c r="J199" i="11" s="1"/>
  <c r="J200" i="11" s="1"/>
  <c r="P152" i="11"/>
  <c r="G153" i="11"/>
  <c r="C168" i="11"/>
  <c r="P153" i="11"/>
  <c r="C169" i="11"/>
  <c r="E169" i="11"/>
  <c r="E168" i="11" s="1"/>
  <c r="F156" i="11"/>
  <c r="EE238" i="9"/>
  <c r="G154" i="11"/>
  <c r="DZ160" i="9"/>
  <c r="BS230" i="9" l="1"/>
  <c r="BT230" i="9" s="1"/>
  <c r="BU230" i="9" s="1"/>
  <c r="BV230" i="9" s="1"/>
  <c r="BW230" i="9" s="1"/>
  <c r="BX230" i="9" s="1"/>
  <c r="H169" i="11"/>
  <c r="H168" i="11" s="1"/>
  <c r="Q153" i="11"/>
  <c r="H172" i="11"/>
  <c r="H171" i="11" s="1"/>
  <c r="M153" i="11"/>
  <c r="Q152" i="11"/>
  <c r="J169" i="11"/>
  <c r="J168" i="11" s="1"/>
  <c r="M152" i="11"/>
  <c r="J172" i="11"/>
  <c r="J171" i="11" s="1"/>
  <c r="P187" i="11"/>
  <c r="H203" i="11"/>
  <c r="H202" i="11" s="1"/>
  <c r="J203" i="11"/>
  <c r="J202" i="11" s="1"/>
  <c r="P186" i="11"/>
  <c r="EI240" i="9"/>
  <c r="EJ240" i="9" s="1"/>
  <c r="EK240" i="9" s="1"/>
  <c r="EL240" i="9" s="1"/>
  <c r="EM240" i="9" s="1"/>
  <c r="EN240" i="9" s="1"/>
  <c r="BS232" i="9"/>
  <c r="BT232" i="9" s="1"/>
  <c r="BU232" i="9" s="1"/>
  <c r="BV232" i="9" s="1"/>
  <c r="BW232" i="9" s="1"/>
  <c r="BX232" i="9" s="1"/>
  <c r="BS229" i="9"/>
  <c r="EI237" i="9"/>
  <c r="EI239" i="9"/>
  <c r="EJ239" i="9" s="1"/>
  <c r="EK239" i="9" s="1"/>
  <c r="EL239" i="9" s="1"/>
  <c r="EM239" i="9" s="1"/>
  <c r="EN239" i="9" s="1"/>
  <c r="BS231" i="9"/>
  <c r="BT231" i="9" s="1"/>
  <c r="BU231" i="9" s="1"/>
  <c r="BV231" i="9" s="1"/>
  <c r="BW231" i="9" s="1"/>
  <c r="BX231" i="9" s="1"/>
  <c r="EE241" i="9"/>
  <c r="AL102" i="11"/>
  <c r="D156" i="11"/>
  <c r="G156" i="11"/>
  <c r="AD102" i="11"/>
  <c r="G189" i="11"/>
  <c r="G186" i="11"/>
  <c r="G188" i="11"/>
  <c r="BO233" i="9"/>
  <c r="D190" i="11"/>
  <c r="EB159" i="9"/>
  <c r="EC159" i="9" s="1"/>
  <c r="ED159" i="9" s="1"/>
  <c r="EE159" i="9" s="1"/>
  <c r="EF159" i="9" s="1"/>
  <c r="EG159" i="9" s="1"/>
  <c r="EB156" i="9"/>
  <c r="EB158" i="9"/>
  <c r="EC158" i="9" s="1"/>
  <c r="ED158" i="9" s="1"/>
  <c r="EE158" i="9" s="1"/>
  <c r="EF158" i="9" s="1"/>
  <c r="EG158" i="9" s="1"/>
  <c r="EB157" i="9"/>
  <c r="EC157" i="9" s="1"/>
  <c r="ED157" i="9" s="1"/>
  <c r="EE157" i="9" s="1"/>
  <c r="EF157" i="9" s="1"/>
  <c r="EG157" i="9" s="1"/>
  <c r="C206" i="11" l="1"/>
  <c r="C207" i="11" s="1"/>
  <c r="Q186" i="11"/>
  <c r="M186" i="11"/>
  <c r="M187" i="11"/>
  <c r="Q187" i="11"/>
  <c r="EI241" i="9"/>
  <c r="EJ237" i="9"/>
  <c r="EK237" i="9" s="1"/>
  <c r="EL237" i="9" s="1"/>
  <c r="EM237" i="9" s="1"/>
  <c r="BS233" i="9"/>
  <c r="BT229" i="9"/>
  <c r="BU229" i="9" s="1"/>
  <c r="BV229" i="9" s="1"/>
  <c r="BW229" i="9" s="1"/>
  <c r="F192" i="11"/>
  <c r="C192" i="11" s="1"/>
  <c r="E207" i="11"/>
  <c r="EB160" i="9"/>
  <c r="EC156" i="9"/>
  <c r="ED156" i="9" s="1"/>
  <c r="EE156" i="9" s="1"/>
  <c r="EF156" i="9" s="1"/>
  <c r="EV146" i="9"/>
  <c r="G190" i="11"/>
  <c r="EV145" i="9"/>
  <c r="C171" i="11"/>
  <c r="C172" i="11" s="1"/>
  <c r="F159" i="11" s="1"/>
  <c r="EY146" i="9" l="1"/>
  <c r="G7" i="13"/>
  <c r="G8" i="13" s="1"/>
  <c r="EY145" i="9"/>
  <c r="BN246" i="9"/>
  <c r="F193" i="11"/>
  <c r="C193" i="11" s="1"/>
  <c r="C194" i="11" s="1"/>
  <c r="H207" i="11"/>
  <c r="P188" i="11" s="1"/>
  <c r="EM241" i="9"/>
  <c r="EN237" i="9"/>
  <c r="EN241" i="9" s="1"/>
  <c r="EN233" i="9" s="1"/>
  <c r="BI71" i="20" s="1"/>
  <c r="BK71" i="20" s="1"/>
  <c r="EG156" i="9"/>
  <c r="EG160" i="9" s="1"/>
  <c r="EG152" i="9" s="1"/>
  <c r="EF160" i="9"/>
  <c r="BX229" i="9"/>
  <c r="BX233" i="9" s="1"/>
  <c r="BX225" i="9" s="1"/>
  <c r="BW233" i="9"/>
  <c r="CF255" i="9"/>
  <c r="CF254" i="9"/>
  <c r="F160" i="11"/>
  <c r="F161" i="11" s="1"/>
  <c r="G159" i="11" s="1"/>
  <c r="C159" i="11"/>
  <c r="C195" i="11" l="1"/>
  <c r="D192" i="11"/>
  <c r="CI255" i="9"/>
  <c r="AZ71" i="20"/>
  <c r="D193" i="11"/>
  <c r="BN247" i="9"/>
  <c r="M188" i="11"/>
  <c r="Q188" i="11"/>
  <c r="Q189" i="11" s="1"/>
  <c r="P189" i="11"/>
  <c r="BC71" i="20"/>
  <c r="BN248" i="9"/>
  <c r="DW144" i="9"/>
  <c r="G160" i="11"/>
  <c r="G161" i="11" s="1"/>
  <c r="C160" i="11"/>
  <c r="C161" i="11" s="1"/>
  <c r="C163" i="11" s="1"/>
  <c r="P154" i="11"/>
  <c r="E172" i="11"/>
  <c r="CI254" i="9"/>
  <c r="CF256" i="9" l="1"/>
  <c r="M189" i="11"/>
  <c r="D194" i="11"/>
  <c r="L240" i="9"/>
  <c r="L241" i="9"/>
  <c r="N241" i="9" s="1"/>
  <c r="BW242" i="9"/>
  <c r="AZ45" i="15" s="1"/>
  <c r="DW145" i="9"/>
  <c r="D160" i="11"/>
  <c r="D159" i="11"/>
  <c r="D161" i="11" s="1"/>
  <c r="BO246" i="9"/>
  <c r="BO247" i="9"/>
  <c r="BQ247" i="9" s="1"/>
  <c r="BD71" i="20"/>
  <c r="G155" i="20" s="1"/>
  <c r="Q154" i="11"/>
  <c r="Q155" i="11" s="1"/>
  <c r="M154" i="11"/>
  <c r="P155" i="11"/>
  <c r="DZ144" i="9"/>
  <c r="BO248" i="9" l="1"/>
  <c r="BQ246" i="9"/>
  <c r="CI256" i="9"/>
  <c r="CF257" i="9"/>
  <c r="M155" i="11"/>
  <c r="N154" i="11" s="1"/>
  <c r="DZ145" i="9"/>
  <c r="EV147" i="9"/>
  <c r="AZ77" i="15"/>
  <c r="C176" i="15" s="1"/>
  <c r="L242" i="9"/>
  <c r="N240" i="9"/>
  <c r="N186" i="11"/>
  <c r="N187" i="11"/>
  <c r="DZ146" i="9"/>
  <c r="EB144" i="9" s="1"/>
  <c r="EC144" i="9" s="1"/>
  <c r="ED144" i="9" s="1"/>
  <c r="EE144" i="9" s="1"/>
  <c r="EF144" i="9" s="1"/>
  <c r="DW146" i="9"/>
  <c r="DX145" i="9" s="1"/>
  <c r="N188" i="11"/>
  <c r="N189" i="11" l="1"/>
  <c r="EG144" i="9"/>
  <c r="EB145" i="9"/>
  <c r="EC145" i="9" s="1"/>
  <c r="ED145" i="9" s="1"/>
  <c r="EE145" i="9" s="1"/>
  <c r="EF145" i="9" s="1"/>
  <c r="EG145" i="9" s="1"/>
  <c r="CO250" i="9"/>
  <c r="CG255" i="9"/>
  <c r="CG254" i="9"/>
  <c r="CI257" i="9"/>
  <c r="BQ248" i="9"/>
  <c r="N242" i="9"/>
  <c r="P240" i="9" s="1"/>
  <c r="Q240" i="9" s="1"/>
  <c r="R240" i="9" s="1"/>
  <c r="S240" i="9" s="1"/>
  <c r="T240" i="9" s="1"/>
  <c r="EY147" i="9"/>
  <c r="EV148" i="9"/>
  <c r="I151" i="11"/>
  <c r="N152" i="11"/>
  <c r="N153" i="11"/>
  <c r="CG256" i="9"/>
  <c r="EF140" i="9"/>
  <c r="DX144" i="9"/>
  <c r="N155" i="11" l="1"/>
  <c r="FE141" i="9"/>
  <c r="EW146" i="9"/>
  <c r="EW145" i="9"/>
  <c r="U240" i="9"/>
  <c r="P241" i="9"/>
  <c r="Q241" i="9" s="1"/>
  <c r="R241" i="9" s="1"/>
  <c r="S241" i="9" s="1"/>
  <c r="T241" i="9" s="1"/>
  <c r="T242" i="9" s="1"/>
  <c r="EW147" i="9"/>
  <c r="BS247" i="9"/>
  <c r="BT247" i="9" s="1"/>
  <c r="BU247" i="9" s="1"/>
  <c r="BV247" i="9" s="1"/>
  <c r="BW247" i="9" s="1"/>
  <c r="BX247" i="9" s="1"/>
  <c r="CK254" i="9"/>
  <c r="CK255" i="9"/>
  <c r="CK256" i="9"/>
  <c r="CG257" i="9"/>
  <c r="CA210" i="9"/>
  <c r="G25" i="12" s="1"/>
  <c r="AE90" i="15"/>
  <c r="BJ70" i="15"/>
  <c r="BK70" i="15" s="1"/>
  <c r="EG146" i="9"/>
  <c r="EG140" i="9" s="1"/>
  <c r="EY148" i="9"/>
  <c r="FA147" i="9" s="1"/>
  <c r="FB147" i="9" s="1"/>
  <c r="FC147" i="9" s="1"/>
  <c r="FD147" i="9" s="1"/>
  <c r="FE147" i="9" s="1"/>
  <c r="BS246" i="9"/>
  <c r="BT246" i="9" s="1"/>
  <c r="BU246" i="9" s="1"/>
  <c r="BV246" i="9" s="1"/>
  <c r="BW246" i="9" s="1"/>
  <c r="BX246" i="9" s="1"/>
  <c r="F111" i="15"/>
  <c r="F118" i="15" s="1"/>
  <c r="C129" i="15" s="1"/>
  <c r="BC45" i="15"/>
  <c r="BC45" i="20" l="1"/>
  <c r="BC77" i="20" s="1"/>
  <c r="C179" i="20" s="1"/>
  <c r="EM133" i="9"/>
  <c r="AE95" i="15"/>
  <c r="AK90" i="15"/>
  <c r="E176" i="15" s="1"/>
  <c r="G176" i="15" s="1"/>
  <c r="BX248" i="9"/>
  <c r="BX242" i="9" s="1"/>
  <c r="BC77" i="15"/>
  <c r="C179" i="15" s="1"/>
  <c r="BD45" i="15"/>
  <c r="G129" i="15" s="1"/>
  <c r="CL256" i="9"/>
  <c r="CM256" i="9" s="1"/>
  <c r="CN256" i="9" s="1"/>
  <c r="CO256" i="9" s="1"/>
  <c r="CP256" i="9" s="1"/>
  <c r="CL254" i="9"/>
  <c r="CM254" i="9" s="1"/>
  <c r="CN254" i="9" s="1"/>
  <c r="CO254" i="9" s="1"/>
  <c r="AI93" i="15"/>
  <c r="EK131" i="9"/>
  <c r="E34" i="12" s="1"/>
  <c r="BJ74" i="15"/>
  <c r="BK74" i="15" s="1"/>
  <c r="I126" i="15" s="1" a="1"/>
  <c r="I126" i="15" s="1"/>
  <c r="CL255" i="9"/>
  <c r="CM255" i="9" s="1"/>
  <c r="CN255" i="9" s="1"/>
  <c r="CO255" i="9" s="1"/>
  <c r="CP255" i="9" s="1"/>
  <c r="U241" i="9"/>
  <c r="U242" i="9" s="1"/>
  <c r="U236" i="9" s="1"/>
  <c r="X210" i="9" s="1"/>
  <c r="BW248" i="9"/>
  <c r="FF147" i="9"/>
  <c r="FA146" i="9"/>
  <c r="FB146" i="9" s="1"/>
  <c r="FC146" i="9" s="1"/>
  <c r="FD146" i="9" s="1"/>
  <c r="FE146" i="9" s="1"/>
  <c r="FF146" i="9" s="1"/>
  <c r="FA145" i="9"/>
  <c r="CP254" i="9" l="1"/>
  <c r="CP257" i="9" s="1"/>
  <c r="CP250" i="9" s="1"/>
  <c r="CO257" i="9"/>
  <c r="F111" i="20"/>
  <c r="F118" i="20" s="1"/>
  <c r="C129" i="20" s="1"/>
  <c r="AA212" i="9"/>
  <c r="AA211" i="9"/>
  <c r="AR45" i="20"/>
  <c r="AR77" i="20" s="1"/>
  <c r="C168" i="20" s="1"/>
  <c r="G168" i="20" s="1"/>
  <c r="E33" i="12"/>
  <c r="E35" i="14"/>
  <c r="AK93" i="15"/>
  <c r="E179" i="15" s="1"/>
  <c r="G179" i="15" s="1"/>
  <c r="AI95" i="15"/>
  <c r="AZ45" i="20"/>
  <c r="AZ77" i="20" s="1"/>
  <c r="C176" i="20" s="1"/>
  <c r="CC212" i="9"/>
  <c r="FB145" i="9"/>
  <c r="FC145" i="9" s="1"/>
  <c r="FD145" i="9" s="1"/>
  <c r="FE145" i="9" s="1"/>
  <c r="FA148" i="9"/>
  <c r="E126" i="15" a="1"/>
  <c r="FE148" i="9" l="1"/>
  <c r="FF145" i="9"/>
  <c r="FF148" i="9" s="1"/>
  <c r="FF141" i="9" s="1"/>
  <c r="G24" i="12"/>
  <c r="G26" i="14"/>
  <c r="K134" i="15"/>
  <c r="K130" i="15"/>
  <c r="K157" i="15"/>
  <c r="K152" i="15"/>
  <c r="K137" i="15"/>
  <c r="K155" i="15"/>
  <c r="K156" i="15"/>
  <c r="K141" i="15"/>
  <c r="K153" i="15"/>
  <c r="K143" i="15"/>
  <c r="K140" i="15"/>
  <c r="K154" i="15"/>
  <c r="K135" i="15"/>
  <c r="K144" i="15"/>
  <c r="K138" i="15"/>
  <c r="K127" i="15"/>
  <c r="K133" i="15"/>
  <c r="K132" i="15"/>
  <c r="E126" i="15"/>
  <c r="K126" i="15" s="1"/>
  <c r="K145" i="15"/>
  <c r="K142" i="15"/>
  <c r="K136" i="15"/>
  <c r="K150" i="15"/>
  <c r="K128" i="15"/>
  <c r="K146" i="15"/>
  <c r="K139" i="15"/>
  <c r="K148" i="15"/>
  <c r="K158" i="15"/>
  <c r="K149" i="15"/>
  <c r="K131" i="15"/>
  <c r="K147" i="15"/>
  <c r="K159" i="15"/>
  <c r="K151" i="15"/>
  <c r="K129" i="15"/>
  <c r="E25" i="14"/>
  <c r="E23" i="12"/>
  <c r="E26" i="14"/>
  <c r="E24" i="12"/>
  <c r="BD45" i="20"/>
  <c r="G129" i="20" s="1"/>
  <c r="AE90" i="20"/>
  <c r="BZ210" i="9"/>
  <c r="CC211" i="9"/>
  <c r="BY210" i="9"/>
  <c r="N17" i="13" s="1"/>
  <c r="BJ70" i="20"/>
  <c r="BK70" i="20" s="1"/>
  <c r="G23" i="12" l="1"/>
  <c r="G25" i="14"/>
  <c r="AK90" i="20"/>
  <c r="E176" i="20" s="1"/>
  <c r="G176" i="20" s="1"/>
  <c r="AE95" i="20"/>
  <c r="K160" i="15"/>
  <c r="EM132" i="9"/>
  <c r="BJ74" i="20"/>
  <c r="BK74" i="20" s="1"/>
  <c r="I126" i="20" s="1" a="1"/>
  <c r="I126" i="20" s="1"/>
  <c r="AI93" i="20"/>
  <c r="EI131" i="9"/>
  <c r="M22" i="13" s="1"/>
  <c r="EJ131" i="9"/>
  <c r="T5" i="13" s="1"/>
  <c r="E32" i="12" l="1"/>
  <c r="E34" i="14"/>
  <c r="AK93" i="20"/>
  <c r="E179" i="20" s="1"/>
  <c r="G179" i="20" s="1"/>
  <c r="AI95" i="20"/>
  <c r="E126" i="20" s="1" a="1"/>
  <c r="K152" i="20" l="1"/>
  <c r="K146" i="20"/>
  <c r="K154" i="20"/>
  <c r="K149" i="20"/>
  <c r="K156" i="20"/>
  <c r="K144" i="20"/>
  <c r="K143" i="20"/>
  <c r="K153" i="20"/>
  <c r="K151" i="20"/>
  <c r="K130" i="20"/>
  <c r="K158" i="20"/>
  <c r="K145" i="20"/>
  <c r="K148" i="20"/>
  <c r="K132" i="20"/>
  <c r="K138" i="20"/>
  <c r="K133" i="20"/>
  <c r="K134" i="20"/>
  <c r="E126" i="20"/>
  <c r="K126" i="20" s="1"/>
  <c r="K135" i="20"/>
  <c r="K139" i="20"/>
  <c r="K150" i="20"/>
  <c r="K136" i="20"/>
  <c r="K140" i="20"/>
  <c r="K128" i="20"/>
  <c r="K147" i="20"/>
  <c r="K159" i="20"/>
  <c r="K141" i="20"/>
  <c r="K127" i="20"/>
  <c r="K131" i="20"/>
  <c r="K142" i="20"/>
  <c r="K155" i="20"/>
  <c r="K137" i="20"/>
  <c r="K157" i="20"/>
  <c r="K129" i="2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<sst xmlns="http://schemas.openxmlformats.org/spreadsheetml/2006/main" count="4293" uniqueCount="598">
  <si>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</si>
  <si>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</si>
  <si>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</si>
  <si>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</si>
  <si>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</si>
  <si>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</si>
  <si>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</si>
  <si>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</si>
  <si>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</si>
  <si>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</si>
  <si>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Pig Iron</t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</si>
  <si>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</si>
  <si>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</si>
  <si>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</si>
  <si>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</si>
  <si>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</si>
  <si>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</si>
  <si>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</si>
  <si>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</si>
  <si>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</si>
  <si>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</si>
  <si>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</si>
  <si>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</si>
  <si>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</si>
  <si>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</si>
  <si>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</si>
  <si>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</si>
  <si>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</si>
  <si>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</si>
  <si>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</si>
  <si>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</si>
  <si>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</si>
  <si>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</si>
  <si>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</si>
  <si>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</si>
  <si>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</si>
  <si>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</si>
  <si>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</si>
  <si>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</si>
  <si>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</si>
  <si>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</si>
  <si>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</si>
  <si>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</si>
  <si>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</si>
  <si>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</si>
  <si>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</si>
  <si>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</si>
  <si>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</si>
  <si>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</si>
  <si>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</si>
  <si>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</si>
  <si>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</si>
  <si>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</si>
  <si>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</si>
  <si>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</si>
  <si>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</si>
  <si>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</si>
  <si>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</si>
  <si>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</si>
  <si>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</si>
  <si>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</si>
  <si>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</si>
  <si>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</si>
  <si>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</si>
  <si>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</si>
  <si>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</si>
  <si>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</si>
  <si>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</si>
  <si>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</si>
  <si>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</si>
  <si>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</si>
  <si>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</si>
  <si>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</si>
  <si>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</si>
  <si>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</si>
  <si>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</si>
  <si>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</si>
  <si>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 i/mol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>]</t>
    </r>
  </si>
  <si>
    <t>Complete Combustion Example</t>
  </si>
  <si>
    <t>Methane</t>
  </si>
  <si>
    <t>Combustion Chamber</t>
  </si>
  <si>
    <t>Mixer</t>
  </si>
  <si>
    <r>
      <t>B</t>
    </r>
    <r>
      <rPr>
        <b/>
        <vertAlign val="subscript"/>
        <sz val="12"/>
        <color rgb="FF000000"/>
        <rFont val="Aptos Narrow"/>
        <family val="2"/>
        <scheme val="minor"/>
      </rPr>
      <t>D</t>
    </r>
  </si>
  <si>
    <t>[kJ/kJ]</t>
  </si>
  <si>
    <t>Air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</si>
  <si>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</si>
  <si>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</si>
  <si>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</si>
  <si>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</si>
  <si>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</si>
  <si>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</si>
  <si>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</si>
  <si>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</si>
  <si>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</si>
  <si>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</si>
  <si>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</si>
  <si>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</si>
  <si>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</si>
  <si>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Cooling</t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</si>
  <si>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</si>
  <si>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</si>
  <si>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</si>
  <si>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</si>
  <si>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</si>
  <si>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</si>
  <si>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</si>
  <si>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</si>
  <si>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</si>
  <si>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</si>
  <si>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</si>
  <si>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</si>
  <si>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</si>
  <si>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</si>
  <si>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Heat Loss</t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</si>
  <si>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</si>
  <si>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</si>
  <si>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</si>
  <si>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</si>
  <si>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</si>
  <si>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</si>
  <si>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</si>
  <si>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</si>
  <si>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</si>
  <si>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</si>
  <si>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</si>
  <si>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</si>
  <si>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</si>
  <si>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</si>
  <si>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</si>
  <si>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</si>
  <si>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</si>
  <si>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N</t>
    </r>
    <r>
      <rPr>
        <vertAlign val="subscript"/>
        <sz val="12"/>
        <color rgb="FF000000"/>
        <rFont val="Aptos Narrow (Body)"/>
      </rPr>
      <t>i,1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</si>
  <si>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</si>
  <si>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</si>
  <si>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</si>
  <si>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</si>
  <si>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</si>
  <si>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</si>
  <si>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</si>
  <si>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ch,i,2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</si>
  <si>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</si>
  <si>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c,i,2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</si>
  <si>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i,2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</si>
  <si>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</si>
  <si>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</si>
  <si>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</si>
  <si>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ch,i,3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</si>
  <si>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</si>
  <si>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c,i,3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</si>
  <si>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i,3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</si>
  <si>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</si>
  <si>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</si>
  <si>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</si>
  <si>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</si>
  <si>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</si>
  <si>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</si>
  <si>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i,4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</si>
  <si>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c,i,4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</si>
  <si>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</si>
  <si>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ch,i,4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</si>
  <si>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</si>
  <si>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1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</si>
  <si>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</si>
  <si>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</si>
  <si>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</si>
  <si>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</si>
  <si>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</si>
  <si>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</si>
  <si>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</si>
  <si>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3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</si>
  <si>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</si>
  <si>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</si>
  <si>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4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</si>
  <si>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</si>
  <si>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</si>
  <si>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</si>
  <si>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</si>
  <si>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</si>
  <si>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</si>
  <si>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</si>
  <si>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</si>
  <si>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</si>
  <si>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</si>
  <si>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</si>
  <si>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</si>
  <si>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</si>
  <si>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5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</si>
  <si>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5</t>
    </r>
  </si>
  <si>
    <t>Assuming that the aim is to produce hot CP, right?</t>
  </si>
  <si>
    <t>Anything else going out? Heat? Work?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</si>
  <si>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</si>
  <si>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</si>
  <si>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</si>
  <si>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</si>
  <si>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</si>
  <si>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</si>
  <si>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</si>
  <si>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</si>
  <si>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</si>
  <si>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</si>
  <si>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</si>
  <si>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</si>
  <si>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</si>
  <si>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</si>
  <si>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</si>
  <si>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</si>
  <si>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</si>
  <si>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</si>
  <si>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t>[atm]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</si>
  <si>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</si>
  <si>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5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</si>
  <si>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</si>
  <si>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Q</t>
    </r>
    <r>
      <rPr>
        <vertAlign val="subscript"/>
        <sz val="11"/>
        <color theme="1"/>
        <rFont val="Aptos Narrow"/>
        <family val="2"/>
        <scheme val="minor"/>
      </rPr>
      <t>i,6</t>
    </r>
    <r>
      <rPr>
        <sz val="11"/>
        <color theme="1"/>
        <rFont val="Aptos Narrow"/>
        <family val="2"/>
        <scheme val="minor"/>
      </rPr>
      <t xml:space="preserve"> = N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(h</t>
    </r>
    <r>
      <rPr>
        <vertAlign val="subscript"/>
        <sz val="11"/>
        <color theme="1"/>
        <rFont val="Aptos Narrow"/>
        <family val="2"/>
        <scheme val="minor"/>
      </rPr>
      <t>i,4</t>
    </r>
    <r>
      <rPr>
        <sz val="11"/>
        <color theme="1"/>
        <rFont val="Aptos Narrow"/>
        <family val="2"/>
        <scheme val="minor"/>
      </rPr>
      <t xml:space="preserve"> - h</t>
    </r>
    <r>
      <rPr>
        <vertAlign val="subscript"/>
        <sz val="11"/>
        <color theme="1"/>
        <rFont val="Aptos Narrow"/>
        <family val="2"/>
        <scheme val="minor"/>
      </rPr>
      <t>i,5</t>
    </r>
    <r>
      <rPr>
        <sz val="11"/>
        <color theme="1"/>
        <rFont val="Aptos Narrow"/>
        <family val="2"/>
        <scheme val="minor"/>
      </rPr>
      <t>)</t>
    </r>
  </si>
  <si>
    <r>
      <t>X</t>
    </r>
    <r>
      <rPr>
        <vertAlign val="subscript"/>
        <sz val="11"/>
        <color theme="1"/>
        <rFont val="Aptos Narrow"/>
        <family val="2"/>
        <scheme val="minor"/>
      </rPr>
      <t>i,6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</si>
  <si>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</si>
  <si>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</si>
  <si>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X</t>
    </r>
    <r>
      <rPr>
        <b/>
        <vertAlign val="subscript"/>
        <sz val="11"/>
        <color theme="1"/>
        <rFont val="Aptos Narrow"/>
        <family val="2"/>
        <scheme val="minor"/>
      </rPr>
      <t>6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</si>
  <si>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ch,i,5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</si>
  <si>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</si>
  <si>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c,i,5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</si>
  <si>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i,5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</si>
  <si>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</si>
  <si>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</si>
  <si>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</si>
  <si>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</si>
  <si>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</si>
  <si>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</si>
  <si>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</si>
  <si>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</si>
  <si>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</si>
  <si>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</si>
  <si>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</si>
  <si>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</si>
  <si>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</si>
  <si>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</si>
  <si>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</si>
  <si>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</si>
  <si>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</si>
  <si>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</si>
  <si>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</si>
  <si>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</si>
  <si>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</si>
  <si>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</si>
  <si>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</si>
  <si>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</si>
  <si>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</si>
  <si>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</si>
  <si>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</si>
  <si>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</si>
  <si>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</si>
  <si>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</si>
  <si>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</si>
  <si>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</si>
  <si>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</si>
  <si>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</si>
  <si>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</si>
  <si>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</si>
  <si>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</si>
  <si>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</si>
  <si>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</si>
  <si>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</si>
  <si>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</si>
  <si>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</si>
  <si>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</si>
  <si>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</si>
  <si>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</si>
  <si>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</si>
  <si>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</si>
  <si>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</si>
  <si>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</si>
  <si>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</si>
  <si>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</si>
  <si>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</si>
  <si>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</si>
  <si>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</si>
  <si>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</si>
  <si>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</si>
  <si>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</si>
  <si>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</si>
  <si>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</si>
  <si>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</si>
  <si>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</si>
  <si>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</si>
  <si>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>x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</si>
  <si>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</si>
  <si>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</si>
  <si>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</si>
  <si>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</si>
  <si>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</si>
  <si>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</si>
  <si>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</si>
  <si>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</si>
  <si>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</si>
  <si>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</si>
  <si>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</si>
  <si>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</si>
  <si>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</si>
  <si>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</si>
  <si>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</si>
  <si>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</si>
  <si>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</si>
  <si>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</si>
  <si>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</si>
  <si>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</si>
  <si>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</si>
  <si>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</si>
  <si>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</si>
  <si>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</si>
  <si>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</si>
  <si>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</si>
  <si>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 xml:space="preserve">https://www.researchgate.net/publication/332584346_Isothermal_Kinetic_Mechanism_of_Coke_Dissolving_in_Hot_Metal </t>
  </si>
  <si>
    <t>Table 4</t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</si>
  <si>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</si>
  <si>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</si>
  <si>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</si>
  <si>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</si>
  <si>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</si>
  <si>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</si>
  <si>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</si>
  <si>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</si>
  <si>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</si>
  <si>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</si>
  <si>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</si>
  <si>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</si>
  <si>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</si>
  <si>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</si>
  <si>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</si>
  <si>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B</t>
    </r>
    <r>
      <rPr>
        <b/>
        <vertAlign val="subscript"/>
        <sz val="12"/>
        <color rgb="FF000000"/>
        <rFont val="Calibri"/>
        <family val="2"/>
      </rPr>
      <t>D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</si>
  <si>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</si>
  <si>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</si>
  <si>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</si>
  <si>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</si>
  <si>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</si>
  <si>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</si>
  <si>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</si>
  <si>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</si>
  <si>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</si>
  <si>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</si>
  <si>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</si>
  <si>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 xml:space="preserve">Saidur, Rahman &amp; Hossain, Md &amp; Islam, M.R. &amp; Hussain, Fayaz &amp; Mohammed, Hussein. (2011). A review on kiln system modeling. Renewable and Sustainable Energy Reviews. 15. 2487-2500. 10.1016/j.rser.2011.01.020. </t>
  </si>
  <si>
    <t>https://iopscience.iop.org/article/10.1088/1757-899X/1143/1/012050/pdf</t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</si>
  <si>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</si>
  <si>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</si>
  <si>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</si>
  <si>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</si>
  <si>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</si>
  <si>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</si>
  <si>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</si>
  <si>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</si>
  <si>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</si>
  <si>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</si>
  <si>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</si>
  <si>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</si>
  <si>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</si>
  <si>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</si>
  <si>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Focus on Main Product</t>
  </si>
  <si>
    <t>Exergy Upgrades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</si>
  <si>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</si>
  <si>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</si>
  <si>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</si>
  <si>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</si>
  <si>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>[mol/mol]</t>
  </si>
  <si>
    <t>[kg/mol i]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</si>
  <si>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</si>
  <si>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</si>
  <si>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</si>
  <si>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</si>
  <si>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</si>
  <si>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</si>
  <si>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</si>
  <si>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</si>
  <si>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</si>
  <si>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</si>
  <si>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</si>
  <si>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</si>
  <si>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5</t>
    </r>
    <r>
      <rPr>
        <sz val="11"/>
        <color rgb="FF000000"/>
        <rFont val="Calibri"/>
        <family val="2"/>
      </rPr>
      <t>CH</t>
    </r>
    <r>
      <rPr>
        <vertAlign val="subscript"/>
        <sz val="11"/>
        <color rgb="FF000000"/>
        <rFont val="Calibri"/>
        <family val="2"/>
      </rPr>
      <t>3</t>
    </r>
  </si>
  <si>
    <t>https://www.vaxasoftware.com/doc_eduen/qui/dtermoq.pdf</t>
  </si>
  <si>
    <t>https://www.ispatguru.com/coke-oven-gas-generation-and-usage/</t>
  </si>
  <si>
    <t xml:space="preserve">COG </t>
  </si>
  <si>
    <t>https://www.uky.edu/KGS/coal/coal-anthracite.php</t>
  </si>
  <si>
    <t>Coke Oven</t>
  </si>
  <si>
    <t>Ash</t>
  </si>
  <si>
    <t xml:space="preserve">Matsuhashi, Shouhei &amp; Kurosawa, Hiroyuki &amp; Natsui, Shungo &amp; Kon, Tatsuya &amp; Ueda, Shigeru &amp; Inoue, Ryo &amp; Ariyama, Tatsuro. (2012). Evaluation of Coke Mixed Charging Based on Packed Bed Structure and Gas Permeability Changes in Blast Furnace by DEM-CFD Model. ISIJ International. 52. 1990-1999. 10.2355/isijinternational.52.1990. </t>
  </si>
  <si>
    <t>Table 3</t>
  </si>
  <si>
    <t>Ratio</t>
  </si>
  <si>
    <t>[kg C/kg COG]</t>
  </si>
  <si>
    <t>[mol H]</t>
  </si>
  <si>
    <t>[mol O]</t>
  </si>
  <si>
    <t>[mol N]</t>
  </si>
  <si>
    <t>[mol Coal]</t>
  </si>
  <si>
    <t>NA</t>
  </si>
  <si>
    <t>Out</t>
  </si>
  <si>
    <t>In</t>
  </si>
  <si>
    <t>Dry Anthrocite</t>
  </si>
  <si>
    <t>NCV</t>
  </si>
  <si>
    <t>https://www.engineeringtoolbox.com/coal-heating-values-d_1675.html</t>
  </si>
  <si>
    <t>H/C</t>
  </si>
  <si>
    <t>O/C</t>
  </si>
  <si>
    <t>N/C</t>
  </si>
  <si>
    <t>φ dry coal</t>
  </si>
  <si>
    <t>φ Eqn.</t>
  </si>
  <si>
    <t>b_ch_coal</t>
  </si>
  <si>
    <t>h_fg_ash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</si>
  <si>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</si>
  <si>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</si>
  <si>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</si>
  <si>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</si>
  <si>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</si>
  <si>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Focus on All Streams</t>
  </si>
  <si>
    <t>Resource</t>
  </si>
  <si>
    <t>Kiln Ratio</t>
  </si>
  <si>
    <t>Ore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</si>
  <si>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</si>
  <si>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</si>
  <si>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</si>
  <si>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</si>
  <si>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</si>
  <si>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</si>
  <si>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</si>
  <si>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</si>
  <si>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</si>
  <si>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</si>
  <si>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</si>
  <si>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</si>
  <si>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</si>
  <si>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</si>
  <si>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</si>
  <si>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</si>
  <si>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</si>
  <si>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</si>
  <si>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</si>
  <si>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t>Kiln Energy [kg/kg Lime]</t>
  </si>
  <si>
    <r>
      <t>n of O</t>
    </r>
    <r>
      <rPr>
        <vertAlign val="subscript"/>
        <sz val="11"/>
        <color theme="1"/>
        <rFont val="Aptos Narrow (Body)"/>
      </rPr>
      <t>2</t>
    </r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</si>
  <si>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</si>
  <si>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</si>
  <si>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</si>
  <si>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</si>
  <si>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Totals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</si>
  <si>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</si>
  <si>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</si>
  <si>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</si>
  <si>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</si>
  <si>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</si>
  <si>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</si>
  <si>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</si>
  <si>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</si>
  <si>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</si>
  <si>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</si>
  <si>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</si>
  <si>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</si>
  <si>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</si>
  <si>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</si>
  <si>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</si>
  <si>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</si>
  <si>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 xml:space="preserve">https://www.ispatguru.com/coke-oven-gas-generation-and-usage/ </t>
  </si>
  <si>
    <t>To BF</t>
  </si>
  <si>
    <t>To Coke Oven</t>
  </si>
  <si>
    <t>What they make</t>
  </si>
  <si>
    <t>What they're used for</t>
  </si>
  <si>
    <r>
      <t>CH</t>
    </r>
    <r>
      <rPr>
        <vertAlign val="subscript"/>
        <sz val="11"/>
        <color rgb="FF000000"/>
        <rFont val="Calibri"/>
        <family val="2"/>
      </rPr>
      <t>4</t>
    </r>
  </si>
  <si>
    <r>
      <t>H</t>
    </r>
    <r>
      <rPr>
        <vertAlign val="subscript"/>
        <sz val="11"/>
        <color rgb="FF000000"/>
        <rFont val="Calibri"/>
        <family val="2"/>
      </rPr>
      <t>2</t>
    </r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</si>
  <si>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</si>
  <si>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</si>
  <si>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</si>
  <si>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https://www.kanadevia-inova.com/renewable-gas/liquefaction/</t>
  </si>
  <si>
    <t>COG Recycled</t>
  </si>
  <si>
    <t>Coal beneficiation</t>
  </si>
  <si>
    <t>kJ/cal</t>
  </si>
  <si>
    <t>COG</t>
  </si>
  <si>
    <t>Recycled and Treated coke oven gas</t>
  </si>
  <si>
    <t>TJ / t coal</t>
  </si>
  <si>
    <t>[kJ / t coal]</t>
  </si>
  <si>
    <t>[kJ / kg coal]</t>
  </si>
  <si>
    <t>Carmona 2019, Fig. 3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</si>
  <si>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</si>
  <si>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</si>
  <si>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</si>
  <si>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</si>
  <si>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</si>
  <si>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</si>
  <si>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</si>
  <si>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</si>
  <si>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</si>
  <si>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</si>
  <si>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</si>
  <si>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</si>
  <si>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</si>
  <si>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</si>
  <si>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</si>
  <si>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</si>
  <si>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Total In</t>
  </si>
  <si>
    <t>Total in</t>
  </si>
  <si>
    <t>To Coke Oven and BF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</si>
  <si>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</si>
  <si>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</si>
  <si>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</si>
  <si>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</si>
  <si>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</si>
  <si>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</si>
  <si>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</si>
  <si>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</si>
  <si>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</si>
  <si>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</si>
  <si>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Coke Oven Gas Treatment</t>
  </si>
  <si>
    <t>Energy IN</t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</si>
  <si>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</si>
  <si>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</si>
  <si>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Δs</t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</si>
  <si>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</si>
  <si>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</si>
  <si>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</si>
  <si>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</si>
  <si>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HHV</t>
  </si>
  <si>
    <t>[cal/mol]</t>
  </si>
  <si>
    <t>[kJ/kmol]</t>
  </si>
  <si>
    <t>[cal/mol-K]</t>
  </si>
  <si>
    <t>[kJ/kmol-K]</t>
  </si>
  <si>
    <t>ΔH</t>
  </si>
  <si>
    <r>
      <t>h</t>
    </r>
    <r>
      <rPr>
        <vertAlign val="subscript"/>
        <sz val="11"/>
        <color theme="1"/>
        <rFont val="Aptos Narrow (Body)"/>
      </rPr>
      <t>CO2,g</t>
    </r>
  </si>
  <si>
    <r>
      <t>h</t>
    </r>
    <r>
      <rPr>
        <vertAlign val="subscript"/>
        <sz val="11"/>
        <color theme="1"/>
        <rFont val="Aptos Narrow (Body)"/>
      </rPr>
      <t>H2O,l</t>
    </r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</si>
  <si>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</si>
  <si>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</si>
  <si>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</si>
  <si>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</si>
  <si>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</si>
  <si>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</si>
  <si>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</si>
  <si>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</si>
  <si>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</si>
  <si>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</si>
  <si>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</si>
  <si>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</si>
  <si>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</si>
  <si>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</si>
  <si>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</si>
  <si>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</si>
  <si>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</si>
  <si>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</si>
  <si>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</si>
  <si>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</si>
  <si>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</si>
  <si>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</si>
  <si>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</si>
  <si>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</si>
  <si>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</si>
  <si>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Anthrocite [from Coke oven]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</si>
  <si>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</si>
  <si>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</si>
  <si>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</si>
  <si>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</si>
  <si>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</si>
  <si>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</si>
  <si>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</si>
  <si>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Anthrocite [from coke oven]</t>
  </si>
  <si>
    <t>Treated coke oven gas [from CO gas treament]</t>
  </si>
  <si>
    <t>Ash [from Beneficiation]</t>
  </si>
  <si>
    <t>Ash [from Hauling]</t>
  </si>
  <si>
    <t>Coal [from Coal extraction]</t>
  </si>
  <si>
    <t>Ash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</si>
  <si>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</si>
  <si>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</si>
  <si>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</si>
  <si>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</si>
  <si>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</si>
  <si>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</si>
  <si>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</si>
  <si>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</si>
  <si>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</si>
  <si>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</si>
  <si>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</si>
  <si>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</si>
  <si>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</si>
  <si>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</si>
  <si>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</si>
  <si>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</si>
  <si>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</si>
  <si>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</si>
  <si>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</si>
  <si>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</si>
  <si>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</si>
  <si>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t>MWi</t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</si>
  <si>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</si>
  <si>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</si>
  <si>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</si>
  <si>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</si>
  <si>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</si>
  <si>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</si>
  <si>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</si>
  <si>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</si>
  <si>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</si>
  <si>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</si>
  <si>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Irreversibilities</t>
  </si>
  <si>
    <t>Gas/diesel oil excl. biofuels</t>
  </si>
  <si>
    <t>Motor gasoline excl. biofuels</t>
  </si>
  <si>
    <t>E [kJ]</t>
  </si>
  <si>
    <t>X [kJ]</t>
  </si>
  <si>
    <t>E [TJ]</t>
  </si>
  <si>
    <t>X [TJ]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</si>
</sst>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0"/>
    <numFmt numFmtId="165" formatCode="0.000"/>
    <numFmt numFmtId="166" formatCode="0.00000000"/>
    <numFmt numFmtId="167" formatCode="0.000000000"/>
    <numFmt numFmtId="168" formatCode="0.000000"/>
    <numFmt numFmtId="169" formatCode="0.0"/>
    <numFmt numFmtId="170" formatCode="0.E+00"/>
    <numFmt numFmtId="171" formatCode="0.00000"/>
    <numFmt numFmtId="172" formatCode="0.0000000"/>
  </numFmts>
  <fonts count="69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vertAlign val="subscript"/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sz val="11"/>
      <color rgb="FF000000"/>
      <name val="Calibri"/>
      <family val="2"/>
    </font>
    <font>
      <vertAlign val="subscript"/>
      <sz val="11"/>
      <color theme="1"/>
      <name val="Aptos Narrow"/>
      <family val="2"/>
      <scheme val="minor"/>
    </font>
    <font>
      <b/>
      <sz val="22"/>
      <color theme="1"/>
      <name val="Aptos Narrow"/>
      <family val="2"/>
      <scheme val="minor"/>
    </font>
    <font>
      <sz val="12"/>
      <color rgb="FF000000"/>
      <name val="Calibri"/>
      <family val="2"/>
    </font>
    <font>
      <sz val="12"/>
      <color theme="1"/>
      <name val="Aptos Narrow"/>
      <family val="2"/>
      <scheme val="minor"/>
    </font>
    <font>
      <b/>
      <sz val="15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2"/>
      <color rgb="FF000000"/>
      <name val="Aptos Narrow"/>
      <family val="2"/>
    </font>
    <font>
      <u/>
      <sz val="11"/>
      <color theme="1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rgb="FF00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1"/>
      <name val="Aptos Narrow"/>
      <family val="2"/>
      <scheme val="minor"/>
    </font>
    <font>
      <b/>
      <vertAlign val="subscript"/>
      <sz val="12"/>
      <color rgb="FF000000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2"/>
      <name val="Aptos Narrow"/>
      <family val="2"/>
      <scheme val="minor"/>
    </font>
    <font>
      <sz val="26"/>
      <color theme="1"/>
      <name val="Aptos Narrow"/>
      <family val="2"/>
      <scheme val="minor"/>
    </font>
    <font>
      <sz val="26"/>
      <color rgb="FF000000"/>
      <name val="Aptos Narrow"/>
      <family val="2"/>
      <scheme val="minor"/>
    </font>
    <font>
      <b/>
      <vertAlign val="subscript"/>
      <sz val="11"/>
      <color theme="1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ptos Narrow"/>
      <family val="2"/>
    </font>
    <font>
      <b/>
      <sz val="14"/>
      <color rgb="FF000000"/>
      <name val="Calibri"/>
      <family val="2"/>
    </font>
    <font>
      <vertAlign val="subscript"/>
      <sz val="12"/>
      <color rgb="FF000000"/>
      <name val="Calibri"/>
      <family val="2"/>
    </font>
    <font>
      <b/>
      <sz val="12"/>
      <color rgb="FF000000"/>
      <name val="Calibri"/>
      <family val="2"/>
    </font>
    <font>
      <b/>
      <vertAlign val="subscript"/>
      <sz val="12"/>
      <color rgb="FF000000"/>
      <name val="Calibri"/>
      <family val="2"/>
    </font>
    <font>
      <sz val="12"/>
      <color theme="1"/>
      <name val="Calibri"/>
      <family val="2"/>
    </font>
    <font>
      <vertAlign val="subscript"/>
      <sz val="12"/>
      <color theme="1"/>
      <name val="Calibri"/>
      <family val="2"/>
    </font>
    <font>
      <u/>
      <sz val="12"/>
      <color theme="10"/>
      <name val="Calibri"/>
      <family val="2"/>
    </font>
    <font>
      <b/>
      <sz val="12"/>
      <color theme="1"/>
      <name val="Calibri"/>
      <family val="2"/>
    </font>
    <font>
      <sz val="12"/>
      <color rgb="FF333333"/>
      <name val="Calibri"/>
      <family val="2"/>
    </font>
    <font>
      <sz val="7.05"/>
      <color theme="1"/>
      <name val="Aptos Narrow"/>
      <family val="2"/>
    </font>
    <font>
      <sz val="15"/>
      <color theme="1"/>
      <name val="Aptos Narrow"/>
      <family val="2"/>
      <scheme val="minor"/>
    </font>
    <font>
      <b/>
      <sz val="14"/>
      <color theme="1"/>
      <name val="Aptos Narrow"/>
      <scheme val="minor"/>
    </font>
    <font>
      <sz val="11"/>
      <color rgb="FF000000"/>
      <name val="Aptos Narrow"/>
      <family val="2"/>
      <scheme val="minor"/>
    </font>
    <font>
      <b/>
      <sz val="11"/>
      <color theme="1"/>
      <name val="Aptos Narrow"/>
      <scheme val="minor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b/>
      <sz val="30"/>
      <color rgb="FF000000"/>
      <name val="Calibri"/>
      <family val="2"/>
    </font>
    <font>
      <sz val="11"/>
      <color theme="1"/>
      <name val="Aptos Narrow (Body)"/>
    </font>
    <font>
      <b/>
      <sz val="15"/>
      <color theme="1"/>
      <name val="Aptos Narrow"/>
      <scheme val="minor"/>
    </font>
    <font>
      <sz val="12"/>
      <color rgb="FF000000"/>
      <name val="Aptos Narrow (Body)"/>
    </font>
    <font>
      <sz val="11"/>
      <color rgb="FF444444"/>
      <name val="Aptos Narrow"/>
      <scheme val="minor"/>
    </font>
    <font>
      <b/>
      <vertAlign val="subscript"/>
      <sz val="12"/>
      <color rgb="FF000000"/>
      <name val="Aptos Narrow (Body)"/>
    </font>
    <font>
      <sz val="14"/>
      <color theme="1"/>
      <name val="Aptos Narrow"/>
      <scheme val="minor"/>
    </font>
    <font>
      <i/>
      <sz val="14"/>
      <color theme="1"/>
      <name val="Aptos Narrow"/>
      <scheme val="minor"/>
    </font>
    <font>
      <sz val="14"/>
      <color theme="1"/>
      <name val="Aptos Narrow"/>
      <family val="2"/>
      <scheme val="minor"/>
    </font>
    <font>
      <b/>
      <vertAlign val="subscript"/>
      <sz val="11"/>
      <color theme="1"/>
      <name val="Aptos Narrow (Body)"/>
    </font>
    <font>
      <b/>
      <sz val="20"/>
      <color theme="1"/>
      <name val="Aptos Narrow"/>
      <scheme val="minor"/>
    </font>
    <font>
      <b/>
      <sz val="22"/>
      <color theme="1"/>
      <name val="Aptos Narrow (Body)"/>
    </font>
    <font>
      <sz val="22"/>
      <color theme="1"/>
      <name val="Aptos Narrow"/>
      <family val="2"/>
      <scheme val="minor"/>
    </font>
    <font>
      <vertAlign val="superscript"/>
      <sz val="11"/>
      <color theme="1"/>
      <name val="Aptos Narrow (Body)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1"/>
      <color rgb="FF000000"/>
      <name val="Aptos Narrow"/>
      <scheme val="minor"/>
    </font>
  </fonts>
  <fills count="27">
    <fill>
      <patternFill patternType="none"/>
    </fill>
    <fill>
      <patternFill patternType="gray125"/>
    </fill>
    <fill>
      <patternFill patternType="solid">
        <fgColor rgb="FF61CBF3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E5014"/>
        <bgColor rgb="FF000000"/>
      </patternFill>
    </fill>
  </fills>
  <borders count="4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9" fillId="0" borderId="0" applyNumberFormat="0" applyFill="0" applyBorder="0" applyAlignment="0" applyProtection="0"/>
  </cellStyleXfs>
  <cellXfs count="394">
    <xf numFmtId="0" fontId="0" fillId="0" borderId="0" xfId="0"/>
    <xf numFmtId="0" fontId="7" fillId="0" borderId="0" xfId="0" applyFont="1" applyAlignment="1">
      <alignment horizontal="center"/>
    </xf>
    <xf numFmtId="0" fontId="7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0" fontId="13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7" fillId="0" borderId="2" xfId="0" applyFont="1" applyBorder="1" applyAlignment="1">
      <alignment horizontal="center"/>
    </xf>
    <xf numFmtId="0" fontId="7" fillId="0" borderId="4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4" borderId="0" xfId="0" applyFill="1" applyAlignment="1">
      <alignment horizontal="center"/>
    </xf>
    <xf numFmtId="0" fontId="14" fillId="0" borderId="6" xfId="0" applyFont="1" applyBorder="1" applyAlignment="1">
      <alignment horizontal="center"/>
    </xf>
    <xf numFmtId="0" fontId="19" fillId="0" borderId="0" xfId="1" applyAlignment="1">
      <alignment horizontal="center"/>
    </xf>
    <xf numFmtId="0" fontId="0" fillId="0" borderId="2" xfId="0" applyBorder="1" applyAlignment="1">
      <alignment horizontal="center"/>
    </xf>
    <xf numFmtId="0" fontId="7" fillId="0" borderId="11" xfId="0" applyFont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15" fillId="0" borderId="6" xfId="0" applyFont="1" applyBorder="1" applyAlignment="1">
      <alignment horizontal="center"/>
    </xf>
    <xf numFmtId="0" fontId="15" fillId="5" borderId="6" xfId="0" applyFont="1" applyFill="1" applyBorder="1" applyAlignment="1">
      <alignment horizontal="center"/>
    </xf>
    <xf numFmtId="0" fontId="22" fillId="0" borderId="3" xfId="0" applyFont="1" applyBorder="1" applyAlignment="1">
      <alignment horizontal="center"/>
    </xf>
    <xf numFmtId="0" fontId="7" fillId="0" borderId="12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21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4" fillId="0" borderId="1" xfId="0" applyFont="1" applyBorder="1" applyAlignment="1">
      <alignment horizontal="center"/>
    </xf>
    <xf numFmtId="0" fontId="20" fillId="0" borderId="0" xfId="0" applyFont="1" applyAlignment="1">
      <alignment horizontal="center"/>
    </xf>
    <xf numFmtId="0" fontId="0" fillId="0" borderId="16" xfId="0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14" fillId="0" borderId="17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7" fillId="0" borderId="15" xfId="0" applyFont="1" applyBorder="1" applyAlignment="1">
      <alignment horizontal="center"/>
    </xf>
    <xf numFmtId="0" fontId="15" fillId="0" borderId="15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15" fillId="0" borderId="16" xfId="0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0" fontId="7" fillId="0" borderId="17" xfId="0" applyFont="1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18" fillId="0" borderId="0" xfId="0" applyFont="1" applyAlignment="1">
      <alignment horizontal="center"/>
    </xf>
    <xf numFmtId="0" fontId="16" fillId="0" borderId="0" xfId="0" applyFont="1" applyAlignment="1">
      <alignment horizontal="center" vertical="center" textRotation="90"/>
    </xf>
    <xf numFmtId="1" fontId="7" fillId="0" borderId="0" xfId="0" applyNumberFormat="1" applyFont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10" fillId="0" borderId="0" xfId="0" applyFont="1" applyAlignment="1">
      <alignment horizontal="center" vertical="center"/>
    </xf>
    <xf numFmtId="0" fontId="24" fillId="0" borderId="0" xfId="0" applyFont="1" applyAlignment="1">
      <alignment horizontal="center"/>
    </xf>
    <xf numFmtId="0" fontId="10" fillId="0" borderId="0" xfId="0" applyFont="1"/>
    <xf numFmtId="0" fontId="8" fillId="0" borderId="0" xfId="0" applyFont="1"/>
    <xf numFmtId="0" fontId="7" fillId="0" borderId="10" xfId="0" applyFont="1" applyBorder="1" applyAlignment="1">
      <alignment horizontal="center"/>
    </xf>
    <xf numFmtId="0" fontId="16" fillId="0" borderId="0" xfId="0" applyFont="1" applyAlignment="1">
      <alignment vertical="center" textRotation="90"/>
    </xf>
    <xf numFmtId="0" fontId="13" fillId="0" borderId="0" xfId="0" applyFont="1" applyAlignment="1">
      <alignment vertical="center" textRotation="90"/>
    </xf>
    <xf numFmtId="0" fontId="21" fillId="0" borderId="22" xfId="0" applyFont="1" applyBorder="1" applyAlignment="1">
      <alignment horizontal="center"/>
    </xf>
    <xf numFmtId="0" fontId="15" fillId="0" borderId="19" xfId="0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11" fillId="0" borderId="6" xfId="0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0" fontId="0" fillId="0" borderId="25" xfId="0" applyBorder="1" applyAlignment="1">
      <alignment horizontal="center"/>
    </xf>
    <xf numFmtId="0" fontId="7" fillId="0" borderId="23" xfId="0" applyFont="1" applyBorder="1" applyAlignment="1">
      <alignment horizontal="center"/>
    </xf>
    <xf numFmtId="0" fontId="7" fillId="0" borderId="26" xfId="0" applyFont="1" applyBorder="1" applyAlignment="1">
      <alignment horizontal="center"/>
    </xf>
    <xf numFmtId="0" fontId="8" fillId="0" borderId="0" xfId="0" applyFont="1" applyAlignment="1">
      <alignment vertical="center"/>
    </xf>
    <xf numFmtId="0" fontId="6" fillId="0" borderId="0" xfId="0" applyFont="1" applyAlignment="1">
      <alignment horizontal="center"/>
    </xf>
    <xf numFmtId="0" fontId="7" fillId="0" borderId="21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9" borderId="0" xfId="0" applyFill="1" applyAlignment="1">
      <alignment horizontal="center"/>
    </xf>
    <xf numFmtId="11" fontId="11" fillId="0" borderId="0" xfId="0" applyNumberFormat="1" applyFont="1" applyAlignment="1">
      <alignment horizontal="center"/>
    </xf>
    <xf numFmtId="0" fontId="7" fillId="9" borderId="0" xfId="0" applyFont="1" applyFill="1" applyAlignment="1">
      <alignment horizontal="center"/>
    </xf>
    <xf numFmtId="0" fontId="7" fillId="0" borderId="7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7" fillId="0" borderId="9" xfId="0" applyFont="1" applyBorder="1" applyAlignment="1">
      <alignment horizontal="center"/>
    </xf>
    <xf numFmtId="0" fontId="0" fillId="10" borderId="0" xfId="0" applyFill="1" applyAlignment="1">
      <alignment horizontal="center"/>
    </xf>
    <xf numFmtId="0" fontId="0" fillId="0" borderId="2" xfId="0" applyBorder="1" applyAlignment="1">
      <alignment vertical="center"/>
    </xf>
    <xf numFmtId="0" fontId="7" fillId="0" borderId="16" xfId="0" applyFon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0" xfId="0" applyFill="1" applyAlignment="1">
      <alignment horizontal="center"/>
    </xf>
    <xf numFmtId="0" fontId="7" fillId="11" borderId="6" xfId="0" applyFont="1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6" xfId="0" applyFill="1" applyBorder="1" applyAlignment="1">
      <alignment horizontal="center"/>
    </xf>
    <xf numFmtId="0" fontId="7" fillId="10" borderId="6" xfId="0" applyFont="1" applyFill="1" applyBorder="1" applyAlignment="1">
      <alignment horizontal="center"/>
    </xf>
    <xf numFmtId="0" fontId="0" fillId="10" borderId="16" xfId="0" applyFill="1" applyBorder="1" applyAlignment="1">
      <alignment horizontal="center"/>
    </xf>
    <xf numFmtId="0" fontId="11" fillId="0" borderId="6" xfId="0" applyFont="1" applyBorder="1" applyAlignment="1">
      <alignment horizontal="center" wrapText="1"/>
    </xf>
    <xf numFmtId="0" fontId="11" fillId="0" borderId="0" xfId="0" applyFont="1" applyAlignment="1">
      <alignment horizontal="center" vertical="center"/>
    </xf>
    <xf numFmtId="0" fontId="11" fillId="0" borderId="30" xfId="0" applyFont="1" applyBorder="1" applyAlignment="1">
      <alignment horizontal="center"/>
    </xf>
    <xf numFmtId="0" fontId="7" fillId="10" borderId="16" xfId="0" applyFont="1" applyFill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7" fillId="11" borderId="16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11" fillId="0" borderId="17" xfId="0" applyFont="1" applyBorder="1" applyAlignment="1">
      <alignment horizontal="center"/>
    </xf>
    <xf numFmtId="0" fontId="34" fillId="0" borderId="0" xfId="0" applyFont="1" applyAlignment="1">
      <alignment horizontal="center"/>
    </xf>
    <xf numFmtId="0" fontId="0" fillId="0" borderId="30" xfId="0" applyBorder="1" applyAlignment="1">
      <alignment horizontal="center"/>
    </xf>
    <xf numFmtId="0" fontId="11" fillId="0" borderId="5" xfId="0" applyFont="1" applyBorder="1" applyAlignment="1">
      <alignment horizontal="center"/>
    </xf>
    <xf numFmtId="0" fontId="22" fillId="0" borderId="7" xfId="0" applyFont="1" applyBorder="1" applyAlignment="1">
      <alignment horizontal="center"/>
    </xf>
    <xf numFmtId="0" fontId="11" fillId="0" borderId="9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11" fillId="0" borderId="4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35" fillId="0" borderId="18" xfId="0" applyFont="1" applyBorder="1" applyAlignment="1">
      <alignment horizontal="center"/>
    </xf>
    <xf numFmtId="0" fontId="11" fillId="0" borderId="18" xfId="0" applyFont="1" applyBorder="1" applyAlignment="1">
      <alignment horizontal="center"/>
    </xf>
    <xf numFmtId="0" fontId="14" fillId="0" borderId="26" xfId="0" applyFont="1" applyBorder="1" applyAlignment="1">
      <alignment horizontal="center"/>
    </xf>
    <xf numFmtId="0" fontId="14" fillId="0" borderId="23" xfId="0" applyFont="1" applyBorder="1" applyAlignment="1">
      <alignment horizontal="center"/>
    </xf>
    <xf numFmtId="0" fontId="38" fillId="0" borderId="3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4" fillId="0" borderId="4" xfId="0" applyFont="1" applyBorder="1" applyAlignment="1">
      <alignment horizontal="center"/>
    </xf>
    <xf numFmtId="0" fontId="14" fillId="5" borderId="17" xfId="0" applyFont="1" applyFill="1" applyBorder="1" applyAlignment="1">
      <alignment horizontal="center"/>
    </xf>
    <xf numFmtId="0" fontId="40" fillId="0" borderId="0" xfId="0" applyFont="1" applyAlignment="1">
      <alignment horizontal="center"/>
    </xf>
    <xf numFmtId="0" fontId="40" fillId="0" borderId="6" xfId="0" applyFont="1" applyBorder="1" applyAlignment="1">
      <alignment horizontal="center"/>
    </xf>
    <xf numFmtId="0" fontId="40" fillId="0" borderId="18" xfId="0" applyFont="1" applyBorder="1" applyAlignment="1">
      <alignment horizontal="center"/>
    </xf>
    <xf numFmtId="0" fontId="42" fillId="0" borderId="0" xfId="1" applyFont="1" applyAlignment="1">
      <alignment horizontal="center"/>
    </xf>
    <xf numFmtId="0" fontId="14" fillId="0" borderId="6" xfId="0" applyFont="1" applyBorder="1" applyAlignment="1">
      <alignment horizontal="center" wrapText="1"/>
    </xf>
    <xf numFmtId="0" fontId="40" fillId="0" borderId="25" xfId="0" applyFont="1" applyBorder="1" applyAlignment="1">
      <alignment horizontal="center"/>
    </xf>
    <xf numFmtId="0" fontId="43" fillId="0" borderId="22" xfId="0" applyFont="1" applyBorder="1" applyAlignment="1">
      <alignment horizontal="center"/>
    </xf>
    <xf numFmtId="0" fontId="44" fillId="0" borderId="0" xfId="0" applyFont="1" applyAlignment="1">
      <alignment horizontal="center" vertical="center"/>
    </xf>
    <xf numFmtId="0" fontId="44" fillId="0" borderId="0" xfId="0" applyFont="1" applyAlignment="1">
      <alignment horizontal="center" vertical="center" wrapText="1"/>
    </xf>
    <xf numFmtId="0" fontId="40" fillId="0" borderId="27" xfId="0" applyFont="1" applyBorder="1" applyAlignment="1">
      <alignment horizontal="center"/>
    </xf>
    <xf numFmtId="0" fontId="40" fillId="0" borderId="24" xfId="0" applyFont="1" applyBorder="1" applyAlignment="1">
      <alignment horizontal="center"/>
    </xf>
    <xf numFmtId="0" fontId="14" fillId="0" borderId="5" xfId="0" applyFont="1" applyBorder="1" applyAlignment="1">
      <alignment horizontal="center"/>
    </xf>
    <xf numFmtId="0" fontId="40" fillId="0" borderId="17" xfId="0" applyFont="1" applyBorder="1" applyAlignment="1">
      <alignment horizontal="center"/>
    </xf>
    <xf numFmtId="0" fontId="40" fillId="0" borderId="2" xfId="0" applyFont="1" applyBorder="1" applyAlignment="1">
      <alignment horizontal="center"/>
    </xf>
    <xf numFmtId="165" fontId="0" fillId="0" borderId="0" xfId="0" applyNumberFormat="1" applyAlignment="1">
      <alignment horizontal="center"/>
    </xf>
    <xf numFmtId="0" fontId="35" fillId="0" borderId="6" xfId="0" applyFont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35" fillId="0" borderId="0" xfId="0" applyFont="1" applyAlignment="1">
      <alignment horizontal="center"/>
    </xf>
    <xf numFmtId="0" fontId="40" fillId="0" borderId="4" xfId="0" applyFont="1" applyBorder="1" applyAlignment="1">
      <alignment horizontal="center"/>
    </xf>
    <xf numFmtId="0" fontId="40" fillId="0" borderId="5" xfId="0" applyFont="1" applyBorder="1" applyAlignment="1">
      <alignment horizontal="center"/>
    </xf>
    <xf numFmtId="0" fontId="7" fillId="0" borderId="3" xfId="0" applyFont="1" applyBorder="1" applyAlignment="1">
      <alignment horizontal="center" wrapText="1"/>
    </xf>
    <xf numFmtId="0" fontId="11" fillId="0" borderId="23" xfId="0" applyFont="1" applyBorder="1" applyAlignment="1">
      <alignment horizontal="center"/>
    </xf>
    <xf numFmtId="0" fontId="11" fillId="0" borderId="24" xfId="0" applyFont="1" applyBorder="1" applyAlignment="1">
      <alignment horizontal="center"/>
    </xf>
    <xf numFmtId="0" fontId="7" fillId="0" borderId="22" xfId="0" applyFont="1" applyBorder="1" applyAlignment="1">
      <alignment horizontal="center"/>
    </xf>
    <xf numFmtId="0" fontId="11" fillId="0" borderId="31" xfId="0" applyFont="1" applyBorder="1" applyAlignment="1">
      <alignment horizontal="center"/>
    </xf>
    <xf numFmtId="0" fontId="11" fillId="0" borderId="32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16" fillId="0" borderId="30" xfId="0" applyFont="1" applyBorder="1" applyAlignment="1">
      <alignment horizontal="center" vertical="center" textRotation="90"/>
    </xf>
    <xf numFmtId="0" fontId="7" fillId="0" borderId="30" xfId="0" applyFont="1" applyBorder="1" applyAlignment="1">
      <alignment horizontal="center"/>
    </xf>
    <xf numFmtId="168" fontId="0" fillId="0" borderId="0" xfId="0" applyNumberFormat="1" applyAlignment="1">
      <alignment horizontal="center"/>
    </xf>
    <xf numFmtId="168" fontId="7" fillId="0" borderId="0" xfId="0" applyNumberFormat="1" applyFont="1" applyAlignment="1">
      <alignment horizontal="center"/>
    </xf>
    <xf numFmtId="168" fontId="0" fillId="0" borderId="2" xfId="0" applyNumberFormat="1" applyBorder="1" applyAlignment="1">
      <alignment horizontal="center"/>
    </xf>
    <xf numFmtId="0" fontId="0" fillId="11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16" borderId="18" xfId="0" applyFill="1" applyBorder="1" applyAlignment="1">
      <alignment horizontal="center"/>
    </xf>
    <xf numFmtId="0" fontId="0" fillId="16" borderId="15" xfId="0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9" borderId="17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19" borderId="6" xfId="0" applyFill="1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42" xfId="0" applyBorder="1" applyAlignment="1">
      <alignment horizontal="center"/>
    </xf>
    <xf numFmtId="0" fontId="14" fillId="0" borderId="25" xfId="0" applyFont="1" applyBorder="1" applyAlignment="1">
      <alignment horizontal="center"/>
    </xf>
    <xf numFmtId="0" fontId="40" fillId="0" borderId="26" xfId="0" applyFont="1" applyBorder="1" applyAlignment="1">
      <alignment horizontal="center"/>
    </xf>
    <xf numFmtId="0" fontId="35" fillId="0" borderId="15" xfId="0" applyFont="1" applyBorder="1" applyAlignment="1">
      <alignment horizontal="center"/>
    </xf>
    <xf numFmtId="0" fontId="21" fillId="0" borderId="43" xfId="0" applyFont="1" applyBorder="1" applyAlignment="1">
      <alignment horizontal="center"/>
    </xf>
    <xf numFmtId="0" fontId="40" fillId="19" borderId="6" xfId="0" applyFont="1" applyFill="1" applyBorder="1" applyAlignment="1">
      <alignment horizontal="center"/>
    </xf>
    <xf numFmtId="0" fontId="7" fillId="19" borderId="6" xfId="0" applyFont="1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5" borderId="0" xfId="0" applyFill="1"/>
    <xf numFmtId="2" fontId="0" fillId="0" borderId="0" xfId="0" applyNumberFormat="1" applyAlignment="1">
      <alignment horizontal="center"/>
    </xf>
    <xf numFmtId="0" fontId="0" fillId="5" borderId="0" xfId="0" applyFill="1" applyAlignment="1">
      <alignment horizontal="center"/>
    </xf>
    <xf numFmtId="0" fontId="48" fillId="0" borderId="6" xfId="0" applyFont="1" applyBorder="1" applyAlignment="1">
      <alignment horizontal="center"/>
    </xf>
    <xf numFmtId="169" fontId="0" fillId="0" borderId="17" xfId="0" applyNumberFormat="1" applyBorder="1" applyAlignment="1">
      <alignment horizontal="center"/>
    </xf>
    <xf numFmtId="0" fontId="49" fillId="0" borderId="0" xfId="0" applyFont="1" applyAlignment="1">
      <alignment horizontal="center"/>
    </xf>
    <xf numFmtId="0" fontId="11" fillId="4" borderId="2" xfId="0" applyFont="1" applyFill="1" applyBorder="1" applyAlignment="1">
      <alignment horizontal="center"/>
    </xf>
    <xf numFmtId="2" fontId="0" fillId="0" borderId="27" xfId="0" applyNumberFormat="1" applyBorder="1" applyAlignment="1">
      <alignment horizontal="center"/>
    </xf>
    <xf numFmtId="2" fontId="0" fillId="0" borderId="24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7" fillId="0" borderId="2" xfId="0" applyNumberFormat="1" applyFont="1" applyBorder="1" applyAlignment="1">
      <alignment horizontal="center"/>
    </xf>
    <xf numFmtId="169" fontId="0" fillId="0" borderId="0" xfId="0" applyNumberFormat="1" applyAlignment="1">
      <alignment horizontal="center"/>
    </xf>
    <xf numFmtId="2" fontId="7" fillId="0" borderId="0" xfId="0" applyNumberFormat="1" applyFont="1" applyAlignment="1">
      <alignment horizontal="center"/>
    </xf>
    <xf numFmtId="169" fontId="7" fillId="0" borderId="0" xfId="0" applyNumberFormat="1" applyFont="1" applyAlignment="1">
      <alignment horizontal="center"/>
    </xf>
    <xf numFmtId="2" fontId="11" fillId="0" borderId="0" xfId="0" applyNumberFormat="1" applyFont="1" applyAlignment="1">
      <alignment horizontal="center"/>
    </xf>
    <xf numFmtId="2" fontId="0" fillId="0" borderId="25" xfId="0" applyNumberFormat="1" applyBorder="1" applyAlignment="1">
      <alignment horizontal="center"/>
    </xf>
    <xf numFmtId="2" fontId="21" fillId="0" borderId="22" xfId="0" applyNumberFormat="1" applyFont="1" applyBorder="1" applyAlignment="1">
      <alignment horizontal="center"/>
    </xf>
    <xf numFmtId="2" fontId="7" fillId="0" borderId="26" xfId="0" applyNumberFormat="1" applyFont="1" applyBorder="1" applyAlignment="1">
      <alignment horizontal="center"/>
    </xf>
    <xf numFmtId="2" fontId="7" fillId="0" borderId="23" xfId="0" applyNumberFormat="1" applyFont="1" applyBorder="1" applyAlignment="1">
      <alignment horizontal="center"/>
    </xf>
    <xf numFmtId="169" fontId="7" fillId="0" borderId="1" xfId="0" applyNumberFormat="1" applyFont="1" applyBorder="1" applyAlignment="1">
      <alignment horizontal="center"/>
    </xf>
    <xf numFmtId="2" fontId="7" fillId="0" borderId="1" xfId="0" applyNumberFormat="1" applyFont="1" applyBorder="1" applyAlignment="1">
      <alignment horizontal="center"/>
    </xf>
    <xf numFmtId="169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52" fillId="0" borderId="0" xfId="0" applyFont="1" applyAlignment="1">
      <alignment horizontal="center"/>
    </xf>
    <xf numFmtId="0" fontId="11" fillId="0" borderId="44" xfId="0" applyFont="1" applyBorder="1" applyAlignment="1">
      <alignment horizontal="center"/>
    </xf>
    <xf numFmtId="0" fontId="35" fillId="0" borderId="45" xfId="0" applyFont="1" applyBorder="1" applyAlignment="1">
      <alignment horizontal="center"/>
    </xf>
    <xf numFmtId="0" fontId="7" fillId="0" borderId="31" xfId="0" applyFont="1" applyBorder="1" applyAlignment="1">
      <alignment horizontal="center"/>
    </xf>
    <xf numFmtId="0" fontId="0" fillId="0" borderId="32" xfId="0" applyBorder="1" applyAlignment="1">
      <alignment horizontal="center"/>
    </xf>
    <xf numFmtId="0" fontId="0" fillId="21" borderId="6" xfId="0" applyFill="1" applyBorder="1" applyAlignment="1">
      <alignment horizontal="center"/>
    </xf>
    <xf numFmtId="0" fontId="0" fillId="9" borderId="6" xfId="0" applyFill="1" applyBorder="1" applyAlignment="1">
      <alignment horizontal="center"/>
    </xf>
    <xf numFmtId="0" fontId="0" fillId="16" borderId="6" xfId="0" applyFill="1" applyBorder="1" applyAlignment="1">
      <alignment horizontal="center"/>
    </xf>
    <xf numFmtId="0" fontId="43" fillId="0" borderId="0" xfId="0" applyFont="1" applyAlignment="1">
      <alignment horizontal="center"/>
    </xf>
    <xf numFmtId="0" fontId="48" fillId="0" borderId="0" xfId="0" applyFont="1" applyAlignment="1">
      <alignment horizontal="center"/>
    </xf>
    <xf numFmtId="170" fontId="11" fillId="0" borderId="2" xfId="0" applyNumberFormat="1" applyFont="1" applyBorder="1" applyAlignment="1">
      <alignment horizontal="center"/>
    </xf>
    <xf numFmtId="0" fontId="12" fillId="0" borderId="0" xfId="0" applyFont="1" applyAlignment="1">
      <alignment horizontal="center"/>
    </xf>
    <xf numFmtId="0" fontId="0" fillId="5" borderId="2" xfId="0" applyFill="1" applyBorder="1" applyAlignment="1">
      <alignment horizontal="center"/>
    </xf>
    <xf numFmtId="0" fontId="35" fillId="5" borderId="0" xfId="0" applyFont="1" applyFill="1" applyAlignment="1">
      <alignment horizontal="center"/>
    </xf>
    <xf numFmtId="0" fontId="0" fillId="0" borderId="0" xfId="0" applyAlignment="1">
      <alignment horizontal="right"/>
    </xf>
    <xf numFmtId="0" fontId="7" fillId="0" borderId="0" xfId="0" applyFont="1" applyAlignment="1">
      <alignment horizontal="right"/>
    </xf>
    <xf numFmtId="0" fontId="11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17" borderId="0" xfId="0" applyFill="1"/>
    <xf numFmtId="0" fontId="7" fillId="0" borderId="0" xfId="0" applyFont="1" applyAlignment="1">
      <alignment horizontal="center" textRotation="90"/>
    </xf>
    <xf numFmtId="0" fontId="11" fillId="0" borderId="0" xfId="0" applyFont="1" applyAlignment="1">
      <alignment horizontal="center" textRotation="90"/>
    </xf>
    <xf numFmtId="0" fontId="29" fillId="0" borderId="0" xfId="0" applyFont="1" applyAlignment="1">
      <alignment horizontal="center" vertical="center"/>
    </xf>
    <xf numFmtId="0" fontId="56" fillId="0" borderId="0" xfId="0" applyFont="1" applyAlignment="1">
      <alignment horizontal="center"/>
    </xf>
    <xf numFmtId="0" fontId="0" fillId="0" borderId="4" xfId="0" applyBorder="1" applyAlignment="1">
      <alignment horizontal="center"/>
    </xf>
    <xf numFmtId="0" fontId="58" fillId="0" borderId="0" xfId="0" applyFont="1"/>
    <xf numFmtId="0" fontId="58" fillId="23" borderId="7" xfId="0" applyFont="1" applyFill="1" applyBorder="1" applyAlignment="1">
      <alignment horizontal="center"/>
    </xf>
    <xf numFmtId="0" fontId="58" fillId="23" borderId="38" xfId="0" applyFont="1" applyFill="1" applyBorder="1" applyAlignment="1">
      <alignment horizontal="center"/>
    </xf>
    <xf numFmtId="0" fontId="58" fillId="23" borderId="36" xfId="0" applyFont="1" applyFill="1" applyBorder="1" applyAlignment="1">
      <alignment horizontal="center"/>
    </xf>
    <xf numFmtId="0" fontId="58" fillId="21" borderId="43" xfId="0" applyFont="1" applyFill="1" applyBorder="1" applyAlignment="1">
      <alignment horizontal="center"/>
    </xf>
    <xf numFmtId="0" fontId="58" fillId="21" borderId="39" xfId="0" applyFont="1" applyFill="1" applyBorder="1" applyAlignment="1">
      <alignment horizontal="center"/>
    </xf>
    <xf numFmtId="0" fontId="58" fillId="21" borderId="6" xfId="0" applyFont="1" applyFill="1" applyBorder="1" applyAlignment="1">
      <alignment horizontal="center"/>
    </xf>
    <xf numFmtId="0" fontId="58" fillId="18" borderId="22" xfId="0" applyFont="1" applyFill="1" applyBorder="1" applyAlignment="1">
      <alignment horizontal="center"/>
    </xf>
    <xf numFmtId="0" fontId="50" fillId="0" borderId="0" xfId="0" applyFont="1" applyAlignment="1">
      <alignment horizontal="center"/>
    </xf>
    <xf numFmtId="0" fontId="0" fillId="24" borderId="0" xfId="0" applyFill="1"/>
    <xf numFmtId="0" fontId="21" fillId="21" borderId="0" xfId="0" applyFont="1" applyFill="1" applyAlignment="1">
      <alignment horizontal="center" vertical="center"/>
    </xf>
    <xf numFmtId="0" fontId="21" fillId="9" borderId="0" xfId="0" applyFont="1" applyFill="1" applyAlignment="1">
      <alignment horizontal="center" vertical="center"/>
    </xf>
    <xf numFmtId="0" fontId="21" fillId="16" borderId="0" xfId="0" applyFont="1" applyFill="1" applyAlignment="1">
      <alignment horizontal="center" vertical="center"/>
    </xf>
    <xf numFmtId="0" fontId="21" fillId="19" borderId="0" xfId="0" applyFont="1" applyFill="1" applyAlignment="1">
      <alignment horizontal="center" vertical="center"/>
    </xf>
    <xf numFmtId="0" fontId="0" fillId="0" borderId="46" xfId="0" applyBorder="1" applyAlignment="1">
      <alignment horizontal="center"/>
    </xf>
    <xf numFmtId="2" fontId="0" fillId="17" borderId="0" xfId="0" applyNumberFormat="1" applyFill="1"/>
    <xf numFmtId="0" fontId="0" fillId="24" borderId="0" xfId="0" applyFill="1" applyAlignment="1">
      <alignment horizontal="center"/>
    </xf>
    <xf numFmtId="2" fontId="0" fillId="24" borderId="0" xfId="0" applyNumberFormat="1" applyFill="1"/>
    <xf numFmtId="0" fontId="14" fillId="0" borderId="0" xfId="0" applyFont="1" applyAlignment="1">
      <alignment horizontal="center" textRotation="90"/>
    </xf>
    <xf numFmtId="0" fontId="29" fillId="0" borderId="0" xfId="0" applyFont="1" applyAlignment="1">
      <alignment horizontal="center"/>
    </xf>
    <xf numFmtId="0" fontId="29" fillId="0" borderId="0" xfId="0" applyFont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3" fillId="0" borderId="18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2" fillId="0" borderId="6" xfId="0" applyFont="1" applyBorder="1" applyAlignment="1">
      <alignment horizontal="center"/>
    </xf>
    <xf numFmtId="0" fontId="2" fillId="0" borderId="18" xfId="0" applyFont="1" applyBorder="1" applyAlignment="1">
      <alignment horizontal="center"/>
    </xf>
    <xf numFmtId="2" fontId="0" fillId="24" borderId="0" xfId="0" applyNumberFormat="1" applyFill="1" applyAlignment="1">
      <alignment horizontal="center"/>
    </xf>
    <xf numFmtId="0" fontId="0" fillId="17" borderId="0" xfId="0" applyFill="1" applyAlignment="1">
      <alignment horizontal="center"/>
    </xf>
    <xf numFmtId="0" fontId="21" fillId="0" borderId="0" xfId="0" applyFont="1"/>
    <xf numFmtId="0" fontId="20" fillId="0" borderId="0" xfId="0" applyFont="1" applyAlignment="1">
      <alignment horizontal="right"/>
    </xf>
    <xf numFmtId="0" fontId="21" fillId="24" borderId="0" xfId="0" applyFont="1" applyFill="1" applyAlignment="1">
      <alignment horizontal="center"/>
    </xf>
    <xf numFmtId="0" fontId="21" fillId="17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2" fontId="0" fillId="17" borderId="0" xfId="0" applyNumberFormat="1" applyFill="1" applyAlignment="1">
      <alignment horizontal="center"/>
    </xf>
    <xf numFmtId="0" fontId="54" fillId="0" borderId="0" xfId="0" applyFont="1" applyAlignment="1">
      <alignment vertical="center" textRotation="90"/>
    </xf>
    <xf numFmtId="0" fontId="0" fillId="25" borderId="0" xfId="0" applyFill="1" applyAlignment="1">
      <alignment horizontal="center"/>
    </xf>
    <xf numFmtId="0" fontId="14" fillId="0" borderId="0" xfId="0" applyFont="1" applyAlignment="1">
      <alignment horizontal="right"/>
    </xf>
    <xf numFmtId="0" fontId="0" fillId="0" borderId="0" xfId="0" quotePrefix="1" applyAlignment="1">
      <alignment horizontal="center"/>
    </xf>
    <xf numFmtId="0" fontId="66" fillId="0" borderId="0" xfId="0" applyFont="1" applyAlignment="1">
      <alignment horizontal="center"/>
    </xf>
    <xf numFmtId="0" fontId="67" fillId="0" borderId="0" xfId="0" applyFont="1" applyAlignment="1">
      <alignment horizontal="center"/>
    </xf>
    <xf numFmtId="0" fontId="35" fillId="0" borderId="44" xfId="0" applyFont="1" applyBorder="1" applyAlignment="1">
      <alignment horizontal="center"/>
    </xf>
    <xf numFmtId="0" fontId="0" fillId="0" borderId="44" xfId="0" applyBorder="1" applyAlignment="1">
      <alignment horizontal="center"/>
    </xf>
    <xf numFmtId="0" fontId="49" fillId="0" borderId="0" xfId="0" quotePrefix="1" applyFont="1" applyAlignment="1">
      <alignment horizontal="center"/>
    </xf>
    <xf numFmtId="0" fontId="0" fillId="0" borderId="0" xfId="0" applyAlignment="1">
      <alignment horizontal="center" vertical="center" wrapText="1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0" fontId="49" fillId="0" borderId="18" xfId="0" applyFont="1" applyBorder="1" applyAlignment="1">
      <alignment horizontal="center"/>
    </xf>
    <xf numFmtId="0" fontId="49" fillId="0" borderId="6" xfId="0" applyFont="1" applyBorder="1" applyAlignment="1">
      <alignment horizontal="center"/>
    </xf>
    <xf numFmtId="0" fontId="49" fillId="0" borderId="46" xfId="0" applyFont="1" applyBorder="1" applyAlignment="1">
      <alignment horizontal="center"/>
    </xf>
    <xf numFmtId="0" fontId="50" fillId="0" borderId="0" xfId="0" applyFont="1" applyAlignment="1">
      <alignment vertical="center" textRotation="90"/>
    </xf>
    <xf numFmtId="171" fontId="0" fillId="0" borderId="1" xfId="0" applyNumberFormat="1" applyBorder="1" applyAlignment="1">
      <alignment horizontal="center"/>
    </xf>
    <xf numFmtId="0" fontId="14" fillId="0" borderId="18" xfId="0" applyFont="1" applyBorder="1" applyAlignment="1">
      <alignment horizontal="center"/>
    </xf>
    <xf numFmtId="0" fontId="14" fillId="0" borderId="16" xfId="0" applyFont="1" applyBorder="1" applyAlignment="1">
      <alignment horizontal="center"/>
    </xf>
    <xf numFmtId="0" fontId="14" fillId="0" borderId="46" xfId="0" applyFont="1" applyBorder="1" applyAlignment="1">
      <alignment horizontal="center"/>
    </xf>
    <xf numFmtId="0" fontId="11" fillId="0" borderId="0" xfId="0" applyFont="1"/>
    <xf numFmtId="0" fontId="15" fillId="0" borderId="17" xfId="0" applyFont="1" applyBorder="1" applyAlignment="1">
      <alignment horizontal="center"/>
    </xf>
    <xf numFmtId="0" fontId="58" fillId="23" borderId="8" xfId="0" applyFont="1" applyFill="1" applyBorder="1" applyAlignment="1">
      <alignment horizontal="center"/>
    </xf>
    <xf numFmtId="0" fontId="58" fillId="21" borderId="0" xfId="0" applyFont="1" applyFill="1" applyAlignment="1">
      <alignment horizontal="center"/>
    </xf>
    <xf numFmtId="0" fontId="58" fillId="18" borderId="23" xfId="0" applyFont="1" applyFill="1" applyBorder="1" applyAlignment="1">
      <alignment horizontal="center"/>
    </xf>
    <xf numFmtId="0" fontId="58" fillId="18" borderId="6" xfId="0" applyFont="1" applyFill="1" applyBorder="1" applyAlignment="1">
      <alignment horizontal="center"/>
    </xf>
    <xf numFmtId="0" fontId="60" fillId="21" borderId="6" xfId="0" applyFont="1" applyFill="1" applyBorder="1" applyAlignment="1">
      <alignment horizontal="center"/>
    </xf>
    <xf numFmtId="0" fontId="60" fillId="18" borderId="37" xfId="0" applyFont="1" applyFill="1" applyBorder="1" applyAlignment="1">
      <alignment horizontal="center"/>
    </xf>
    <xf numFmtId="0" fontId="58" fillId="18" borderId="39" xfId="0" applyFont="1" applyFill="1" applyBorder="1" applyAlignment="1">
      <alignment horizontal="center"/>
    </xf>
    <xf numFmtId="0" fontId="60" fillId="21" borderId="39" xfId="0" applyFont="1" applyFill="1" applyBorder="1" applyAlignment="1">
      <alignment horizontal="center"/>
    </xf>
    <xf numFmtId="0" fontId="60" fillId="18" borderId="40" xfId="0" applyFont="1" applyFill="1" applyBorder="1" applyAlignment="1">
      <alignment horizontal="center"/>
    </xf>
    <xf numFmtId="2" fontId="0" fillId="0" borderId="32" xfId="0" applyNumberFormat="1" applyBorder="1" applyAlignment="1">
      <alignment horizontal="center"/>
    </xf>
    <xf numFmtId="2" fontId="11" fillId="0" borderId="5" xfId="0" applyNumberFormat="1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6" fillId="0" borderId="6" xfId="0" applyFont="1" applyBorder="1" applyAlignment="1">
      <alignment horizontal="center"/>
    </xf>
    <xf numFmtId="0" fontId="15" fillId="0" borderId="6" xfId="0" applyFont="1" applyBorder="1" applyAlignment="1">
      <alignment horizontal="center"/>
    </xf>
    <xf numFmtId="0" fontId="0" fillId="0" borderId="6" xfId="0" applyBorder="1" applyAlignment="1">
      <alignment horizontal="center" vertical="center" wrapText="1"/>
    </xf>
    <xf numFmtId="0" fontId="0" fillId="0" borderId="2" xfId="0" applyBorder="1" applyAlignment="1">
      <alignment horizontal="center"/>
    </xf>
    <xf numFmtId="0" fontId="0" fillId="0" borderId="16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2" fillId="0" borderId="43" xfId="0" applyFont="1" applyBorder="1" applyAlignment="1">
      <alignment horizontal="center"/>
    </xf>
    <xf numFmtId="0" fontId="62" fillId="0" borderId="1" xfId="0" applyFont="1" applyBorder="1" applyAlignment="1">
      <alignment horizontal="center"/>
    </xf>
    <xf numFmtId="0" fontId="0" fillId="10" borderId="16" xfId="0" applyFill="1" applyBorder="1" applyAlignment="1">
      <alignment horizontal="center" vertical="center"/>
    </xf>
    <xf numFmtId="0" fontId="0" fillId="10" borderId="21" xfId="0" applyFill="1" applyBorder="1" applyAlignment="1">
      <alignment horizontal="center" vertical="center"/>
    </xf>
    <xf numFmtId="0" fontId="0" fillId="10" borderId="20" xfId="0" applyFill="1" applyBorder="1" applyAlignment="1">
      <alignment horizontal="center" vertical="center"/>
    </xf>
    <xf numFmtId="0" fontId="0" fillId="11" borderId="10" xfId="0" applyFill="1" applyBorder="1" applyAlignment="1">
      <alignment horizontal="center" vertical="center"/>
    </xf>
    <xf numFmtId="0" fontId="0" fillId="11" borderId="11" xfId="0" applyFill="1" applyBorder="1" applyAlignment="1">
      <alignment horizontal="center" vertical="center"/>
    </xf>
    <xf numFmtId="0" fontId="0" fillId="10" borderId="6" xfId="0" applyFill="1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0" borderId="6" xfId="0" applyBorder="1" applyAlignment="1">
      <alignment horizontal="center" wrapText="1"/>
    </xf>
    <xf numFmtId="0" fontId="54" fillId="0" borderId="43" xfId="0" applyFont="1" applyBorder="1" applyAlignment="1">
      <alignment horizontal="center" vertical="center"/>
    </xf>
    <xf numFmtId="0" fontId="54" fillId="0" borderId="0" xfId="0" applyFont="1" applyAlignment="1">
      <alignment horizontal="center" vertical="center"/>
    </xf>
    <xf numFmtId="0" fontId="2" fillId="0" borderId="6" xfId="0" applyFont="1" applyBorder="1" applyAlignment="1">
      <alignment horizontal="center"/>
    </xf>
    <xf numFmtId="0" fontId="62" fillId="0" borderId="0" xfId="0" applyFont="1" applyAlignment="1">
      <alignment horizontal="center"/>
    </xf>
    <xf numFmtId="0" fontId="36" fillId="15" borderId="0" xfId="0" applyFont="1" applyFill="1" applyAlignment="1">
      <alignment horizontal="center" vertical="center"/>
    </xf>
    <xf numFmtId="0" fontId="14" fillId="12" borderId="1" xfId="0" applyFont="1" applyFill="1" applyBorder="1" applyAlignment="1">
      <alignment horizontal="center"/>
    </xf>
    <xf numFmtId="0" fontId="68" fillId="26" borderId="0" xfId="0" applyFont="1" applyFill="1" applyAlignment="1">
      <alignment horizontal="center" vertical="center"/>
    </xf>
    <xf numFmtId="0" fontId="68" fillId="26" borderId="1" xfId="0" applyFont="1" applyFill="1" applyBorder="1" applyAlignment="1">
      <alignment horizontal="center" vertical="center"/>
    </xf>
    <xf numFmtId="0" fontId="7" fillId="0" borderId="3" xfId="0" applyFont="1" applyBorder="1" applyAlignment="1">
      <alignment horizontal="center" wrapText="1"/>
    </xf>
    <xf numFmtId="0" fontId="7" fillId="0" borderId="4" xfId="0" applyFont="1" applyBorder="1" applyAlignment="1">
      <alignment horizontal="center" wrapText="1"/>
    </xf>
    <xf numFmtId="0" fontId="8" fillId="17" borderId="0" xfId="0" applyFont="1" applyFill="1" applyAlignment="1">
      <alignment horizontal="center" vertical="center"/>
    </xf>
    <xf numFmtId="0" fontId="38" fillId="14" borderId="0" xfId="0" applyFont="1" applyFill="1" applyAlignment="1">
      <alignment horizontal="center" vertical="center"/>
    </xf>
    <xf numFmtId="0" fontId="50" fillId="0" borderId="0" xfId="0" applyFont="1" applyAlignment="1">
      <alignment horizontal="center" vertical="center" textRotation="90" wrapText="1"/>
    </xf>
    <xf numFmtId="0" fontId="50" fillId="0" borderId="0" xfId="0" applyFont="1" applyAlignment="1">
      <alignment horizontal="center" vertical="center" wrapText="1"/>
    </xf>
    <xf numFmtId="0" fontId="8" fillId="18" borderId="0" xfId="0" applyFont="1" applyFill="1" applyAlignment="1">
      <alignment horizontal="center" vertical="center"/>
    </xf>
    <xf numFmtId="0" fontId="7" fillId="0" borderId="3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0" fontId="11" fillId="12" borderId="1" xfId="0" applyFont="1" applyFill="1" applyBorder="1" applyAlignment="1">
      <alignment horizontal="center"/>
    </xf>
    <xf numFmtId="0" fontId="36" fillId="13" borderId="0" xfId="0" applyFont="1" applyFill="1" applyAlignment="1">
      <alignment horizontal="center" vertical="center"/>
    </xf>
    <xf numFmtId="0" fontId="14" fillId="12" borderId="19" xfId="0" applyFont="1" applyFill="1" applyBorder="1" applyAlignment="1">
      <alignment horizontal="center"/>
    </xf>
    <xf numFmtId="0" fontId="47" fillId="16" borderId="0" xfId="0" applyFont="1" applyFill="1" applyAlignment="1">
      <alignment horizontal="center" vertical="center"/>
    </xf>
    <xf numFmtId="0" fontId="47" fillId="16" borderId="30" xfId="0" applyFont="1" applyFill="1" applyBorder="1" applyAlignment="1">
      <alignment horizontal="center" vertical="center"/>
    </xf>
    <xf numFmtId="0" fontId="7" fillId="0" borderId="22" xfId="0" applyFont="1" applyBorder="1" applyAlignment="1">
      <alignment horizontal="center" vertical="center" wrapText="1"/>
    </xf>
    <xf numFmtId="0" fontId="7" fillId="0" borderId="23" xfId="0" applyFont="1" applyBorder="1" applyAlignment="1">
      <alignment horizontal="center" vertical="center" wrapText="1"/>
    </xf>
    <xf numFmtId="0" fontId="47" fillId="9" borderId="0" xfId="0" applyFont="1" applyFill="1" applyAlignment="1">
      <alignment horizontal="center" vertical="center"/>
    </xf>
    <xf numFmtId="0" fontId="47" fillId="9" borderId="30" xfId="0" applyFont="1" applyFill="1" applyBorder="1" applyAlignment="1">
      <alignment horizontal="center" vertical="center"/>
    </xf>
    <xf numFmtId="0" fontId="36" fillId="13" borderId="30" xfId="0" applyFont="1" applyFill="1" applyBorder="1" applyAlignment="1">
      <alignment horizontal="center" vertical="center"/>
    </xf>
    <xf numFmtId="0" fontId="29" fillId="0" borderId="0" xfId="0" applyFont="1" applyAlignment="1">
      <alignment horizontal="center" vertical="center" textRotation="90"/>
    </xf>
    <xf numFmtId="0" fontId="50" fillId="0" borderId="0" xfId="0" applyFont="1" applyAlignment="1">
      <alignment horizontal="center" vertical="center" textRotation="90"/>
    </xf>
    <xf numFmtId="0" fontId="38" fillId="14" borderId="30" xfId="0" applyFont="1" applyFill="1" applyBorder="1" applyAlignment="1">
      <alignment horizontal="center" vertical="center"/>
    </xf>
    <xf numFmtId="0" fontId="49" fillId="0" borderId="18" xfId="0" applyFont="1" applyBorder="1" applyAlignment="1">
      <alignment horizontal="center"/>
    </xf>
    <xf numFmtId="0" fontId="49" fillId="0" borderId="15" xfId="0" applyFont="1" applyBorder="1" applyAlignment="1">
      <alignment horizontal="center"/>
    </xf>
    <xf numFmtId="0" fontId="50" fillId="0" borderId="0" xfId="0" applyFont="1" applyAlignment="1">
      <alignment horizontal="center" vertical="center"/>
    </xf>
    <xf numFmtId="0" fontId="49" fillId="17" borderId="0" xfId="0" applyFont="1" applyFill="1" applyAlignment="1">
      <alignment horizontal="center" vertical="center"/>
    </xf>
    <xf numFmtId="0" fontId="11" fillId="0" borderId="0" xfId="0" applyFont="1" applyAlignment="1">
      <alignment horizontal="center"/>
    </xf>
    <xf numFmtId="0" fontId="47" fillId="19" borderId="30" xfId="0" applyFont="1" applyFill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47" xfId="0" applyFont="1" applyBorder="1" applyAlignment="1">
      <alignment horizontal="center" vertical="center"/>
    </xf>
    <xf numFmtId="0" fontId="50" fillId="0" borderId="0" xfId="0" applyFont="1" applyAlignment="1">
      <alignment horizontal="center" textRotation="90" wrapText="1"/>
    </xf>
    <xf numFmtId="0" fontId="63" fillId="17" borderId="0" xfId="0" applyFont="1" applyFill="1" applyAlignment="1">
      <alignment horizontal="center" vertical="center"/>
    </xf>
    <xf numFmtId="0" fontId="64" fillId="17" borderId="0" xfId="0" applyFont="1" applyFill="1" applyAlignment="1">
      <alignment horizontal="center" vertical="center"/>
    </xf>
    <xf numFmtId="0" fontId="21" fillId="0" borderId="0" xfId="0" applyFont="1" applyAlignment="1">
      <alignment horizontal="center"/>
    </xf>
    <xf numFmtId="0" fontId="29" fillId="0" borderId="0" xfId="0" applyFont="1" applyAlignment="1">
      <alignment horizontal="center"/>
    </xf>
    <xf numFmtId="0" fontId="59" fillId="9" borderId="7" xfId="0" applyFont="1" applyFill="1" applyBorder="1" applyAlignment="1">
      <alignment horizontal="center" vertical="center"/>
    </xf>
    <xf numFmtId="0" fontId="59" fillId="9" borderId="9" xfId="0" applyFont="1" applyFill="1" applyBorder="1" applyAlignment="1">
      <alignment horizontal="center" vertical="center"/>
    </xf>
    <xf numFmtId="0" fontId="59" fillId="16" borderId="7" xfId="0" applyFont="1" applyFill="1" applyBorder="1" applyAlignment="1">
      <alignment horizontal="center" vertical="center"/>
    </xf>
    <xf numFmtId="0" fontId="59" fillId="16" borderId="8" xfId="0" applyFont="1" applyFill="1" applyBorder="1" applyAlignment="1">
      <alignment horizontal="center" vertical="center"/>
    </xf>
    <xf numFmtId="0" fontId="59" fillId="16" borderId="9" xfId="0" applyFont="1" applyFill="1" applyBorder="1" applyAlignment="1">
      <alignment horizontal="center" vertical="center"/>
    </xf>
    <xf numFmtId="0" fontId="59" fillId="20" borderId="7" xfId="0" applyFont="1" applyFill="1" applyBorder="1" applyAlignment="1">
      <alignment horizontal="center" vertical="center"/>
    </xf>
    <xf numFmtId="0" fontId="59" fillId="20" borderId="9" xfId="0" applyFont="1" applyFill="1" applyBorder="1" applyAlignment="1">
      <alignment horizontal="center" vertical="center"/>
    </xf>
    <xf numFmtId="0" fontId="59" fillId="22" borderId="4" xfId="0" applyFont="1" applyFill="1" applyBorder="1" applyAlignment="1">
      <alignment horizontal="center" vertical="center"/>
    </xf>
    <xf numFmtId="0" fontId="59" fillId="22" borderId="5" xfId="0" applyFont="1" applyFill="1" applyBorder="1" applyAlignment="1">
      <alignment horizontal="center" vertical="center"/>
    </xf>
    <xf numFmtId="0" fontId="21" fillId="21" borderId="0" xfId="0" applyFont="1" applyFill="1" applyAlignment="1">
      <alignment horizontal="center" vertical="center" textRotation="90"/>
    </xf>
    <xf numFmtId="0" fontId="0" fillId="0" borderId="1" xfId="0" applyBorder="1" applyAlignment="1">
      <alignment horizontal="center"/>
    </xf>
    <xf numFmtId="0" fontId="21" fillId="19" borderId="0" xfId="0" applyFont="1" applyFill="1" applyAlignment="1">
      <alignment horizontal="center" vertical="center" textRotation="90"/>
    </xf>
    <xf numFmtId="0" fontId="6" fillId="0" borderId="6" xfId="0" applyFont="1" applyBorder="1" applyAlignment="1">
      <alignment horizontal="center" vertical="center" wrapText="1"/>
    </xf>
    <xf numFmtId="0" fontId="6" fillId="0" borderId="16" xfId="0" applyFont="1" applyBorder="1" applyAlignment="1">
      <alignment horizontal="center" vertical="center" wrapText="1"/>
    </xf>
    <xf numFmtId="0" fontId="21" fillId="16" borderId="0" xfId="0" applyFont="1" applyFill="1" applyAlignment="1">
      <alignment horizontal="center" vertical="center" textRotation="90"/>
    </xf>
    <xf numFmtId="0" fontId="21" fillId="9" borderId="0" xfId="0" applyFont="1" applyFill="1" applyAlignment="1">
      <alignment horizontal="center" vertical="center" textRotation="90"/>
    </xf>
    <xf numFmtId="0" fontId="46" fillId="3" borderId="34" xfId="0" applyFont="1" applyFill="1" applyBorder="1" applyAlignment="1">
      <alignment horizontal="center" vertical="center"/>
    </xf>
    <xf numFmtId="0" fontId="46" fillId="3" borderId="35" xfId="0" applyFont="1" applyFill="1" applyBorder="1" applyAlignment="1">
      <alignment horizontal="center" vertical="center"/>
    </xf>
    <xf numFmtId="0" fontId="46" fillId="3" borderId="6" xfId="0" applyFont="1" applyFill="1" applyBorder="1" applyAlignment="1">
      <alignment horizontal="center" vertical="center"/>
    </xf>
    <xf numFmtId="0" fontId="46" fillId="3" borderId="37" xfId="0" applyFont="1" applyFill="1" applyBorder="1" applyAlignment="1">
      <alignment horizontal="center" vertical="center"/>
    </xf>
    <xf numFmtId="0" fontId="46" fillId="8" borderId="6" xfId="0" applyFont="1" applyFill="1" applyBorder="1" applyAlignment="1">
      <alignment horizontal="center" vertical="center"/>
    </xf>
    <xf numFmtId="0" fontId="46" fillId="8" borderId="37" xfId="0" applyFont="1" applyFill="1" applyBorder="1" applyAlignment="1">
      <alignment horizontal="center" vertical="center"/>
    </xf>
    <xf numFmtId="0" fontId="46" fillId="8" borderId="39" xfId="0" applyFont="1" applyFill="1" applyBorder="1" applyAlignment="1">
      <alignment horizontal="center" vertical="center"/>
    </xf>
    <xf numFmtId="0" fontId="46" fillId="8" borderId="40" xfId="0" applyFont="1" applyFill="1" applyBorder="1" applyAlignment="1">
      <alignment horizontal="center" vertical="center"/>
    </xf>
    <xf numFmtId="0" fontId="46" fillId="0" borderId="36" xfId="0" applyFont="1" applyBorder="1" applyAlignment="1">
      <alignment horizontal="center" vertical="center"/>
    </xf>
    <xf numFmtId="0" fontId="46" fillId="0" borderId="6" xfId="0" applyFont="1" applyBorder="1" applyAlignment="1">
      <alignment horizontal="center" vertical="center"/>
    </xf>
    <xf numFmtId="0" fontId="46" fillId="0" borderId="38" xfId="0" applyFont="1" applyBorder="1" applyAlignment="1">
      <alignment horizontal="center" vertical="center"/>
    </xf>
    <xf numFmtId="0" fontId="46" fillId="0" borderId="39" xfId="0" applyFont="1" applyBorder="1" applyAlignment="1">
      <alignment horizontal="center" vertical="center"/>
    </xf>
    <xf numFmtId="0" fontId="6" fillId="0" borderId="18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46" fillId="11" borderId="33" xfId="0" applyFont="1" applyFill="1" applyBorder="1" applyAlignment="1">
      <alignment horizontal="center" vertical="center"/>
    </xf>
    <xf numFmtId="0" fontId="46" fillId="11" borderId="34" xfId="0" applyFont="1" applyFill="1" applyBorder="1" applyAlignment="1">
      <alignment horizontal="center" vertical="center"/>
    </xf>
    <xf numFmtId="0" fontId="46" fillId="11" borderId="36" xfId="0" applyFont="1" applyFill="1" applyBorder="1" applyAlignment="1">
      <alignment horizontal="center" vertical="center"/>
    </xf>
    <xf numFmtId="0" fontId="46" fillId="11" borderId="6" xfId="0" applyFont="1" applyFill="1" applyBorder="1" applyAlignment="1">
      <alignment horizontal="center" vertical="center"/>
    </xf>
    <xf numFmtId="0" fontId="49" fillId="0" borderId="0" xfId="0" applyFont="1" applyAlignment="1">
      <alignment horizontal="center"/>
    </xf>
    <xf numFmtId="0" fontId="32" fillId="10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13" fillId="7" borderId="0" xfId="0" applyFont="1" applyFill="1" applyAlignment="1">
      <alignment horizontal="center" vertical="center" textRotation="90"/>
    </xf>
    <xf numFmtId="0" fontId="10" fillId="6" borderId="0" xfId="0" applyFont="1" applyFill="1" applyAlignment="1">
      <alignment horizontal="center" vertical="center"/>
    </xf>
    <xf numFmtId="0" fontId="16" fillId="3" borderId="0" xfId="0" applyFont="1" applyFill="1" applyAlignment="1">
      <alignment horizontal="center" vertical="center" textRotation="90"/>
    </xf>
    <xf numFmtId="0" fontId="32" fillId="8" borderId="0" xfId="0" applyFont="1" applyFill="1" applyAlignment="1">
      <alignment horizontal="center"/>
    </xf>
    <xf numFmtId="0" fontId="31" fillId="8" borderId="0" xfId="0" applyFont="1" applyFill="1" applyAlignment="1">
      <alignment horizontal="center"/>
    </xf>
    <xf numFmtId="0" fontId="16" fillId="3" borderId="0" xfId="0" applyFont="1" applyFill="1" applyAlignment="1">
      <alignment horizontal="center" vertical="center" textRotation="90" wrapText="1"/>
    </xf>
    <xf numFmtId="0" fontId="4" fillId="0" borderId="6" xfId="0" applyFont="1" applyBorder="1" applyAlignment="1">
      <alignment horizontal="center" vertical="center" wrapText="1"/>
    </xf>
    <xf numFmtId="0" fontId="59" fillId="20" borderId="8" xfId="0" applyFont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21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F6CE"/>
      <color rgb="FFEDE995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5" Type="http://schemas.openxmlformats.org/officeDocument/2006/relationships/image" Target="../media/image10.pn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1082787</xdr:colOff>
      <xdr:row>126</xdr:row>
      <xdr:rowOff>15355</xdr:rowOff>
    </xdr:from>
    <xdr:to>
      <xdr:col>14</xdr:col>
      <xdr:colOff>1016025</xdr:colOff>
      <xdr:row>142</xdr:row>
      <xdr:rowOff>145408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FFF98F8-CA49-03D5-41B7-7B188EF85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3160" y="25912312"/>
          <a:ext cx="3719573" cy="3159121"/>
        </a:xfrm>
        <a:prstGeom prst="rect">
          <a:avLst/>
        </a:prstGeom>
      </xdr:spPr>
    </xdr:pic>
    <xdr:clientData/>
  </xdr:twoCellAnchor>
  <xdr:twoCellAnchor editAs="oneCell">
    <xdr:from>
      <xdr:col>4</xdr:col>
      <xdr:colOff>982723</xdr:colOff>
      <xdr:row>125</xdr:row>
      <xdr:rowOff>52694</xdr:rowOff>
    </xdr:from>
    <xdr:to>
      <xdr:col>10</xdr:col>
      <xdr:colOff>708095</xdr:colOff>
      <xdr:row>139</xdr:row>
      <xdr:rowOff>152421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3001111-2BF4-78DA-3C2F-86FBE7292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32909" y="22589278"/>
          <a:ext cx="4955248" cy="2750162"/>
        </a:xfrm>
        <a:prstGeom prst="rect">
          <a:avLst/>
        </a:prstGeom>
      </xdr:spPr>
    </xdr:pic>
    <xdr:clientData/>
  </xdr:twoCellAnchor>
  <xdr:twoCellAnchor editAs="oneCell">
    <xdr:from>
      <xdr:col>15</xdr:col>
      <xdr:colOff>626781</xdr:colOff>
      <xdr:row>126</xdr:row>
      <xdr:rowOff>117322</xdr:rowOff>
    </xdr:from>
    <xdr:to>
      <xdr:col>22</xdr:col>
      <xdr:colOff>146352</xdr:colOff>
      <xdr:row>135</xdr:row>
      <xdr:rowOff>123016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FCAD78-43CF-905E-DAE7-944DC6519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96895" y="22469322"/>
          <a:ext cx="4737457" cy="1703865"/>
        </a:xfrm>
        <a:prstGeom prst="rect">
          <a:avLst/>
        </a:prstGeom>
      </xdr:spPr>
    </xdr:pic>
    <xdr:clientData/>
  </xdr:twoCellAnchor>
  <xdr:oneCellAnchor>
    <xdr:from>
      <xdr:col>5</xdr:col>
      <xdr:colOff>674914</xdr:colOff>
      <xdr:row>84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0</xdr:col>
      <xdr:colOff>0</xdr:colOff>
      <xdr:row>127</xdr:row>
      <xdr:rowOff>70994</xdr:rowOff>
    </xdr:from>
    <xdr:to>
      <xdr:col>4</xdr:col>
      <xdr:colOff>810001</xdr:colOff>
      <xdr:row>138</xdr:row>
      <xdr:rowOff>29264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986211"/>
          <a:ext cx="3760187" cy="2040755"/>
        </a:xfrm>
        <a:prstGeom prst="rect">
          <a:avLst/>
        </a:prstGeom>
      </xdr:spPr>
    </xdr:pic>
    <xdr:clientData/>
  </xdr:twoCellAnchor>
  <xdr:twoCellAnchor editAs="oneCell">
    <xdr:from>
      <xdr:col>39</xdr:col>
      <xdr:colOff>676715</xdr:colOff>
      <xdr:row>87</xdr:row>
      <xdr:rowOff>0</xdr:rowOff>
    </xdr:from>
    <xdr:to>
      <xdr:col>51</xdr:col>
      <xdr:colOff>305924</xdr:colOff>
      <xdr:row>95</xdr:row>
      <xdr:rowOff>100612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978CFDF-B825-A446-92A0-5C58DC57E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425547" y="18280584"/>
          <a:ext cx="7749792" cy="17455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304800</xdr:colOff>
      <xdr:row>99</xdr:row>
      <xdr:rowOff>73123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673100" y="2038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528509</xdr:colOff>
      <xdr:row>127</xdr:row>
      <xdr:rowOff>94660</xdr:rowOff>
    </xdr:from>
    <xdr:to>
      <xdr:col>5</xdr:col>
      <xdr:colOff>291863</xdr:colOff>
      <xdr:row>143</xdr:row>
      <xdr:rowOff>81276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199006" y="26180933"/>
          <a:ext cx="3044845" cy="30156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15</xdr:col>
      <xdr:colOff>418075</xdr:colOff>
      <xdr:row>86</xdr:row>
      <xdr:rowOff>34968</xdr:rowOff>
    </xdr:from>
    <xdr:to>
      <xdr:col>20</xdr:col>
      <xdr:colOff>386523</xdr:colOff>
      <xdr:row>102</xdr:row>
      <xdr:rowOff>131419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13662361" y="17862297"/>
          <a:ext cx="3478696" cy="34804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108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114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215</xdr:row>
      <xdr:rowOff>108857</xdr:rowOff>
    </xdr:from>
    <xdr:to>
      <xdr:col>12</xdr:col>
      <xdr:colOff>794657</xdr:colOff>
      <xdr:row>215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240</xdr:row>
      <xdr:rowOff>108857</xdr:rowOff>
    </xdr:from>
    <xdr:to>
      <xdr:col>12</xdr:col>
      <xdr:colOff>794657</xdr:colOff>
      <xdr:row>240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257</xdr:row>
      <xdr:rowOff>108857</xdr:rowOff>
    </xdr:from>
    <xdr:to>
      <xdr:col>12</xdr:col>
      <xdr:colOff>794657</xdr:colOff>
      <xdr:row>257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273</xdr:row>
      <xdr:rowOff>108857</xdr:rowOff>
    </xdr:from>
    <xdr:to>
      <xdr:col>12</xdr:col>
      <xdr:colOff>794657</xdr:colOff>
      <xdr:row>273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247223</xdr:colOff>
      <xdr:row>6</xdr:row>
      <xdr:rowOff>79554</xdr:rowOff>
    </xdr:from>
    <xdr:to>
      <xdr:col>42</xdr:col>
      <xdr:colOff>429779</xdr:colOff>
      <xdr:row>20</xdr:row>
      <xdr:rowOff>78755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1341" y="1155319"/>
          <a:ext cx="7571656" cy="2509318"/>
        </a:xfrm>
        <a:prstGeom prst="rect">
          <a:avLst/>
        </a:prstGeom>
      </xdr:spPr>
    </xdr:pic>
    <xdr:clientData/>
  </xdr:twoCellAnchor>
  <xdr:twoCellAnchor>
    <xdr:from>
      <xdr:col>41</xdr:col>
      <xdr:colOff>112509</xdr:colOff>
      <xdr:row>28</xdr:row>
      <xdr:rowOff>118983</xdr:rowOff>
    </xdr:from>
    <xdr:to>
      <xdr:col>41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14310</xdr:colOff>
      <xdr:row>34</xdr:row>
      <xdr:rowOff>152104</xdr:rowOff>
    </xdr:from>
    <xdr:to>
      <xdr:col>59</xdr:col>
      <xdr:colOff>16037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>
          <a:off x="26730214" y="6413357"/>
          <a:ext cx="1727" cy="1229198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312171</xdr:colOff>
      <xdr:row>190</xdr:row>
      <xdr:rowOff>41569</xdr:rowOff>
    </xdr:from>
    <xdr:to>
      <xdr:col>42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261989</xdr:colOff>
      <xdr:row>226</xdr:row>
      <xdr:rowOff>164898</xdr:rowOff>
    </xdr:from>
    <xdr:to>
      <xdr:col>27</xdr:col>
      <xdr:colOff>501</xdr:colOff>
      <xdr:row>244</xdr:row>
      <xdr:rowOff>141119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155718" y="42107186"/>
          <a:ext cx="4194275" cy="4076813"/>
        </a:xfrm>
        <a:prstGeom prst="rect">
          <a:avLst/>
        </a:prstGeom>
      </xdr:spPr>
    </xdr:pic>
    <xdr:clientData/>
  </xdr:twoCellAnchor>
  <xdr:twoCellAnchor>
    <xdr:from>
      <xdr:col>23</xdr:col>
      <xdr:colOff>647099</xdr:colOff>
      <xdr:row>195</xdr:row>
      <xdr:rowOff>25400</xdr:rowOff>
    </xdr:from>
    <xdr:to>
      <xdr:col>23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62</xdr:col>
      <xdr:colOff>258660</xdr:colOff>
      <xdr:row>184</xdr:row>
      <xdr:rowOff>33834</xdr:rowOff>
    </xdr:from>
    <xdr:to>
      <xdr:col>67</xdr:col>
      <xdr:colOff>617940</xdr:colOff>
      <xdr:row>195</xdr:row>
      <xdr:rowOff>154060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59</xdr:col>
      <xdr:colOff>338829</xdr:colOff>
      <xdr:row>195</xdr:row>
      <xdr:rowOff>42342</xdr:rowOff>
    </xdr:from>
    <xdr:to>
      <xdr:col>59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326530</xdr:colOff>
      <xdr:row>112</xdr:row>
      <xdr:rowOff>217823</xdr:rowOff>
    </xdr:from>
    <xdr:to>
      <xdr:col>42</xdr:col>
      <xdr:colOff>348617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1381829" y="21319361"/>
          <a:ext cx="22087" cy="290867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54</xdr:col>
      <xdr:colOff>116514</xdr:colOff>
      <xdr:row>84</xdr:row>
      <xdr:rowOff>144288</xdr:rowOff>
    </xdr:from>
    <xdr:to>
      <xdr:col>61</xdr:col>
      <xdr:colOff>717433</xdr:colOff>
      <xdr:row>101</xdr:row>
      <xdr:rowOff>473145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604423" y="14604970"/>
          <a:ext cx="6370358" cy="3819363"/>
        </a:xfrm>
        <a:prstGeom prst="rect">
          <a:avLst/>
        </a:prstGeom>
      </xdr:spPr>
    </xdr:pic>
    <xdr:clientData/>
  </xdr:twoCellAnchor>
  <xdr:twoCellAnchor>
    <xdr:from>
      <xdr:col>60</xdr:col>
      <xdr:colOff>519206</xdr:colOff>
      <xdr:row>115</xdr:row>
      <xdr:rowOff>251258</xdr:rowOff>
    </xdr:from>
    <xdr:to>
      <xdr:col>60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110427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53</xdr:col>
      <xdr:colOff>453329</xdr:colOff>
      <xdr:row>1</xdr:row>
      <xdr:rowOff>135587</xdr:rowOff>
    </xdr:from>
    <xdr:to>
      <xdr:col>59</xdr:col>
      <xdr:colOff>258766</xdr:colOff>
      <xdr:row>21</xdr:row>
      <xdr:rowOff>147683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39662" y="326087"/>
          <a:ext cx="5289731" cy="3822096"/>
        </a:xfrm>
        <a:prstGeom prst="rect">
          <a:avLst/>
        </a:prstGeom>
      </xdr:spPr>
    </xdr:pic>
    <xdr:clientData/>
  </xdr:twoCellAnchor>
  <xdr:twoCellAnchor>
    <xdr:from>
      <xdr:col>144</xdr:col>
      <xdr:colOff>173182</xdr:colOff>
      <xdr:row>126</xdr:row>
      <xdr:rowOff>127000</xdr:rowOff>
    </xdr:from>
    <xdr:to>
      <xdr:col>160</xdr:col>
      <xdr:colOff>170183</xdr:colOff>
      <xdr:row>126</xdr:row>
      <xdr:rowOff>166784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80206273" y="23483455"/>
          <a:ext cx="8563728" cy="39784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508000</xdr:colOff>
      <xdr:row>141</xdr:row>
      <xdr:rowOff>127000</xdr:rowOff>
    </xdr:from>
    <xdr:to>
      <xdr:col>161</xdr:col>
      <xdr:colOff>531576</xdr:colOff>
      <xdr:row>141</xdr:row>
      <xdr:rowOff>194788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455333" y="31496000"/>
          <a:ext cx="10225910" cy="6778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592667</xdr:colOff>
      <xdr:row>104</xdr:row>
      <xdr:rowOff>127000</xdr:rowOff>
    </xdr:from>
    <xdr:to>
      <xdr:col>162</xdr:col>
      <xdr:colOff>22018</xdr:colOff>
      <xdr:row>104</xdr:row>
      <xdr:rowOff>173010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540000" y="22860000"/>
          <a:ext cx="10309018" cy="4601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82312</xdr:colOff>
      <xdr:row>126</xdr:row>
      <xdr:rowOff>34636</xdr:rowOff>
    </xdr:from>
    <xdr:to>
      <xdr:col>136</xdr:col>
      <xdr:colOff>992909</xdr:colOff>
      <xdr:row>126</xdr:row>
      <xdr:rowOff>75644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 flipV="1">
          <a:off x="104522494" y="27408909"/>
          <a:ext cx="11855688" cy="4100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453351</xdr:colOff>
      <xdr:row>30</xdr:row>
      <xdr:rowOff>189376</xdr:rowOff>
    </xdr:from>
    <xdr:to>
      <xdr:col>13</xdr:col>
      <xdr:colOff>606888</xdr:colOff>
      <xdr:row>41</xdr:row>
      <xdr:rowOff>71153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53351" y="6148607"/>
          <a:ext cx="4822700" cy="2072876"/>
        </a:xfrm>
        <a:prstGeom prst="rect">
          <a:avLst/>
        </a:prstGeom>
      </xdr:spPr>
    </xdr:pic>
    <xdr:clientData/>
  </xdr:twoCellAnchor>
  <xdr:twoCellAnchor>
    <xdr:from>
      <xdr:col>22</xdr:col>
      <xdr:colOff>2142</xdr:colOff>
      <xdr:row>207</xdr:row>
      <xdr:rowOff>41794</xdr:rowOff>
    </xdr:from>
    <xdr:to>
      <xdr:col>22</xdr:col>
      <xdr:colOff>11759</xdr:colOff>
      <xdr:row>214</xdr:row>
      <xdr:rowOff>211667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4E4300FD-8D3E-48E9-AD07-9BC116EEB54C}"/>
            </a:ext>
          </a:extLst>
        </xdr:cNvPr>
        <xdr:cNvCxnSpPr/>
      </xdr:nvCxnSpPr>
      <xdr:spPr>
        <a:xfrm>
          <a:off x="10985290" y="37365683"/>
          <a:ext cx="9617" cy="1733854"/>
        </a:xfrm>
        <a:prstGeom prst="straightConnector1">
          <a:avLst/>
        </a:prstGeom>
        <a:ln w="508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9677</xdr:colOff>
      <xdr:row>215</xdr:row>
      <xdr:rowOff>0</xdr:rowOff>
    </xdr:from>
    <xdr:to>
      <xdr:col>28</xdr:col>
      <xdr:colOff>23519</xdr:colOff>
      <xdr:row>215</xdr:row>
      <xdr:rowOff>1478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D0DDE2EB-362C-43DC-ADFD-F97F8505782C}"/>
            </a:ext>
          </a:extLst>
        </xdr:cNvPr>
        <xdr:cNvCxnSpPr/>
      </xdr:nvCxnSpPr>
      <xdr:spPr>
        <a:xfrm flipV="1">
          <a:off x="14661714" y="39111296"/>
          <a:ext cx="695879" cy="1478"/>
        </a:xfrm>
        <a:prstGeom prst="straightConnector1">
          <a:avLst/>
        </a:prstGeom>
        <a:ln w="508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399814</xdr:colOff>
      <xdr:row>139</xdr:row>
      <xdr:rowOff>0</xdr:rowOff>
    </xdr:from>
    <xdr:to>
      <xdr:col>96</xdr:col>
      <xdr:colOff>186092</xdr:colOff>
      <xdr:row>139</xdr:row>
      <xdr:rowOff>7146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60477870" y="26834630"/>
          <a:ext cx="10416648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8382</xdr:colOff>
      <xdr:row>126</xdr:row>
      <xdr:rowOff>83589</xdr:rowOff>
    </xdr:from>
    <xdr:to>
      <xdr:col>116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139816</xdr:colOff>
      <xdr:row>42</xdr:row>
      <xdr:rowOff>128165</xdr:rowOff>
    </xdr:from>
    <xdr:to>
      <xdr:col>106</xdr:col>
      <xdr:colOff>237066</xdr:colOff>
      <xdr:row>42</xdr:row>
      <xdr:rowOff>152400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>
          <a:off x="50660183" y="8155963"/>
          <a:ext cx="38243855" cy="2423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514394</xdr:colOff>
      <xdr:row>104</xdr:row>
      <xdr:rowOff>127794</xdr:rowOff>
    </xdr:from>
    <xdr:to>
      <xdr:col>147</xdr:col>
      <xdr:colOff>560576</xdr:colOff>
      <xdr:row>126</xdr:row>
      <xdr:rowOff>58520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19145762" y="19217899"/>
          <a:ext cx="46182" cy="512435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101600</xdr:colOff>
      <xdr:row>126</xdr:row>
      <xdr:rowOff>127000</xdr:rowOff>
    </xdr:from>
    <xdr:to>
      <xdr:col>75</xdr:col>
      <xdr:colOff>736600</xdr:colOff>
      <xdr:row>127</xdr:row>
      <xdr:rowOff>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60375800" y="27990800"/>
          <a:ext cx="11734800" cy="7620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101600</xdr:colOff>
      <xdr:row>126</xdr:row>
      <xdr:rowOff>76200</xdr:rowOff>
    </xdr:from>
    <xdr:to>
      <xdr:col>57</xdr:col>
      <xdr:colOff>707572</xdr:colOff>
      <xdr:row>126</xdr:row>
      <xdr:rowOff>122464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519600" y="27940000"/>
          <a:ext cx="13331372" cy="4626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129352</xdr:colOff>
      <xdr:row>126</xdr:row>
      <xdr:rowOff>188148</xdr:rowOff>
    </xdr:from>
    <xdr:to>
      <xdr:col>39</xdr:col>
      <xdr:colOff>1081852</xdr:colOff>
      <xdr:row>127</xdr:row>
      <xdr:rowOff>23519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17627130" y="26717037"/>
          <a:ext cx="14699074" cy="3527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58615</xdr:colOff>
      <xdr:row>63</xdr:row>
      <xdr:rowOff>97692</xdr:rowOff>
    </xdr:from>
    <xdr:to>
      <xdr:col>38</xdr:col>
      <xdr:colOff>1362106</xdr:colOff>
      <xdr:row>63</xdr:row>
      <xdr:rowOff>165142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368000" y="13227538"/>
          <a:ext cx="12928875" cy="6745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169333</xdr:colOff>
      <xdr:row>42</xdr:row>
      <xdr:rowOff>127000</xdr:rowOff>
    </xdr:from>
    <xdr:to>
      <xdr:col>56</xdr:col>
      <xdr:colOff>653143</xdr:colOff>
      <xdr:row>42</xdr:row>
      <xdr:rowOff>149679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317333" y="9017000"/>
          <a:ext cx="13310810" cy="2267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50800</xdr:colOff>
      <xdr:row>206</xdr:row>
      <xdr:rowOff>173264</xdr:rowOff>
    </xdr:from>
    <xdr:to>
      <xdr:col>39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108547</xdr:colOff>
      <xdr:row>206</xdr:row>
      <xdr:rowOff>138669</xdr:rowOff>
    </xdr:from>
    <xdr:to>
      <xdr:col>57</xdr:col>
      <xdr:colOff>997158</xdr:colOff>
      <xdr:row>206</xdr:row>
      <xdr:rowOff>141111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 flipV="1">
          <a:off x="33692991" y="38097558"/>
          <a:ext cx="13621176" cy="244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65128</xdr:colOff>
      <xdr:row>206</xdr:row>
      <xdr:rowOff>59070</xdr:rowOff>
    </xdr:from>
    <xdr:to>
      <xdr:col>106</xdr:col>
      <xdr:colOff>280581</xdr:colOff>
      <xdr:row>206</xdr:row>
      <xdr:rowOff>151966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 flipV="1">
          <a:off x="67360361" y="37450233"/>
          <a:ext cx="19767546" cy="928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48786</xdr:colOff>
      <xdr:row>218</xdr:row>
      <xdr:rowOff>13608</xdr:rowOff>
    </xdr:from>
    <xdr:to>
      <xdr:col>94</xdr:col>
      <xdr:colOff>244827</xdr:colOff>
      <xdr:row>218</xdr:row>
      <xdr:rowOff>27462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28066225" y="34061998"/>
          <a:ext cx="7760285" cy="1385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614309</xdr:colOff>
      <xdr:row>207</xdr:row>
      <xdr:rowOff>126254</xdr:rowOff>
    </xdr:from>
    <xdr:to>
      <xdr:col>81</xdr:col>
      <xdr:colOff>664677</xdr:colOff>
      <xdr:row>251</xdr:row>
      <xdr:rowOff>44236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71683509" y="40677354"/>
          <a:ext cx="50368" cy="984938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565727</xdr:colOff>
      <xdr:row>127</xdr:row>
      <xdr:rowOff>87487</xdr:rowOff>
    </xdr:from>
    <xdr:to>
      <xdr:col>26</xdr:col>
      <xdr:colOff>565874</xdr:colOff>
      <xdr:row>142</xdr:row>
      <xdr:rowOff>138546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 flipH="1">
          <a:off x="23171727" y="27669578"/>
          <a:ext cx="147" cy="359551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960938</xdr:colOff>
      <xdr:row>43</xdr:row>
      <xdr:rowOff>7824</xdr:rowOff>
    </xdr:from>
    <xdr:to>
      <xdr:col>62</xdr:col>
      <xdr:colOff>964699</xdr:colOff>
      <xdr:row>55</xdr:row>
      <xdr:rowOff>76634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 flipH="1">
          <a:off x="51481305" y="8233696"/>
          <a:ext cx="3761" cy="274862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0</xdr:colOff>
      <xdr:row>56</xdr:row>
      <xdr:rowOff>0</xdr:rowOff>
    </xdr:from>
    <xdr:to>
      <xdr:col>76</xdr:col>
      <xdr:colOff>18144</xdr:colOff>
      <xdr:row>56</xdr:row>
      <xdr:rowOff>13361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>
          <a:off x="28003500" y="10767786"/>
          <a:ext cx="8218715" cy="1336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106</xdr:col>
      <xdr:colOff>418242</xdr:colOff>
      <xdr:row>128</xdr:row>
      <xdr:rowOff>133684</xdr:rowOff>
    </xdr:from>
    <xdr:to>
      <xdr:col>116</xdr:col>
      <xdr:colOff>483559</xdr:colOff>
      <xdr:row>204</xdr:row>
      <xdr:rowOff>197472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82033217" y="27805551"/>
          <a:ext cx="12630104" cy="6749528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106</xdr:col>
      <xdr:colOff>312062</xdr:colOff>
      <xdr:row>43</xdr:row>
      <xdr:rowOff>141517</xdr:rowOff>
    </xdr:from>
    <xdr:to>
      <xdr:col>116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508000</xdr:colOff>
      <xdr:row>127</xdr:row>
      <xdr:rowOff>0</xdr:rowOff>
    </xdr:from>
    <xdr:to>
      <xdr:col>147</xdr:col>
      <xdr:colOff>508000</xdr:colOff>
      <xdr:row>141</xdr:row>
      <xdr:rowOff>127000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B2079042-C9F1-4377-8086-64DF088B5457}"/>
            </a:ext>
          </a:extLst>
        </xdr:cNvPr>
        <xdr:cNvCxnSpPr/>
      </xdr:nvCxnSpPr>
      <xdr:spPr>
        <a:xfrm>
          <a:off x="129455333" y="27940000"/>
          <a:ext cx="0" cy="3556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5899</xdr:colOff>
      <xdr:row>118</xdr:row>
      <xdr:rowOff>58979</xdr:rowOff>
    </xdr:from>
    <xdr:to>
      <xdr:col>35</xdr:col>
      <xdr:colOff>1159630</xdr:colOff>
      <xdr:row>121</xdr:row>
      <xdr:rowOff>161358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049428" y="24936038"/>
          <a:ext cx="5169173" cy="793408"/>
        </a:xfrm>
        <a:prstGeom prst="rect">
          <a:avLst/>
        </a:prstGeom>
      </xdr:spPr>
    </xdr:pic>
    <xdr:clientData/>
  </xdr:twoCellAnchor>
  <xdr:twoCellAnchor>
    <xdr:from>
      <xdr:col>82</xdr:col>
      <xdr:colOff>294640</xdr:colOff>
      <xdr:row>114</xdr:row>
      <xdr:rowOff>182880</xdr:rowOff>
    </xdr:from>
    <xdr:to>
      <xdr:col>95</xdr:col>
      <xdr:colOff>732229</xdr:colOff>
      <xdr:row>114</xdr:row>
      <xdr:rowOff>197441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68651120" y="21722080"/>
          <a:ext cx="11684709" cy="1456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384724</xdr:colOff>
      <xdr:row>115</xdr:row>
      <xdr:rowOff>10330</xdr:rowOff>
    </xdr:from>
    <xdr:to>
      <xdr:col>82</xdr:col>
      <xdr:colOff>384979</xdr:colOff>
      <xdr:row>125</xdr:row>
      <xdr:rowOff>145015</xdr:rowOff>
    </xdr:to>
    <xdr:cxnSp macro="">
      <xdr:nvCxnSpPr>
        <xdr:cNvPr id="37" name="Connector: Elbow 36">
          <a:extLst>
            <a:ext uri="{FF2B5EF4-FFF2-40B4-BE49-F238E27FC236}">
              <a16:creationId xmlns:a16="http://schemas.microsoft.com/office/drawing/2014/main" id="{C9CA5D4C-23F3-D0D0-8F4A-30195778058D}"/>
            </a:ext>
          </a:extLst>
        </xdr:cNvPr>
        <xdr:cNvCxnSpPr/>
      </xdr:nvCxnSpPr>
      <xdr:spPr>
        <a:xfrm rot="5400000" flipH="1" flipV="1">
          <a:off x="67546229" y="22957865"/>
          <a:ext cx="2390205" cy="255"/>
        </a:xfrm>
        <a:prstGeom prst="bentConnector3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137</xdr:col>
      <xdr:colOff>280146</xdr:colOff>
      <xdr:row>128</xdr:row>
      <xdr:rowOff>37353</xdr:rowOff>
    </xdr:from>
    <xdr:to>
      <xdr:col>137</xdr:col>
      <xdr:colOff>288664</xdr:colOff>
      <xdr:row>152</xdr:row>
      <xdr:rowOff>199880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1770587" y="27155588"/>
          <a:ext cx="8518" cy="5989586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76709</xdr:colOff>
      <xdr:row>140</xdr:row>
      <xdr:rowOff>180282</xdr:rowOff>
    </xdr:from>
    <xdr:to>
      <xdr:col>137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4516891" y="30821918"/>
          <a:ext cx="10960745" cy="4446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438888</xdr:colOff>
      <xdr:row>140</xdr:row>
      <xdr:rowOff>166521</xdr:rowOff>
    </xdr:from>
    <xdr:to>
      <xdr:col>75</xdr:col>
      <xdr:colOff>801817</xdr:colOff>
      <xdr:row>140</xdr:row>
      <xdr:rowOff>185959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2612260" y="27294312"/>
          <a:ext cx="10434324" cy="194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102720</xdr:colOff>
      <xdr:row>129</xdr:row>
      <xdr:rowOff>214779</xdr:rowOff>
    </xdr:from>
    <xdr:to>
      <xdr:col>76</xdr:col>
      <xdr:colOff>121397</xdr:colOff>
      <xdr:row>152</xdr:row>
      <xdr:rowOff>233456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764338" y="27482426"/>
          <a:ext cx="18677" cy="558426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490265</xdr:colOff>
      <xdr:row>152</xdr:row>
      <xdr:rowOff>157773</xdr:rowOff>
    </xdr:from>
    <xdr:to>
      <xdr:col>75</xdr:col>
      <xdr:colOff>775565</xdr:colOff>
      <xdr:row>152</xdr:row>
      <xdr:rowOff>179124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2663637" y="29958471"/>
          <a:ext cx="10356695" cy="2135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137</xdr:col>
      <xdr:colOff>807256</xdr:colOff>
      <xdr:row>94</xdr:row>
      <xdr:rowOff>7013</xdr:rowOff>
    </xdr:from>
    <xdr:to>
      <xdr:col>146</xdr:col>
      <xdr:colOff>305249</xdr:colOff>
      <xdr:row>108</xdr:row>
      <xdr:rowOff>143521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2297697" y="19150395"/>
          <a:ext cx="6398948" cy="3535626"/>
        </a:xfrm>
        <a:prstGeom prst="rect">
          <a:avLst/>
        </a:prstGeom>
      </xdr:spPr>
    </xdr:pic>
    <xdr:clientData/>
  </xdr:twoCellAnchor>
  <xdr:twoCellAnchor>
    <xdr:from>
      <xdr:col>140</xdr:col>
      <xdr:colOff>367011</xdr:colOff>
      <xdr:row>116</xdr:row>
      <xdr:rowOff>211666</xdr:rowOff>
    </xdr:from>
    <xdr:to>
      <xdr:col>140</xdr:col>
      <xdr:colOff>381000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 flipH="1">
          <a:off x="124361344" y="25696333"/>
          <a:ext cx="13989" cy="176990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122070</xdr:colOff>
      <xdr:row>42</xdr:row>
      <xdr:rowOff>90451</xdr:rowOff>
    </xdr:from>
    <xdr:to>
      <xdr:col>20</xdr:col>
      <xdr:colOff>625535</xdr:colOff>
      <xdr:row>42</xdr:row>
      <xdr:rowOff>104306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 flipV="1">
          <a:off x="1465693" y="8363857"/>
          <a:ext cx="7893393" cy="1385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591491</xdr:colOff>
      <xdr:row>126</xdr:row>
      <xdr:rowOff>108858</xdr:rowOff>
    </xdr:from>
    <xdr:to>
      <xdr:col>20</xdr:col>
      <xdr:colOff>896389</xdr:colOff>
      <xdr:row>126</xdr:row>
      <xdr:rowOff>122712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 flipV="1">
          <a:off x="1932047" y="23933117"/>
          <a:ext cx="8265916" cy="138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100</xdr:col>
      <xdr:colOff>120007</xdr:colOff>
      <xdr:row>233</xdr:row>
      <xdr:rowOff>165652</xdr:rowOff>
    </xdr:from>
    <xdr:to>
      <xdr:col>144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3084007" y="52464252"/>
          <a:ext cx="34982793" cy="1214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116754</xdr:colOff>
      <xdr:row>206</xdr:row>
      <xdr:rowOff>141111</xdr:rowOff>
    </xdr:from>
    <xdr:to>
      <xdr:col>20</xdr:col>
      <xdr:colOff>976019</xdr:colOff>
      <xdr:row>206</xdr:row>
      <xdr:rowOff>144382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 flipV="1">
          <a:off x="1457310" y="37276852"/>
          <a:ext cx="8820283" cy="327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70</xdr:col>
      <xdr:colOff>577802</xdr:colOff>
      <xdr:row>85</xdr:row>
      <xdr:rowOff>88900</xdr:rowOff>
    </xdr:from>
    <xdr:to>
      <xdr:col>76</xdr:col>
      <xdr:colOff>273527</xdr:colOff>
      <xdr:row>97</xdr:row>
      <xdr:rowOff>108699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1047602" y="14846300"/>
          <a:ext cx="5568997" cy="2407399"/>
        </a:xfrm>
        <a:prstGeom prst="rect">
          <a:avLst/>
        </a:prstGeom>
      </xdr:spPr>
    </xdr:pic>
    <xdr:clientData/>
  </xdr:twoCellAnchor>
  <xdr:twoCellAnchor>
    <xdr:from>
      <xdr:col>114</xdr:col>
      <xdr:colOff>419404</xdr:colOff>
      <xdr:row>234</xdr:row>
      <xdr:rowOff>9050</xdr:rowOff>
    </xdr:from>
    <xdr:to>
      <xdr:col>114</xdr:col>
      <xdr:colOff>443492</xdr:colOff>
      <xdr:row>269</xdr:row>
      <xdr:rowOff>100793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7746F54D-88C5-714D-87B4-C57F3A6882EE}"/>
            </a:ext>
          </a:extLst>
        </xdr:cNvPr>
        <xdr:cNvCxnSpPr/>
      </xdr:nvCxnSpPr>
      <xdr:spPr>
        <a:xfrm>
          <a:off x="93109245" y="42745558"/>
          <a:ext cx="24088" cy="72884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123</xdr:col>
      <xdr:colOff>686665</xdr:colOff>
      <xdr:row>153</xdr:row>
      <xdr:rowOff>4887</xdr:rowOff>
    </xdr:from>
    <xdr:to>
      <xdr:col>123</xdr:col>
      <xdr:colOff>709706</xdr:colOff>
      <xdr:row>233</xdr:row>
      <xdr:rowOff>4887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08916812" y="33080916"/>
          <a:ext cx="23041" cy="17154339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765260</xdr:colOff>
      <xdr:row>225</xdr:row>
      <xdr:rowOff>197283</xdr:rowOff>
    </xdr:from>
    <xdr:to>
      <xdr:col>64</xdr:col>
      <xdr:colOff>32307</xdr:colOff>
      <xdr:row>269</xdr:row>
      <xdr:rowOff>173785</xdr:rowOff>
    </xdr:to>
    <xdr:cxnSp macro="">
      <xdr:nvCxnSpPr>
        <xdr:cNvPr id="109" name="Straight Arrow Connector 64">
          <a:extLst>
            <a:ext uri="{FF2B5EF4-FFF2-40B4-BE49-F238E27FC236}">
              <a16:creationId xmlns:a16="http://schemas.microsoft.com/office/drawing/2014/main" id="{ABBFA037-C30F-AF40-AC83-CEF11C779574}"/>
            </a:ext>
            <a:ext uri="{147F2762-F138-4A5C-976F-8EAC2B608ADB}">
              <a16:predDERef xmlns:a16="http://schemas.microsoft.com/office/drawing/2014/main" pred="{9637F37B-A0D9-CC40-B451-F05E4F7A5B64}"/>
            </a:ext>
          </a:extLst>
        </xdr:cNvPr>
        <xdr:cNvCxnSpPr>
          <a:cxnSpLocks/>
        </xdr:cNvCxnSpPr>
      </xdr:nvCxnSpPr>
      <xdr:spPr>
        <a:xfrm flipV="1">
          <a:off x="60557981" y="48616033"/>
          <a:ext cx="32782" cy="95575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28015</xdr:colOff>
      <xdr:row>269</xdr:row>
      <xdr:rowOff>161269</xdr:rowOff>
    </xdr:from>
    <xdr:to>
      <xdr:col>114</xdr:col>
      <xdr:colOff>302381</xdr:colOff>
      <xdr:row>270</xdr:row>
      <xdr:rowOff>121397</xdr:rowOff>
    </xdr:to>
    <xdr:cxnSp macro="">
      <xdr:nvCxnSpPr>
        <xdr:cNvPr id="87" name="Straight Arrow Connector 86">
          <a:extLst>
            <a:ext uri="{FF2B5EF4-FFF2-40B4-BE49-F238E27FC236}">
              <a16:creationId xmlns:a16="http://schemas.microsoft.com/office/drawing/2014/main" id="{63CD5872-5837-4E42-B227-E8D903285C30}"/>
            </a:ext>
          </a:extLst>
        </xdr:cNvPr>
        <xdr:cNvCxnSpPr/>
      </xdr:nvCxnSpPr>
      <xdr:spPr>
        <a:xfrm flipH="1">
          <a:off x="60586471" y="58161048"/>
          <a:ext cx="41988263" cy="14689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28015</xdr:colOff>
      <xdr:row>152</xdr:row>
      <xdr:rowOff>184727</xdr:rowOff>
    </xdr:from>
    <xdr:to>
      <xdr:col>137</xdr:col>
      <xdr:colOff>161636</xdr:colOff>
      <xdr:row>152</xdr:row>
      <xdr:rowOff>205441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 flipV="1">
          <a:off x="109005221" y="33017962"/>
          <a:ext cx="12067886" cy="2071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95</xdr:col>
      <xdr:colOff>59345</xdr:colOff>
      <xdr:row>218</xdr:row>
      <xdr:rowOff>116361</xdr:rowOff>
    </xdr:from>
    <xdr:to>
      <xdr:col>103</xdr:col>
      <xdr:colOff>17615</xdr:colOff>
      <xdr:row>223</xdr:row>
      <xdr:rowOff>30068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034111" y="39878043"/>
          <a:ext cx="5697197" cy="992693"/>
        </a:xfrm>
        <a:prstGeom prst="rect">
          <a:avLst/>
        </a:prstGeom>
      </xdr:spPr>
    </xdr:pic>
    <xdr:clientData/>
  </xdr:twoCellAnchor>
  <xdr:twoCellAnchor>
    <xdr:from>
      <xdr:col>97</xdr:col>
      <xdr:colOff>178037</xdr:colOff>
      <xdr:row>229</xdr:row>
      <xdr:rowOff>0</xdr:rowOff>
    </xdr:from>
    <xdr:to>
      <xdr:col>97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18676</xdr:colOff>
      <xdr:row>225</xdr:row>
      <xdr:rowOff>130735</xdr:rowOff>
    </xdr:from>
    <xdr:to>
      <xdr:col>76</xdr:col>
      <xdr:colOff>233630</xdr:colOff>
      <xdr:row>225</xdr:row>
      <xdr:rowOff>194318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25F9568F-1E54-364B-AAE5-B5B324A91FD9}"/>
            </a:ext>
          </a:extLst>
        </xdr:cNvPr>
        <xdr:cNvCxnSpPr/>
      </xdr:nvCxnSpPr>
      <xdr:spPr>
        <a:xfrm>
          <a:off x="60577132" y="48549485"/>
          <a:ext cx="11318116" cy="6358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108547</xdr:colOff>
      <xdr:row>206</xdr:row>
      <xdr:rowOff>138669</xdr:rowOff>
    </xdr:from>
    <xdr:to>
      <xdr:col>75</xdr:col>
      <xdr:colOff>997158</xdr:colOff>
      <xdr:row>206</xdr:row>
      <xdr:rowOff>141111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 flipV="1">
          <a:off x="33704280" y="37493602"/>
          <a:ext cx="13656345" cy="244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193602</xdr:colOff>
      <xdr:row>233</xdr:row>
      <xdr:rowOff>157023</xdr:rowOff>
    </xdr:from>
    <xdr:to>
      <xdr:col>94</xdr:col>
      <xdr:colOff>389643</xdr:colOff>
      <xdr:row>233</xdr:row>
      <xdr:rowOff>170877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 flipV="1">
          <a:off x="68400758" y="43546748"/>
          <a:ext cx="10658977" cy="1385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65568</xdr:colOff>
      <xdr:row>242</xdr:row>
      <xdr:rowOff>176019</xdr:rowOff>
    </xdr:from>
    <xdr:to>
      <xdr:col>76</xdr:col>
      <xdr:colOff>38196</xdr:colOff>
      <xdr:row>242</xdr:row>
      <xdr:rowOff>210075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59841508" y="52857147"/>
          <a:ext cx="11832327" cy="3405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193602</xdr:colOff>
      <xdr:row>250</xdr:row>
      <xdr:rowOff>157023</xdr:rowOff>
    </xdr:from>
    <xdr:to>
      <xdr:col>94</xdr:col>
      <xdr:colOff>389643</xdr:colOff>
      <xdr:row>250</xdr:row>
      <xdr:rowOff>170877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68400758" y="43546748"/>
          <a:ext cx="10658977" cy="1385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52</xdr:col>
      <xdr:colOff>853437</xdr:colOff>
      <xdr:row>251</xdr:row>
      <xdr:rowOff>179973</xdr:rowOff>
    </xdr:from>
    <xdr:to>
      <xdr:col>56</xdr:col>
      <xdr:colOff>608106</xdr:colOff>
      <xdr:row>266</xdr:row>
      <xdr:rowOff>2842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4AE2113A-FFF2-73DC-89E4-59B9127D8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327408" y="54603208"/>
          <a:ext cx="3975551" cy="3006990"/>
        </a:xfrm>
        <a:prstGeom prst="rect">
          <a:avLst/>
        </a:prstGeom>
      </xdr:spPr>
    </xdr:pic>
    <xdr:clientData/>
  </xdr:twoCellAnchor>
  <xdr:twoCellAnchor>
    <xdr:from>
      <xdr:col>76</xdr:col>
      <xdr:colOff>229173</xdr:colOff>
      <xdr:row>210</xdr:row>
      <xdr:rowOff>93707</xdr:rowOff>
    </xdr:from>
    <xdr:to>
      <xdr:col>76</xdr:col>
      <xdr:colOff>286221</xdr:colOff>
      <xdr:row>255</xdr:row>
      <xdr:rowOff>85940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71864812" y="45517692"/>
          <a:ext cx="57048" cy="101999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85</xdr:col>
      <xdr:colOff>0</xdr:colOff>
      <xdr:row>194</xdr:row>
      <xdr:rowOff>0</xdr:rowOff>
    </xdr:from>
    <xdr:to>
      <xdr:col>85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39687</xdr:colOff>
      <xdr:row>222</xdr:row>
      <xdr:rowOff>158750</xdr:rowOff>
    </xdr:from>
    <xdr:to>
      <xdr:col>20</xdr:col>
      <xdr:colOff>1075238</xdr:colOff>
      <xdr:row>222</xdr:row>
      <xdr:rowOff>180799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794375" y="49152969"/>
          <a:ext cx="12306801" cy="2204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236</xdr:row>
      <xdr:rowOff>201128</xdr:rowOff>
    </xdr:from>
    <xdr:to>
      <xdr:col>20</xdr:col>
      <xdr:colOff>907013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715000" y="52449722"/>
          <a:ext cx="12217951" cy="5684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218354</xdr:colOff>
      <xdr:row>59</xdr:row>
      <xdr:rowOff>179211</xdr:rowOff>
    </xdr:from>
    <xdr:to>
      <xdr:col>20</xdr:col>
      <xdr:colOff>1077619</xdr:colOff>
      <xdr:row>59</xdr:row>
      <xdr:rowOff>182482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 flipV="1">
          <a:off x="1589954" y="12193411"/>
          <a:ext cx="11412965" cy="327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10763</xdr:colOff>
      <xdr:row>72</xdr:row>
      <xdr:rowOff>161440</xdr:rowOff>
    </xdr:from>
    <xdr:to>
      <xdr:col>21</xdr:col>
      <xdr:colOff>93420</xdr:colOff>
      <xdr:row>73</xdr:row>
      <xdr:rowOff>32288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1382947" y="47501785"/>
          <a:ext cx="11790013" cy="10441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59531</xdr:colOff>
      <xdr:row>43</xdr:row>
      <xdr:rowOff>0</xdr:rowOff>
    </xdr:from>
    <xdr:to>
      <xdr:col>27</xdr:col>
      <xdr:colOff>78153</xdr:colOff>
      <xdr:row>63</xdr:row>
      <xdr:rowOff>58616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>
          <a:off x="23368916" y="8518769"/>
          <a:ext cx="18622" cy="466969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152400</xdr:colOff>
      <xdr:row>42</xdr:row>
      <xdr:rowOff>101600</xdr:rowOff>
    </xdr:from>
    <xdr:to>
      <xdr:col>38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56800" y="8788400"/>
          <a:ext cx="13462000" cy="1016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65766</xdr:colOff>
      <xdr:row>46</xdr:row>
      <xdr:rowOff>9466</xdr:rowOff>
    </xdr:from>
    <xdr:to>
      <xdr:col>21</xdr:col>
      <xdr:colOff>78874</xdr:colOff>
      <xdr:row>72</xdr:row>
      <xdr:rowOff>80856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3095025" y="8993540"/>
          <a:ext cx="13108" cy="579814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218354</xdr:colOff>
      <xdr:row>140</xdr:row>
      <xdr:rowOff>179211</xdr:rowOff>
    </xdr:from>
    <xdr:to>
      <xdr:col>20</xdr:col>
      <xdr:colOff>1077619</xdr:colOff>
      <xdr:row>140</xdr:row>
      <xdr:rowOff>182482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 flipV="1">
          <a:off x="1612256" y="12011894"/>
          <a:ext cx="11421948" cy="327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645764</xdr:colOff>
      <xdr:row>163</xdr:row>
      <xdr:rowOff>138349</xdr:rowOff>
    </xdr:from>
    <xdr:to>
      <xdr:col>21</xdr:col>
      <xdr:colOff>24148</xdr:colOff>
      <xdr:row>164</xdr:row>
      <xdr:rowOff>9197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 flipV="1">
          <a:off x="6372309" y="36125531"/>
          <a:ext cx="11789748" cy="786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218354</xdr:colOff>
      <xdr:row>151</xdr:row>
      <xdr:rowOff>179211</xdr:rowOff>
    </xdr:from>
    <xdr:to>
      <xdr:col>20</xdr:col>
      <xdr:colOff>1077619</xdr:colOff>
      <xdr:row>151</xdr:row>
      <xdr:rowOff>182482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 flipV="1">
          <a:off x="1582428" y="29965415"/>
          <a:ext cx="11395561" cy="327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34636</xdr:colOff>
      <xdr:row>142</xdr:row>
      <xdr:rowOff>92364</xdr:rowOff>
    </xdr:from>
    <xdr:to>
      <xdr:col>39</xdr:col>
      <xdr:colOff>1090146</xdr:colOff>
      <xdr:row>142</xdr:row>
      <xdr:rowOff>188233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368000" y="31218909"/>
          <a:ext cx="14078782" cy="95869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125</xdr:col>
      <xdr:colOff>20375</xdr:colOff>
      <xdr:row>114</xdr:row>
      <xdr:rowOff>110020</xdr:rowOff>
    </xdr:from>
    <xdr:to>
      <xdr:col>136</xdr:col>
      <xdr:colOff>939919</xdr:colOff>
      <xdr:row>114</xdr:row>
      <xdr:rowOff>139054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10323610" y="24053255"/>
          <a:ext cx="11098221" cy="2903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137</xdr:col>
      <xdr:colOff>261471</xdr:colOff>
      <xdr:row>101</xdr:row>
      <xdr:rowOff>18677</xdr:rowOff>
    </xdr:from>
    <xdr:to>
      <xdr:col>137</xdr:col>
      <xdr:colOff>280147</xdr:colOff>
      <xdr:row>125</xdr:row>
      <xdr:rowOff>37353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751912" y="20674853"/>
          <a:ext cx="18676" cy="5827059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704273</xdr:colOff>
      <xdr:row>101</xdr:row>
      <xdr:rowOff>357908</xdr:rowOff>
    </xdr:from>
    <xdr:to>
      <xdr:col>136</xdr:col>
      <xdr:colOff>914111</xdr:colOff>
      <xdr:row>101</xdr:row>
      <xdr:rowOff>386942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4394000" y="21693908"/>
          <a:ext cx="10924020" cy="2903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43674</xdr:colOff>
      <xdr:row>215</xdr:row>
      <xdr:rowOff>130785</xdr:rowOff>
    </xdr:from>
    <xdr:to>
      <xdr:col>3</xdr:col>
      <xdr:colOff>97938</xdr:colOff>
      <xdr:row>216</xdr:row>
      <xdr:rowOff>153876</xdr:rowOff>
    </xdr:to>
    <xdr:pic>
      <xdr:nvPicPr>
        <xdr:cNvPr id="2084" name="Picture 2083">
          <a:extLst>
            <a:ext uri="{FF2B5EF4-FFF2-40B4-BE49-F238E27FC236}">
              <a16:creationId xmlns:a16="http://schemas.microsoft.com/office/drawing/2014/main" id="{529E50FC-7C97-17BB-D82C-8FC8B6ED8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82947" y="47501785"/>
          <a:ext cx="723900" cy="254000"/>
        </a:xfrm>
        <a:prstGeom prst="rect">
          <a:avLst/>
        </a:prstGeom>
      </xdr:spPr>
    </xdr:pic>
    <xdr:clientData/>
  </xdr:twoCellAnchor>
  <xdr:twoCellAnchor>
    <xdr:from>
      <xdr:col>82</xdr:col>
      <xdr:colOff>377264</xdr:colOff>
      <xdr:row>127</xdr:row>
      <xdr:rowOff>18924</xdr:rowOff>
    </xdr:from>
    <xdr:to>
      <xdr:col>82</xdr:col>
      <xdr:colOff>392206</xdr:colOff>
      <xdr:row>138</xdr:row>
      <xdr:rowOff>168088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7212264" y="26894365"/>
          <a:ext cx="14942" cy="272651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1087475</xdr:colOff>
      <xdr:row>206</xdr:row>
      <xdr:rowOff>67340</xdr:rowOff>
    </xdr:from>
    <xdr:to>
      <xdr:col>21</xdr:col>
      <xdr:colOff>7054</xdr:colOff>
      <xdr:row>237</xdr:row>
      <xdr:rowOff>19823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H="1" flipV="1">
          <a:off x="18283275" y="46168340"/>
          <a:ext cx="62579" cy="708988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254000</xdr:colOff>
      <xdr:row>228</xdr:row>
      <xdr:rowOff>20864</xdr:rowOff>
    </xdr:from>
    <xdr:to>
      <xdr:col>40</xdr:col>
      <xdr:colOff>129820</xdr:colOff>
      <xdr:row>228</xdr:row>
      <xdr:rowOff>25400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 flipV="1">
          <a:off x="23469600" y="52243264"/>
          <a:ext cx="139474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131277</xdr:colOff>
      <xdr:row>207</xdr:row>
      <xdr:rowOff>37354</xdr:rowOff>
    </xdr:from>
    <xdr:to>
      <xdr:col>27</xdr:col>
      <xdr:colOff>177800</xdr:colOff>
      <xdr:row>228</xdr:row>
      <xdr:rowOff>152400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>
          <a:off x="23702477" y="46341554"/>
          <a:ext cx="46523" cy="496644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152400</xdr:colOff>
      <xdr:row>130</xdr:row>
      <xdr:rowOff>203200</xdr:rowOff>
    </xdr:from>
    <xdr:to>
      <xdr:col>21</xdr:col>
      <xdr:colOff>152400</xdr:colOff>
      <xdr:row>164</xdr:row>
      <xdr:rowOff>50800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V="1">
          <a:off x="18186400" y="29616400"/>
          <a:ext cx="0" cy="833120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226101</xdr:colOff>
      <xdr:row>254</xdr:row>
      <xdr:rowOff>195781</xdr:rowOff>
    </xdr:from>
    <xdr:to>
      <xdr:col>76</xdr:col>
      <xdr:colOff>175302</xdr:colOff>
      <xdr:row>255</xdr:row>
      <xdr:rowOff>8942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 flipV="1">
          <a:off x="60002041" y="55598337"/>
          <a:ext cx="11808900" cy="4233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441113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137160</xdr:colOff>
      <xdr:row>2</xdr:row>
      <xdr:rowOff>108857</xdr:rowOff>
    </xdr:from>
    <xdr:to>
      <xdr:col>10</xdr:col>
      <xdr:colOff>794657</xdr:colOff>
      <xdr:row>2</xdr:row>
      <xdr:rowOff>114300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9DE57701-9F79-4B44-8EE4-C4523B60DE65}"/>
            </a:ext>
          </a:extLst>
        </xdr:cNvPr>
        <xdr:cNvCxnSpPr/>
      </xdr:nvCxnSpPr>
      <xdr:spPr>
        <a:xfrm flipV="1">
          <a:off x="7884160" y="48985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33</xdr:row>
      <xdr:rowOff>0</xdr:rowOff>
    </xdr:from>
    <xdr:to>
      <xdr:col>14</xdr:col>
      <xdr:colOff>121920</xdr:colOff>
      <xdr:row>33</xdr:row>
      <xdr:rowOff>38100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73DB0872-F616-D84E-8C67-3B1D74329212}"/>
            </a:ext>
          </a:extLst>
        </xdr:cNvPr>
        <xdr:cNvCxnSpPr/>
      </xdr:nvCxnSpPr>
      <xdr:spPr>
        <a:xfrm>
          <a:off x="2019300" y="6972300"/>
          <a:ext cx="962152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50800</xdr:colOff>
      <xdr:row>46</xdr:row>
      <xdr:rowOff>180340</xdr:rowOff>
    </xdr:from>
    <xdr:to>
      <xdr:col>14</xdr:col>
      <xdr:colOff>172720</xdr:colOff>
      <xdr:row>46</xdr:row>
      <xdr:rowOff>218440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11C0FF7-6D63-C943-9A47-CDF2841F4AD8}"/>
            </a:ext>
          </a:extLst>
        </xdr:cNvPr>
        <xdr:cNvCxnSpPr/>
      </xdr:nvCxnSpPr>
      <xdr:spPr>
        <a:xfrm>
          <a:off x="1849120" y="10462260"/>
          <a:ext cx="886968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152400</xdr:colOff>
      <xdr:row>33</xdr:row>
      <xdr:rowOff>30480</xdr:rowOff>
    </xdr:from>
    <xdr:to>
      <xdr:col>16</xdr:col>
      <xdr:colOff>449580</xdr:colOff>
      <xdr:row>38</xdr:row>
      <xdr:rowOff>0</xdr:rowOff>
    </xdr:to>
    <xdr:cxnSp macro="">
      <xdr:nvCxnSpPr>
        <xdr:cNvPr id="5" name="Connector: Elbow 8">
          <a:extLst>
            <a:ext uri="{FF2B5EF4-FFF2-40B4-BE49-F238E27FC236}">
              <a16:creationId xmlns:a16="http://schemas.microsoft.com/office/drawing/2014/main" id="{93A2418E-CA66-AE41-A4EA-2B0986F61226}"/>
            </a:ext>
          </a:extLst>
        </xdr:cNvPr>
        <xdr:cNvCxnSpPr/>
      </xdr:nvCxnSpPr>
      <xdr:spPr>
        <a:xfrm>
          <a:off x="11671300" y="7002780"/>
          <a:ext cx="2418080" cy="103632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254000</xdr:colOff>
      <xdr:row>39</xdr:row>
      <xdr:rowOff>0</xdr:rowOff>
    </xdr:from>
    <xdr:to>
      <xdr:col>16</xdr:col>
      <xdr:colOff>396240</xdr:colOff>
      <xdr:row>46</xdr:row>
      <xdr:rowOff>193040</xdr:rowOff>
    </xdr:to>
    <xdr:cxnSp macro="">
      <xdr:nvCxnSpPr>
        <xdr:cNvPr id="6" name="Connector: Elbow 12">
          <a:extLst>
            <a:ext uri="{FF2B5EF4-FFF2-40B4-BE49-F238E27FC236}">
              <a16:creationId xmlns:a16="http://schemas.microsoft.com/office/drawing/2014/main" id="{F01BF0FB-693F-8641-A857-BDCE921F6B9A}"/>
            </a:ext>
          </a:extLst>
        </xdr:cNvPr>
        <xdr:cNvCxnSpPr/>
      </xdr:nvCxnSpPr>
      <xdr:spPr>
        <a:xfrm flipV="1">
          <a:off x="10800080" y="8636000"/>
          <a:ext cx="2042160" cy="183896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54429</xdr:colOff>
      <xdr:row>38</xdr:row>
      <xdr:rowOff>97971</xdr:rowOff>
    </xdr:from>
    <xdr:to>
      <xdr:col>34</xdr:col>
      <xdr:colOff>601980</xdr:colOff>
      <xdr:row>38</xdr:row>
      <xdr:rowOff>137160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69A13529-A29F-2045-B655-5AC11B7B59DE}"/>
            </a:ext>
          </a:extLst>
        </xdr:cNvPr>
        <xdr:cNvCxnSpPr/>
      </xdr:nvCxnSpPr>
      <xdr:spPr>
        <a:xfrm>
          <a:off x="17097829" y="8137071"/>
          <a:ext cx="10504351" cy="3918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87086</xdr:colOff>
      <xdr:row>38</xdr:row>
      <xdr:rowOff>175172</xdr:rowOff>
    </xdr:from>
    <xdr:to>
      <xdr:col>62</xdr:col>
      <xdr:colOff>551793</xdr:colOff>
      <xdr:row>38</xdr:row>
      <xdr:rowOff>184745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C2C3332-5B89-264F-963C-BD6A5B9C5159}"/>
            </a:ext>
          </a:extLst>
        </xdr:cNvPr>
        <xdr:cNvCxnSpPr/>
      </xdr:nvCxnSpPr>
      <xdr:spPr>
        <a:xfrm flipV="1">
          <a:off x="28911707" y="8128000"/>
          <a:ext cx="16878362" cy="957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81239</xdr:colOff>
      <xdr:row>38</xdr:row>
      <xdr:rowOff>99776</xdr:rowOff>
    </xdr:from>
    <xdr:to>
      <xdr:col>87</xdr:col>
      <xdr:colOff>108607</xdr:colOff>
      <xdr:row>38</xdr:row>
      <xdr:rowOff>108606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3E922C4-0ABF-4B4E-8A4F-04BBB1C0C8D0}"/>
            </a:ext>
          </a:extLst>
        </xdr:cNvPr>
        <xdr:cNvCxnSpPr/>
      </xdr:nvCxnSpPr>
      <xdr:spPr>
        <a:xfrm>
          <a:off x="48017966" y="8590633"/>
          <a:ext cx="16583550" cy="883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235835</xdr:colOff>
      <xdr:row>22</xdr:row>
      <xdr:rowOff>114300</xdr:rowOff>
    </xdr:from>
    <xdr:to>
      <xdr:col>65</xdr:col>
      <xdr:colOff>254000</xdr:colOff>
      <xdr:row>36</xdr:row>
      <xdr:rowOff>144683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793DCD27-3709-19E3-C33F-5ACE47B13426}"/>
            </a:ext>
          </a:extLst>
        </xdr:cNvPr>
        <xdr:cNvCxnSpPr/>
      </xdr:nvCxnSpPr>
      <xdr:spPr>
        <a:xfrm flipV="1">
          <a:off x="52255035" y="4724400"/>
          <a:ext cx="18165" cy="343398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630430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spatguru.com/coke-oven-gas-generation-and-usage/" TargetMode="External"/><Relationship Id="rId2" Type="http://schemas.openxmlformats.org/officeDocument/2006/relationships/hyperlink" Target="https://www.ispatguru.com/coke-oven-gas-generation-and-usage/" TargetMode="External"/><Relationship Id="rId1" Type="http://schemas.openxmlformats.org/officeDocument/2006/relationships/hyperlink" Target="https://www.economics.utoronto.ca/munro5/BlastFurnaceHydraulic.pdf" TargetMode="Externa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researchgate.net/publication/332584346_Isothermal_Kinetic_Mechanism_of_Coke_Dissolving_in_Hot_Metal" TargetMode="External"/><Relationship Id="rId13" Type="http://schemas.openxmlformats.org/officeDocument/2006/relationships/hyperlink" Target="https://www.dmre.gov.za/Portals/0/Energy_Website/files/media/explained/statistics_energyoutlook_2002.pdf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ispatguru.com/calcination-of-limestone/" TargetMode="External"/><Relationship Id="rId2" Type="http://schemas.openxmlformats.org/officeDocument/2006/relationships/hyperlink" Target="https://www.energy.gov/sites/prod/files/2013/11/f4/stone.pdf" TargetMode="Externa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energy.gov/sites/prod/files/2015/08/f26/iron_and_steel_bandwidth_report_0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drawing" Target="../drawings/drawing2.xml"/><Relationship Id="rId10" Type="http://schemas.openxmlformats.org/officeDocument/2006/relationships/hyperlink" Target="https://www.ispatguru.com/calcination-of-limestone/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energy.gov/sites/prod/files/2013/11/f4/stone.pdf" TargetMode="External"/><Relationship Id="rId14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D9C8D-AF2D-4EFA-8F57-DA599DBFB7D5}">
  <dimension ref="B2:AF56"/>
  <sheetViews>
    <sheetView zoomScale="125" workbookViewId="0">
      <selection activeCell="N18" sqref="N18"/>
    </sheetView>
  </sheetViews>
  <sheetFormatPr baseColWidth="10" defaultColWidth="8.83203125" defaultRowHeight="15" x14ac:dyDescent="0.2"/>
  <cols>
    <col min="1" max="1" width="8.83203125" style="3"/>
    <col min="2" max="2" width="9.83203125" style="3" customWidth="1"/>
    <col min="3" max="18" width="8.83203125" style="3"/>
    <col min="19" max="19" width="9.83203125" style="3" bestFit="1" customWidth="1"/>
    <col min="20" max="20" width="10.5" style="3" bestFit="1" customWidth="1"/>
    <col min="21" max="21" width="12.1640625" style="3" bestFit="1" customWidth="1"/>
    <col min="22" max="22" width="11.5" style="3" bestFit="1" customWidth="1"/>
    <col min="23" max="23" width="15.83203125" style="3" bestFit="1" customWidth="1"/>
    <col min="24" max="24" width="11.5" style="3" bestFit="1" customWidth="1"/>
    <col min="25" max="25" width="11.5" style="3" customWidth="1"/>
    <col min="26" max="31" width="8.83203125" style="3"/>
    <col min="32" max="32" width="12.33203125" style="3" bestFit="1" customWidth="1"/>
    <col min="33" max="16384" width="8.83203125" style="3"/>
  </cols>
  <sheetData>
    <row r="2" spans="2:32" ht="17" x14ac:dyDescent="0.25">
      <c r="P2" s="285" t="s">
        <v>103</v>
      </c>
      <c r="Q2" s="286"/>
      <c r="R2" s="285" t="s">
        <v>109</v>
      </c>
      <c r="S2" s="286"/>
      <c r="U2" s="287" t="s">
        <v>234</v>
      </c>
      <c r="V2" s="287"/>
      <c r="W2" s="13" t="s">
        <v>52</v>
      </c>
      <c r="Z2" s="3" t="s">
        <v>346</v>
      </c>
      <c r="AC2" s="3" t="s">
        <v>410</v>
      </c>
      <c r="AF2" s="3" t="s">
        <v>431</v>
      </c>
    </row>
    <row r="3" spans="2:32" ht="18" x14ac:dyDescent="0.25">
      <c r="C3" s="13" t="s">
        <v>54</v>
      </c>
      <c r="D3" s="20" t="s">
        <v>5</v>
      </c>
      <c r="E3" s="35" t="s">
        <v>6</v>
      </c>
      <c r="G3" s="13" t="s">
        <v>55</v>
      </c>
      <c r="H3" s="19" t="s">
        <v>56</v>
      </c>
      <c r="K3" s="13" t="s">
        <v>57</v>
      </c>
      <c r="L3" s="13" t="s">
        <v>100</v>
      </c>
      <c r="M3" s="13" t="s">
        <v>111</v>
      </c>
      <c r="O3" s="13" t="s">
        <v>101</v>
      </c>
      <c r="P3" s="13" t="s">
        <v>40</v>
      </c>
      <c r="Q3" s="13" t="s">
        <v>102</v>
      </c>
      <c r="R3" s="13" t="s">
        <v>104</v>
      </c>
      <c r="S3" s="13" t="s">
        <v>105</v>
      </c>
      <c r="U3" s="13" t="s">
        <v>233</v>
      </c>
      <c r="V3" s="13" t="s">
        <v>240</v>
      </c>
      <c r="W3" s="13" t="s">
        <v>53</v>
      </c>
      <c r="Y3" s="3" t="s">
        <v>41</v>
      </c>
      <c r="Z3" s="3" t="s">
        <v>347</v>
      </c>
      <c r="AB3" s="3" t="s">
        <v>411</v>
      </c>
      <c r="AC3" s="3">
        <v>1.667</v>
      </c>
      <c r="AE3" s="13" t="s">
        <v>65</v>
      </c>
      <c r="AF3" s="213">
        <v>104.974234</v>
      </c>
    </row>
    <row r="4" spans="2:32" ht="18" x14ac:dyDescent="0.25">
      <c r="C4" s="13" t="s">
        <v>58</v>
      </c>
      <c r="D4" s="20" t="s">
        <v>59</v>
      </c>
      <c r="E4" s="35" t="s">
        <v>14</v>
      </c>
      <c r="G4" s="13" t="s">
        <v>60</v>
      </c>
      <c r="H4" s="19" t="s">
        <v>61</v>
      </c>
      <c r="K4" s="13" t="s">
        <v>62</v>
      </c>
      <c r="L4" s="13" t="s">
        <v>63</v>
      </c>
      <c r="M4" s="13" t="s">
        <v>58</v>
      </c>
      <c r="O4" s="13" t="s">
        <v>41</v>
      </c>
      <c r="P4" s="4" t="s">
        <v>107</v>
      </c>
      <c r="Q4" s="61" t="s">
        <v>110</v>
      </c>
      <c r="R4" s="4" t="s">
        <v>107</v>
      </c>
      <c r="S4" s="61" t="s">
        <v>110</v>
      </c>
      <c r="U4" s="13">
        <v>1.0550600000000001</v>
      </c>
      <c r="V4" s="13">
        <v>3600</v>
      </c>
      <c r="W4" s="13">
        <v>1000</v>
      </c>
      <c r="Y4" s="13" t="s">
        <v>65</v>
      </c>
      <c r="Z4" s="13">
        <f>1000*50</f>
        <v>50000</v>
      </c>
      <c r="AB4" s="3" t="s">
        <v>84</v>
      </c>
      <c r="AC4" s="3">
        <v>2.2999999999999998</v>
      </c>
    </row>
    <row r="5" spans="2:32" ht="17" x14ac:dyDescent="0.25">
      <c r="B5" s="1" t="s">
        <v>18</v>
      </c>
      <c r="C5" s="13">
        <v>0</v>
      </c>
      <c r="D5" s="15">
        <f>12.011/1000</f>
        <v>1.2010999999999999E-2</v>
      </c>
      <c r="E5" s="35">
        <f>H5</f>
        <v>410.3</v>
      </c>
      <c r="G5" s="13" t="s">
        <v>18</v>
      </c>
      <c r="H5" s="13">
        <v>410.3</v>
      </c>
      <c r="K5" s="13">
        <f>8.314/1000</f>
        <v>8.3140000000000002E-3</v>
      </c>
      <c r="L5" s="13">
        <f>273.15</f>
        <v>273.14999999999998</v>
      </c>
      <c r="M5" s="13">
        <f>K5*L5</f>
        <v>2.2709690999999999</v>
      </c>
      <c r="O5" s="13" t="s">
        <v>23</v>
      </c>
      <c r="P5" s="13">
        <f>115131.4/1000</f>
        <v>115.1314</v>
      </c>
      <c r="Q5" s="13">
        <f>315.97/1000</f>
        <v>0.31597000000000003</v>
      </c>
      <c r="R5" s="13">
        <v>9.3640000000000008</v>
      </c>
      <c r="S5" s="13">
        <v>0.21368500000000001</v>
      </c>
      <c r="U5" s="13" t="s">
        <v>467</v>
      </c>
      <c r="Y5" s="61" t="s">
        <v>501</v>
      </c>
      <c r="Z5" s="13">
        <v>43400</v>
      </c>
    </row>
    <row r="6" spans="2:32" ht="18" x14ac:dyDescent="0.25">
      <c r="B6" s="1" t="s">
        <v>21</v>
      </c>
      <c r="C6" s="13">
        <v>-1128.8432</v>
      </c>
      <c r="D6" s="15">
        <f>(40.078+12.011+(3*15.9994))/1000</f>
        <v>0.1000872</v>
      </c>
      <c r="E6" s="36">
        <f>H6+H5+((3/2)*H9)+C6</f>
        <v>11.256799999999885</v>
      </c>
      <c r="G6" s="13" t="s">
        <v>31</v>
      </c>
      <c r="H6" s="13">
        <v>723.8</v>
      </c>
      <c r="O6" s="13" t="s">
        <v>68</v>
      </c>
      <c r="P6" s="13">
        <f>94827.84/1000</f>
        <v>94.827839999999995</v>
      </c>
      <c r="Q6" s="13">
        <f>270.35/1000</f>
        <v>0.27035000000000003</v>
      </c>
      <c r="R6" s="13">
        <v>9.9039999999999999</v>
      </c>
      <c r="S6" s="13">
        <v>0.18872</v>
      </c>
      <c r="U6" s="13">
        <f>4.184/1000</f>
        <v>4.1840000000000002E-3</v>
      </c>
      <c r="Y6" s="61" t="s">
        <v>526</v>
      </c>
      <c r="Z6" s="13">
        <v>39500</v>
      </c>
    </row>
    <row r="7" spans="2:32" ht="18" x14ac:dyDescent="0.25">
      <c r="B7" s="1" t="s">
        <v>22</v>
      </c>
      <c r="C7" s="13">
        <v>-1549.7117599999999</v>
      </c>
      <c r="D7" s="15">
        <f>(40.078+(3*15.9994)+28.0855)/1000</f>
        <v>0.11616169999999999</v>
      </c>
      <c r="E7" s="36">
        <f>C7+H10+H6+ ((3/2)*H9)</f>
        <v>34.288240000000087</v>
      </c>
      <c r="G7" s="13" t="s">
        <v>16</v>
      </c>
      <c r="H7" s="13">
        <v>376.8</v>
      </c>
      <c r="O7" s="39" t="s">
        <v>67</v>
      </c>
      <c r="P7" s="13">
        <f>73347.52/1000</f>
        <v>73.347520000000003</v>
      </c>
      <c r="Q7" s="13">
        <f>256/1000</f>
        <v>0.25600000000000001</v>
      </c>
      <c r="R7" s="13">
        <f>8669/1000</f>
        <v>8.6690000000000005</v>
      </c>
      <c r="S7" s="13">
        <f>191.502/1000</f>
        <v>0.19150200000000001</v>
      </c>
    </row>
    <row r="8" spans="2:32" ht="18" x14ac:dyDescent="0.25">
      <c r="B8" s="7" t="s">
        <v>64</v>
      </c>
      <c r="C8" s="13">
        <v>-394.4</v>
      </c>
      <c r="D8" s="15">
        <f>MW_C+(2*MW_O)</f>
        <v>4.4009800000000002E-2</v>
      </c>
      <c r="E8" s="35">
        <f>C8+H5+H9</f>
        <v>19.900000000000034</v>
      </c>
      <c r="G8" s="13" t="s">
        <v>66</v>
      </c>
      <c r="H8" s="13">
        <v>236.1</v>
      </c>
      <c r="O8" s="62"/>
    </row>
    <row r="9" spans="2:32" ht="18" x14ac:dyDescent="0.25">
      <c r="B9" s="7" t="s">
        <v>16</v>
      </c>
      <c r="C9" s="13">
        <v>0</v>
      </c>
      <c r="D9" s="21">
        <f>55.845/1000</f>
        <v>5.5844999999999999E-2</v>
      </c>
      <c r="E9" s="36">
        <f>C9+H7</f>
        <v>376.8</v>
      </c>
      <c r="G9" s="20" t="s">
        <v>24</v>
      </c>
      <c r="H9" s="13">
        <v>4</v>
      </c>
      <c r="O9" s="7"/>
    </row>
    <row r="10" spans="2:32" ht="18" x14ac:dyDescent="0.25">
      <c r="B10" s="1" t="s">
        <v>15</v>
      </c>
      <c r="C10" s="13">
        <v>-742.24159999999995</v>
      </c>
      <c r="D10" s="15">
        <f>((2*55.845)+(3*15.9994))/1000</f>
        <v>0.1596882</v>
      </c>
      <c r="E10" s="35">
        <f>C10+(2*H7)+((3/2)*H9)</f>
        <v>17.358400000000074</v>
      </c>
      <c r="G10" s="13" t="s">
        <v>30</v>
      </c>
      <c r="H10" s="13">
        <v>854.2</v>
      </c>
    </row>
    <row r="11" spans="2:32" ht="18" x14ac:dyDescent="0.25">
      <c r="B11" s="7" t="s">
        <v>29</v>
      </c>
      <c r="C11" s="13">
        <v>231.74757600000001</v>
      </c>
      <c r="D11" s="21">
        <f>15.9994/1000</f>
        <v>1.59994E-2</v>
      </c>
      <c r="E11" s="36">
        <f>C11+(0.5*H9)</f>
        <v>233.74757600000001</v>
      </c>
      <c r="G11" s="20" t="s">
        <v>67</v>
      </c>
      <c r="H11" s="13">
        <v>0.7</v>
      </c>
      <c r="N11" s="223" t="s">
        <v>279</v>
      </c>
      <c r="P11" s="223" t="s">
        <v>40</v>
      </c>
      <c r="Q11" s="3" t="s">
        <v>512</v>
      </c>
      <c r="R11" s="3" t="s">
        <v>507</v>
      </c>
      <c r="S11" s="3" t="s">
        <v>518</v>
      </c>
      <c r="T11" s="3" t="s">
        <v>519</v>
      </c>
      <c r="U11" s="3" t="s">
        <v>517</v>
      </c>
      <c r="V11" s="3" t="s">
        <v>54</v>
      </c>
      <c r="W11" s="3" t="s">
        <v>346</v>
      </c>
    </row>
    <row r="12" spans="2:32" ht="18" x14ac:dyDescent="0.25">
      <c r="B12" s="7" t="s">
        <v>24</v>
      </c>
      <c r="C12" s="13">
        <v>0</v>
      </c>
      <c r="D12" s="15">
        <f>2*MW_O</f>
        <v>3.1998800000000001E-2</v>
      </c>
      <c r="E12" s="35">
        <f>C12+H9</f>
        <v>4</v>
      </c>
      <c r="G12" s="13" t="s">
        <v>312</v>
      </c>
      <c r="H12" s="13">
        <v>794.3</v>
      </c>
      <c r="P12" s="4" t="s">
        <v>107</v>
      </c>
      <c r="Q12" s="3" t="s">
        <v>513</v>
      </c>
      <c r="R12" s="3" t="s">
        <v>515</v>
      </c>
      <c r="S12" s="3" t="s">
        <v>514</v>
      </c>
      <c r="T12" s="3" t="s">
        <v>514</v>
      </c>
      <c r="U12" s="3" t="s">
        <v>514</v>
      </c>
      <c r="V12" s="3" t="s">
        <v>514</v>
      </c>
      <c r="W12" s="3" t="s">
        <v>347</v>
      </c>
    </row>
    <row r="13" spans="2:32" ht="18" x14ac:dyDescent="0.25">
      <c r="B13" s="7" t="s">
        <v>30</v>
      </c>
      <c r="C13" s="13">
        <v>0</v>
      </c>
      <c r="D13" s="21">
        <f>28.0855/1000</f>
        <v>2.8085499999999999E-2</v>
      </c>
      <c r="E13" s="36">
        <f>C13+H10</f>
        <v>854.2</v>
      </c>
      <c r="G13" s="93" t="s">
        <v>315</v>
      </c>
      <c r="H13" s="13">
        <v>124.2</v>
      </c>
      <c r="O13" s="61" t="s">
        <v>502</v>
      </c>
      <c r="P13" s="13">
        <f>(23/12)*(12.011/1.008)</f>
        <v>22.838376322751323</v>
      </c>
      <c r="Q13" s="13">
        <f>102720+(27360*P13)</f>
        <v>727577.97619047621</v>
      </c>
      <c r="R13" s="13">
        <f>1.12+(4.4*P13)</f>
        <v>101.60885582010583</v>
      </c>
      <c r="S13" s="13">
        <v>-393520</v>
      </c>
      <c r="T13" s="13">
        <v>-285830</v>
      </c>
      <c r="U13" s="13">
        <f>Q14+S13+((P13/2)*T13)</f>
        <v>-613280.29978505243</v>
      </c>
      <c r="V13" s="13">
        <f>(L5*R14)+U13</f>
        <v>-497155.64346602862</v>
      </c>
      <c r="W13" s="13">
        <v>43000</v>
      </c>
    </row>
    <row r="14" spans="2:32" ht="18" x14ac:dyDescent="0.25">
      <c r="B14" s="1" t="s">
        <v>17</v>
      </c>
      <c r="C14" s="13">
        <v>-856.67399999999998</v>
      </c>
      <c r="D14" s="15">
        <f>(28.0855+(2*15.9994))/1000</f>
        <v>6.00843E-2</v>
      </c>
      <c r="E14" s="35">
        <f>C14+H10+H9</f>
        <v>1.5260000000000673</v>
      </c>
      <c r="G14" s="13" t="s">
        <v>313</v>
      </c>
      <c r="H14" s="13">
        <v>629.6</v>
      </c>
      <c r="O14" s="4"/>
      <c r="Q14" s="3">
        <f>Q13*cal_to_kJ*1000</f>
        <v>3044186.2523809527</v>
      </c>
      <c r="R14" s="3">
        <f>R13*cal_to_kJ*1000</f>
        <v>425.1314527513228</v>
      </c>
      <c r="T14" s="3">
        <v>-241820</v>
      </c>
      <c r="U14" s="3">
        <f>LHV_Diesel+((P13/2)*(T14-T13))</f>
        <v>545558.47098214284</v>
      </c>
      <c r="V14" s="3">
        <f>V13/1000</f>
        <v>-497.15564346602861</v>
      </c>
    </row>
    <row r="15" spans="2:32" ht="16" x14ac:dyDescent="0.2">
      <c r="B15" s="7" t="s">
        <v>10</v>
      </c>
      <c r="C15" s="13" t="s">
        <v>69</v>
      </c>
      <c r="D15" s="13">
        <v>4.7226465048321509E-2</v>
      </c>
      <c r="E15" s="13">
        <f>0+H7+H5</f>
        <v>787.1</v>
      </c>
      <c r="G15" s="13" t="s">
        <v>314</v>
      </c>
      <c r="H15" s="13">
        <v>336.6</v>
      </c>
      <c r="O15" s="4"/>
      <c r="Q15" s="3" t="s">
        <v>514</v>
      </c>
      <c r="R15" s="3" t="s">
        <v>516</v>
      </c>
      <c r="V15" s="3" t="s">
        <v>58</v>
      </c>
    </row>
    <row r="16" spans="2:32" ht="16" x14ac:dyDescent="0.2">
      <c r="B16" s="67" t="s">
        <v>123</v>
      </c>
      <c r="C16" s="13">
        <v>-137.27704</v>
      </c>
      <c r="D16" s="13">
        <f>MW_C + MW_O</f>
        <v>2.8010399999999998E-2</v>
      </c>
      <c r="E16" s="13">
        <f>C16+H5+(0.5*H9)</f>
        <v>275.02296000000001</v>
      </c>
      <c r="G16" s="13" t="s">
        <v>181</v>
      </c>
      <c r="H16" s="13">
        <v>607.29999999999995</v>
      </c>
      <c r="O16" s="4"/>
    </row>
    <row r="17" spans="2:22" ht="17" x14ac:dyDescent="0.25">
      <c r="B17" s="67" t="s">
        <v>124</v>
      </c>
      <c r="C17" s="13">
        <v>-603.54200000000003</v>
      </c>
      <c r="D17" s="13">
        <f>(40.078+15.9994)/1000</f>
        <v>5.6077400000000006E-2</v>
      </c>
      <c r="E17" s="13">
        <f>C17+(0.5*H9)+(b_ch_Ca)</f>
        <v>122.25799999999992</v>
      </c>
      <c r="G17" s="13" t="s">
        <v>319</v>
      </c>
      <c r="H17" s="13">
        <v>366.5</v>
      </c>
      <c r="N17" s="223" t="s">
        <v>576</v>
      </c>
      <c r="P17" s="223" t="s">
        <v>40</v>
      </c>
      <c r="Q17" s="3" t="s">
        <v>512</v>
      </c>
      <c r="R17" s="3" t="s">
        <v>507</v>
      </c>
      <c r="S17" s="3" t="s">
        <v>518</v>
      </c>
      <c r="T17" s="3" t="s">
        <v>519</v>
      </c>
      <c r="U17" s="3" t="s">
        <v>517</v>
      </c>
      <c r="V17" s="3" t="s">
        <v>54</v>
      </c>
    </row>
    <row r="18" spans="2:22" ht="17" x14ac:dyDescent="0.25">
      <c r="B18" s="3" t="s">
        <v>65</v>
      </c>
      <c r="C18" s="13">
        <v>-50.7</v>
      </c>
      <c r="D18" s="13">
        <f>MW_C + (4*MW_H)</f>
        <v>1.604276E-2</v>
      </c>
      <c r="E18" s="13">
        <f>C18+H5+(2*H8)</f>
        <v>831.8</v>
      </c>
      <c r="G18" s="13" t="s">
        <v>182</v>
      </c>
      <c r="H18" s="13">
        <v>861.6</v>
      </c>
      <c r="P18" s="4" t="s">
        <v>107</v>
      </c>
      <c r="Q18" s="3" t="s">
        <v>513</v>
      </c>
      <c r="R18" s="3" t="s">
        <v>515</v>
      </c>
      <c r="S18" s="3" t="s">
        <v>514</v>
      </c>
      <c r="T18" s="3" t="s">
        <v>514</v>
      </c>
      <c r="U18" s="3" t="s">
        <v>514</v>
      </c>
      <c r="V18" s="3" t="s">
        <v>514</v>
      </c>
    </row>
    <row r="19" spans="2:22" ht="18" x14ac:dyDescent="0.25">
      <c r="B19" s="7" t="s">
        <v>67</v>
      </c>
      <c r="C19" s="13">
        <v>0</v>
      </c>
      <c r="D19" s="13">
        <f>(2*14.00674)/1000</f>
        <v>2.801348E-2</v>
      </c>
      <c r="E19" s="13">
        <f>C19+H11</f>
        <v>0.7</v>
      </c>
      <c r="O19" s="61" t="s">
        <v>526</v>
      </c>
      <c r="P19" s="13">
        <f>(20/10)*(12.011/1.008)</f>
        <v>23.831349206349206</v>
      </c>
      <c r="Q19" s="13">
        <f>102720+(27360*P19)</f>
        <v>754745.71428571432</v>
      </c>
      <c r="R19" s="13">
        <f>1.12+(4.4*P19)</f>
        <v>105.97793650793652</v>
      </c>
      <c r="S19" s="13">
        <v>-393520</v>
      </c>
      <c r="T19" s="13">
        <v>-285830</v>
      </c>
      <c r="U19" s="13">
        <f>Q20+S19+((P19/2)*T19)</f>
        <v>-641521.20325396815</v>
      </c>
      <c r="V19" s="13">
        <f>(L11*R20)+U19</f>
        <v>-641521.20325396815</v>
      </c>
    </row>
    <row r="20" spans="2:22" ht="17" x14ac:dyDescent="0.25">
      <c r="B20" s="3" t="s">
        <v>68</v>
      </c>
      <c r="C20" s="13">
        <v>-228.58865599999999</v>
      </c>
      <c r="D20" s="13">
        <f>(15.9994+(2*1.00794))/1000</f>
        <v>1.8015280000000002E-2</v>
      </c>
      <c r="E20" s="13">
        <f>b_ch_H2+(0.5*H9)+C20</f>
        <v>9.5113440000000082</v>
      </c>
      <c r="O20" s="4"/>
      <c r="Q20" s="3">
        <f>Q19*cal_to_kJ*1000</f>
        <v>3157856.0685714288</v>
      </c>
      <c r="R20" s="3">
        <f>R19*cal_to_kJ*1000</f>
        <v>443.41168634920643</v>
      </c>
      <c r="T20" s="3">
        <v>-241820</v>
      </c>
      <c r="U20" s="3">
        <f>LHV_Diesel+((P19/2)*(T20-T19))</f>
        <v>567408.83928571432</v>
      </c>
      <c r="V20" s="3">
        <f>V19/1000</f>
        <v>-641.52120325396811</v>
      </c>
    </row>
    <row r="21" spans="2:22" x14ac:dyDescent="0.2">
      <c r="B21" s="4" t="s">
        <v>183</v>
      </c>
      <c r="C21" s="13">
        <v>0</v>
      </c>
      <c r="D21" s="13">
        <f>1.00794/1000</f>
        <v>1.0079400000000001E-3</v>
      </c>
      <c r="E21" s="13">
        <f>C21+(0.5*b_ch_H2)</f>
        <v>118.05</v>
      </c>
      <c r="O21" s="4"/>
      <c r="Q21" s="3" t="s">
        <v>514</v>
      </c>
      <c r="R21" s="3" t="s">
        <v>516</v>
      </c>
      <c r="V21" s="3" t="s">
        <v>58</v>
      </c>
    </row>
    <row r="22" spans="2:22" x14ac:dyDescent="0.2">
      <c r="B22" s="4" t="s">
        <v>181</v>
      </c>
      <c r="C22" s="13">
        <v>0</v>
      </c>
      <c r="D22" s="13">
        <f>32.066/1000</f>
        <v>3.2066000000000004E-2</v>
      </c>
      <c r="E22" s="13">
        <f>C22+H16</f>
        <v>607.29999999999995</v>
      </c>
      <c r="O22" s="4"/>
    </row>
    <row r="23" spans="2:22" x14ac:dyDescent="0.2">
      <c r="B23" s="4" t="s">
        <v>184</v>
      </c>
      <c r="C23" s="13">
        <v>-131.05000000000001</v>
      </c>
      <c r="D23" s="13">
        <f>35.4527/1000</f>
        <v>3.5452699999999997E-2</v>
      </c>
      <c r="E23" s="13">
        <f>C23+(0.5*H13)</f>
        <v>-68.950000000000017</v>
      </c>
    </row>
    <row r="24" spans="2:22" ht="17" x14ac:dyDescent="0.25">
      <c r="B24" s="4" t="s">
        <v>308</v>
      </c>
      <c r="C24" s="13">
        <v>-1562.7239999999999</v>
      </c>
      <c r="D24" s="13">
        <f>((2*26.981539)+(3*15.9994))/1000</f>
        <v>0.10196127799999999</v>
      </c>
      <c r="E24" s="13">
        <f>C24+(2*H12)+(1.5*H9)</f>
        <v>31.875999999999976</v>
      </c>
      <c r="O24" s="288" t="s">
        <v>393</v>
      </c>
      <c r="P24" s="288"/>
    </row>
    <row r="25" spans="2:22" x14ac:dyDescent="0.2">
      <c r="B25" s="4" t="s">
        <v>180</v>
      </c>
      <c r="C25" s="13">
        <v>-569.024</v>
      </c>
      <c r="D25" s="13">
        <f>(15.9994+24.305)/1000</f>
        <v>4.0304400000000004E-2</v>
      </c>
      <c r="E25" s="13">
        <f>C25+(H14)+(0.5*H9)</f>
        <v>62.576000000000022</v>
      </c>
      <c r="O25" s="129" t="s">
        <v>323</v>
      </c>
      <c r="P25" s="13" t="s">
        <v>394</v>
      </c>
      <c r="Q25" s="13" t="s">
        <v>33</v>
      </c>
      <c r="R25" s="13" t="s">
        <v>34</v>
      </c>
      <c r="S25" s="13" t="s">
        <v>35</v>
      </c>
      <c r="T25" s="13" t="s">
        <v>402</v>
      </c>
    </row>
    <row r="26" spans="2:22" ht="17" x14ac:dyDescent="0.25">
      <c r="B26" s="4" t="s">
        <v>309</v>
      </c>
      <c r="C26" s="13">
        <v>-376.56</v>
      </c>
      <c r="D26" s="13">
        <f>((22.989768*2)+15.9994)/1000</f>
        <v>6.1978936000000005E-2</v>
      </c>
      <c r="E26" s="13">
        <f>C26+(2*H15)+(0.5*H9)</f>
        <v>298.64000000000004</v>
      </c>
      <c r="O26" s="13" t="s">
        <v>99</v>
      </c>
      <c r="P26" s="13" t="s">
        <v>347</v>
      </c>
      <c r="Q26" s="13" t="s">
        <v>99</v>
      </c>
      <c r="R26" s="13" t="s">
        <v>99</v>
      </c>
      <c r="S26" s="13" t="s">
        <v>99</v>
      </c>
      <c r="T26" s="13" t="s">
        <v>347</v>
      </c>
    </row>
    <row r="27" spans="2:22" ht="17" x14ac:dyDescent="0.25">
      <c r="B27" s="4" t="s">
        <v>316</v>
      </c>
      <c r="C27" s="13">
        <v>-322.16800000000001</v>
      </c>
      <c r="D27" s="13">
        <f>(15.9994+(2*39.0983))/1000</f>
        <v>9.4196000000000002E-2</v>
      </c>
      <c r="E27" s="13">
        <f>C27+(2*H17)+(0.5*H9)</f>
        <v>412.83199999999999</v>
      </c>
      <c r="O27" s="13">
        <v>1.0437000000000001</v>
      </c>
      <c r="P27" s="13">
        <v>30080</v>
      </c>
      <c r="Q27" s="13">
        <v>0.18820000000000001</v>
      </c>
      <c r="R27" s="13">
        <v>6.0999999999999999E-2</v>
      </c>
      <c r="S27" s="13">
        <v>4.0399999999999998E-2</v>
      </c>
      <c r="T27" s="13">
        <v>2442</v>
      </c>
    </row>
    <row r="28" spans="2:22" x14ac:dyDescent="0.2">
      <c r="B28" s="4" t="s">
        <v>182</v>
      </c>
      <c r="C28" s="13">
        <f>12.00808</f>
        <v>12.00808</v>
      </c>
      <c r="D28" s="13">
        <f>30.973762/1000</f>
        <v>3.0973762000000002E-2</v>
      </c>
      <c r="E28" s="13">
        <f>C28+H18</f>
        <v>873.60807999999997</v>
      </c>
    </row>
    <row r="29" spans="2:22" ht="17" x14ac:dyDescent="0.25">
      <c r="B29" s="4" t="s">
        <v>324</v>
      </c>
      <c r="C29" s="13">
        <v>-1012.1096</v>
      </c>
      <c r="D29" s="13">
        <f>(12.011+(3*15.9994)+24.305)/1000</f>
        <v>8.4314200000000006E-2</v>
      </c>
      <c r="E29" s="13">
        <f>C29+H14+H5+((3/2)*H9)</f>
        <v>33.790400000000034</v>
      </c>
    </row>
    <row r="30" spans="2:22" ht="16" x14ac:dyDescent="0.2">
      <c r="B30" s="4" t="s">
        <v>364</v>
      </c>
      <c r="C30" s="19">
        <v>455.579024</v>
      </c>
      <c r="D30" s="13">
        <f>MW_N2/2</f>
        <v>1.400674E-2</v>
      </c>
      <c r="E30" s="13">
        <f>C30+(0.5*b_ch_N2)</f>
        <v>455.92902400000003</v>
      </c>
    </row>
    <row r="31" spans="2:22" ht="17" x14ac:dyDescent="0.25">
      <c r="B31" s="4" t="s">
        <v>368</v>
      </c>
      <c r="C31" s="19">
        <v>-31.95</v>
      </c>
      <c r="D31" s="13">
        <f>((2*12.011)+(6*1.00794))/1000</f>
        <v>3.0069639999999998E-2</v>
      </c>
      <c r="E31" s="13">
        <f>C31+(2*b_ch_C)+(3*b_ch_H2)</f>
        <v>1496.9499999999998</v>
      </c>
    </row>
    <row r="32" spans="2:22" ht="17" x14ac:dyDescent="0.25">
      <c r="B32" s="3" t="s">
        <v>66</v>
      </c>
      <c r="C32" s="19">
        <v>0</v>
      </c>
      <c r="D32" s="13">
        <f>MW_H*2</f>
        <v>2.0158800000000003E-3</v>
      </c>
      <c r="E32" s="13">
        <f>b_ch_H2</f>
        <v>236.1</v>
      </c>
    </row>
    <row r="33" spans="2:5" ht="17" x14ac:dyDescent="0.25">
      <c r="B33" s="3" t="s">
        <v>369</v>
      </c>
      <c r="C33" s="19">
        <v>-33.053600000000003</v>
      </c>
      <c r="D33" s="13">
        <f>((1.00794*2)+(32.066))/1000</f>
        <v>3.4081880000000002E-2</v>
      </c>
      <c r="E33" s="13">
        <f>C33+b_ch_H2+b_ch_S</f>
        <v>810.3463999999999</v>
      </c>
    </row>
    <row r="34" spans="2:5" ht="17" x14ac:dyDescent="0.25">
      <c r="B34" s="4" t="s">
        <v>370</v>
      </c>
      <c r="C34" s="19">
        <v>129.66216</v>
      </c>
      <c r="D34" s="13">
        <f>((6*12.011)+(6*1.00794))/1000</f>
        <v>7.8113639999999998E-2</v>
      </c>
      <c r="E34" s="13">
        <f>C34+(6*b_ch_C)+(3*b_ch_H2)</f>
        <v>3299.7621600000002</v>
      </c>
    </row>
    <row r="35" spans="2:5" ht="17" x14ac:dyDescent="0.25">
      <c r="B35" s="3" t="s">
        <v>371</v>
      </c>
      <c r="C35" s="19">
        <v>-16.48</v>
      </c>
      <c r="D35" s="13">
        <f>(14.00674+(3*1.00794))/1000</f>
        <v>1.703056E-2</v>
      </c>
      <c r="E35" s="13">
        <f>C35+(0.5*b_ch_N2)+((3/2)*b_ch_H2)</f>
        <v>338.02</v>
      </c>
    </row>
    <row r="36" spans="2:5" ht="17" x14ac:dyDescent="0.25">
      <c r="B36" s="4" t="s">
        <v>372</v>
      </c>
      <c r="C36" s="19">
        <v>68.430000000000007</v>
      </c>
      <c r="D36" s="170">
        <f>(2*MW_C)+(4*MW_H)</f>
        <v>2.8053759999999997E-2</v>
      </c>
      <c r="E36" s="13">
        <f>C36+(2*b_ch_C)+(2*b_ch_H2)</f>
        <v>1361.23</v>
      </c>
    </row>
    <row r="37" spans="2:5" x14ac:dyDescent="0.2">
      <c r="B37" s="4" t="s">
        <v>373</v>
      </c>
      <c r="C37" s="13">
        <v>124.6832</v>
      </c>
      <c r="D37" s="13">
        <f>(1.00794+12.011+14.00674)/1000</f>
        <v>2.702568E-2</v>
      </c>
      <c r="E37" s="13">
        <f>C37+(0.5*b_ch_H2)+b_ch_C+(b_ch_N2*0.5)</f>
        <v>653.3832000000001</v>
      </c>
    </row>
    <row r="38" spans="2:5" ht="17" x14ac:dyDescent="0.25">
      <c r="B38" s="4" t="s">
        <v>374</v>
      </c>
      <c r="C38" s="13">
        <v>66.902159999999995</v>
      </c>
      <c r="D38" s="13">
        <f>((12.011)+(2*32.066))/1000</f>
        <v>7.6143000000000002E-2</v>
      </c>
      <c r="E38" s="13">
        <f>C38+b_ch_C + 2*b_ch_S</f>
        <v>1691.80216</v>
      </c>
    </row>
    <row r="39" spans="2:5" ht="17" x14ac:dyDescent="0.25">
      <c r="B39" s="4" t="s">
        <v>375</v>
      </c>
      <c r="C39" s="13">
        <v>122.00543999999999</v>
      </c>
      <c r="D39" s="13">
        <f>((7*12.011)+(8*1.00794))/1000</f>
        <v>9.214051999999999E-2</v>
      </c>
      <c r="E39" s="13">
        <f>C39+(7*b_ch_C)+(4*b_ch_H2)</f>
        <v>3938.5054399999999</v>
      </c>
    </row>
    <row r="40" spans="2:5" ht="17" x14ac:dyDescent="0.25">
      <c r="B40" s="4" t="s">
        <v>501</v>
      </c>
      <c r="C40" s="13">
        <v>7.4056800000000003</v>
      </c>
      <c r="D40" s="13">
        <f>(MW_C*8)+(MW_H*18)</f>
        <v>0.11423092</v>
      </c>
      <c r="E40" s="13">
        <f>C40+(8*H5)+(9*b_ch_H2)</f>
        <v>5414.70568</v>
      </c>
    </row>
    <row r="41" spans="2:5" ht="17" x14ac:dyDescent="0.25">
      <c r="B41" s="4" t="s">
        <v>502</v>
      </c>
      <c r="C41" s="13">
        <f>V14</f>
        <v>-497.15564346602861</v>
      </c>
      <c r="D41" s="13">
        <f>(MW_C*12)+(MW_H*23)</f>
        <v>0.16731462</v>
      </c>
      <c r="E41" s="13">
        <f>C41+(12*H5)+((23/2)*b_ch_H2)</f>
        <v>7141.5943565339712</v>
      </c>
    </row>
    <row r="42" spans="2:5" ht="17" x14ac:dyDescent="0.25">
      <c r="B42" s="4" t="s">
        <v>526</v>
      </c>
      <c r="C42" s="13">
        <f>V20</f>
        <v>-641.52120325396811</v>
      </c>
      <c r="D42" s="13">
        <f>(10*MW_C) + (20*MW_H)</f>
        <v>0.1402688</v>
      </c>
      <c r="E42" s="13">
        <f>C42+(10*H5)+(10*b_ch_H2)</f>
        <v>5822.4787967460325</v>
      </c>
    </row>
    <row r="43" spans="2:5" x14ac:dyDescent="0.2">
      <c r="B43" s="4"/>
    </row>
    <row r="44" spans="2:5" x14ac:dyDescent="0.2">
      <c r="B44" s="3" t="s">
        <v>108</v>
      </c>
    </row>
    <row r="45" spans="2:5" ht="17" x14ac:dyDescent="0.25">
      <c r="B45" s="13" t="s">
        <v>54</v>
      </c>
      <c r="C45" s="3" t="s">
        <v>125</v>
      </c>
    </row>
    <row r="46" spans="2:5" ht="17" x14ac:dyDescent="0.25">
      <c r="B46" s="13" t="s">
        <v>54</v>
      </c>
      <c r="C46" s="16" t="s">
        <v>376</v>
      </c>
    </row>
    <row r="47" spans="2:5" ht="18" x14ac:dyDescent="0.25">
      <c r="B47" s="19" t="s">
        <v>6</v>
      </c>
      <c r="C47" s="16" t="s">
        <v>363</v>
      </c>
    </row>
    <row r="48" spans="2:5" ht="18" x14ac:dyDescent="0.25">
      <c r="B48" s="19" t="s">
        <v>6</v>
      </c>
      <c r="C48" s="3" t="s">
        <v>129</v>
      </c>
    </row>
    <row r="49" spans="2:3" ht="17" x14ac:dyDescent="0.25">
      <c r="B49" s="13" t="s">
        <v>173</v>
      </c>
      <c r="C49" s="3" t="s">
        <v>174</v>
      </c>
    </row>
    <row r="50" spans="2:3" x14ac:dyDescent="0.2">
      <c r="B50" s="13" t="s">
        <v>346</v>
      </c>
      <c r="C50" s="16" t="s">
        <v>348</v>
      </c>
    </row>
    <row r="51" spans="2:3" x14ac:dyDescent="0.2">
      <c r="B51" s="13" t="s">
        <v>5</v>
      </c>
      <c r="C51" s="16" t="s">
        <v>360</v>
      </c>
    </row>
    <row r="52" spans="2:3" x14ac:dyDescent="0.2">
      <c r="B52" s="13" t="s">
        <v>394</v>
      </c>
      <c r="C52" s="3" t="s">
        <v>395</v>
      </c>
    </row>
    <row r="53" spans="2:3" x14ac:dyDescent="0.2">
      <c r="B53" s="129" t="s">
        <v>400</v>
      </c>
      <c r="C53" s="3" t="s">
        <v>403</v>
      </c>
    </row>
    <row r="54" spans="2:3" x14ac:dyDescent="0.2">
      <c r="B54" s="13" t="s">
        <v>410</v>
      </c>
      <c r="C54" s="3" t="s">
        <v>339</v>
      </c>
    </row>
    <row r="55" spans="2:3" x14ac:dyDescent="0.2">
      <c r="B55" s="13" t="s">
        <v>520</v>
      </c>
      <c r="C55" s="3" t="s">
        <v>521</v>
      </c>
    </row>
    <row r="56" spans="2:3" ht="17" x14ac:dyDescent="0.25">
      <c r="B56" s="13" t="s">
        <v>506</v>
      </c>
      <c r="C56" s="3" t="s">
        <v>505</v>
      </c>
    </row>
  </sheetData>
  <sortState xmlns:xlrd2="http://schemas.microsoft.com/office/spreadsheetml/2017/richdata2" ref="G6:G10">
    <sortCondition ref="G5:G10"/>
  </sortState>
  <mergeCells count="4">
    <mergeCell ref="P2:Q2"/>
    <mergeCell ref="R2:S2"/>
    <mergeCell ref="U2:V2"/>
    <mergeCell ref="O24:P24"/>
  </mergeCells>
  <hyperlinks>
    <hyperlink ref="C47" r:id="rId1" xr:uid="{EFF8D2A8-239F-2043-B8CA-C9000BCE2862}"/>
    <hyperlink ref="C51" r:id="rId2" xr:uid="{A42C34EB-8A73-004F-8263-89538BA10B3D}"/>
    <hyperlink ref="C46" r:id="rId3" xr:uid="{12EAAE34-9BE8-0946-91A8-7A77554A47C1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25204-1A1E-4664-8737-A74D6BA8F9BE}">
  <dimension ref="A1:AV283"/>
  <sheetViews>
    <sheetView topLeftCell="A63" zoomScale="161" workbookViewId="0">
      <selection activeCell="I81" sqref="I81"/>
    </sheetView>
  </sheetViews>
  <sheetFormatPr baseColWidth="10" defaultColWidth="8.83203125" defaultRowHeight="15" x14ac:dyDescent="0.2"/>
  <cols>
    <col min="1" max="2" width="8.83203125" style="3"/>
    <col min="3" max="3" width="10.1640625" style="3" customWidth="1"/>
    <col min="4" max="4" width="11" style="3" bestFit="1" customWidth="1"/>
    <col min="5" max="5" width="13.1640625" style="3" bestFit="1" customWidth="1"/>
    <col min="6" max="6" width="13" style="3" bestFit="1" customWidth="1"/>
    <col min="7" max="7" width="9.83203125" style="3" customWidth="1"/>
    <col min="8" max="8" width="11.33203125" style="3" customWidth="1"/>
    <col min="9" max="9" width="11.6640625" style="3" bestFit="1" customWidth="1"/>
    <col min="10" max="10" width="9.6640625" style="3" bestFit="1" customWidth="1"/>
    <col min="11" max="11" width="12.83203125" style="3" customWidth="1"/>
    <col min="12" max="12" width="18.33203125" style="3" bestFit="1" customWidth="1"/>
    <col min="13" max="13" width="16.6640625" style="3" customWidth="1"/>
    <col min="14" max="14" width="14.6640625" style="3" bestFit="1" customWidth="1"/>
    <col min="15" max="15" width="13.33203125" style="3" bestFit="1" customWidth="1"/>
    <col min="16" max="16" width="10.83203125" style="3" customWidth="1"/>
    <col min="17" max="20" width="8.83203125" style="3"/>
    <col min="21" max="21" width="13.33203125" style="3" bestFit="1" customWidth="1"/>
    <col min="22" max="32" width="8.83203125" style="3"/>
    <col min="33" max="33" width="9.6640625" style="3" customWidth="1"/>
    <col min="34" max="16384" width="8.83203125" style="3"/>
  </cols>
  <sheetData>
    <row r="1" spans="1:28" x14ac:dyDescent="0.2">
      <c r="A1" s="25" t="s">
        <v>51</v>
      </c>
    </row>
    <row r="2" spans="1:28" x14ac:dyDescent="0.2">
      <c r="A2" s="16" t="s">
        <v>127</v>
      </c>
      <c r="B2" s="3" t="s">
        <v>128</v>
      </c>
      <c r="C2" s="3" t="s">
        <v>175</v>
      </c>
    </row>
    <row r="10" spans="1:28" ht="17" x14ac:dyDescent="0.25">
      <c r="B10" s="13"/>
      <c r="C10" s="13" t="s">
        <v>47</v>
      </c>
      <c r="D10" s="13" t="s">
        <v>1</v>
      </c>
      <c r="E10" s="13" t="s">
        <v>47</v>
      </c>
      <c r="F10" s="13" t="s">
        <v>5</v>
      </c>
      <c r="G10" s="13" t="s">
        <v>32</v>
      </c>
      <c r="H10" s="13" t="s">
        <v>39</v>
      </c>
      <c r="I10" s="13" t="s">
        <v>119</v>
      </c>
      <c r="J10" s="13" t="s">
        <v>121</v>
      </c>
      <c r="O10" s="287" t="s">
        <v>126</v>
      </c>
      <c r="P10" s="287"/>
      <c r="Q10" s="287"/>
      <c r="R10" s="287"/>
      <c r="S10" s="287"/>
      <c r="T10" s="287"/>
      <c r="U10" s="287"/>
      <c r="V10" s="287" t="s">
        <v>126</v>
      </c>
      <c r="W10" s="287"/>
      <c r="X10" s="287"/>
      <c r="Y10" s="287"/>
      <c r="Z10" s="287"/>
      <c r="AA10" s="287"/>
      <c r="AB10" s="287"/>
    </row>
    <row r="11" spans="1:28" ht="18" x14ac:dyDescent="0.25">
      <c r="B11" s="13"/>
      <c r="C11" s="13" t="s">
        <v>241</v>
      </c>
      <c r="D11" s="13" t="s">
        <v>45</v>
      </c>
      <c r="E11" s="13" t="s">
        <v>11</v>
      </c>
      <c r="F11" s="13" t="s">
        <v>12</v>
      </c>
      <c r="G11" s="13" t="s">
        <v>13</v>
      </c>
      <c r="H11" s="13" t="s">
        <v>118</v>
      </c>
      <c r="I11" s="13" t="s">
        <v>120</v>
      </c>
      <c r="J11" s="13" t="s">
        <v>117</v>
      </c>
      <c r="O11" s="287" t="s">
        <v>307</v>
      </c>
      <c r="P11" s="287"/>
      <c r="Q11" s="287"/>
      <c r="R11" s="285"/>
      <c r="S11" s="286"/>
      <c r="T11" s="289" t="s">
        <v>306</v>
      </c>
      <c r="U11" s="290"/>
      <c r="V11" s="287" t="str">
        <f>_xlfn.CONCAT(E19," ",C19," ","+"," ",E21," ",C21," ","--&gt;"," ",E22," ",C22," ","+"," ",E20*E21," ",C20)</f>
        <v>1.5 C + 1.5 O2 --&gt; 1.5 CO2 + 5.64 N2</v>
      </c>
      <c r="W11" s="287"/>
      <c r="X11" s="287"/>
      <c r="Y11" s="287"/>
      <c r="Z11" s="287"/>
      <c r="AA11" s="287"/>
      <c r="AB11" s="287"/>
    </row>
    <row r="12" spans="1:28" ht="18" x14ac:dyDescent="0.25">
      <c r="B12" s="19" t="s">
        <v>15</v>
      </c>
      <c r="C12" s="19">
        <v>0.88105999999999995</v>
      </c>
      <c r="D12" s="19">
        <f>C12*D14</f>
        <v>0.88105999999999995</v>
      </c>
      <c r="E12" s="13">
        <f>D12*kg_to_ton</f>
        <v>881.06</v>
      </c>
      <c r="F12" s="13">
        <f>MW_Fe2O3</f>
        <v>0.1596882</v>
      </c>
      <c r="G12" s="13">
        <f>E12/F12</f>
        <v>5517.3769884061558</v>
      </c>
      <c r="H12" s="13">
        <f>G12/$F$14</f>
        <v>0.73595160775903656</v>
      </c>
      <c r="I12" s="13">
        <f>(F12*H12)+(F13*H13)</f>
        <v>0.13338795034407031</v>
      </c>
      <c r="J12" s="13">
        <f>(E12+E13)/I12</f>
        <v>7496.929051091417</v>
      </c>
      <c r="N12" s="4"/>
      <c r="O12" s="287" t="s">
        <v>226</v>
      </c>
      <c r="P12" s="287"/>
      <c r="Q12" s="287"/>
      <c r="R12" s="285"/>
      <c r="S12" s="286"/>
      <c r="T12" s="287" t="s">
        <v>225</v>
      </c>
      <c r="U12" s="287"/>
      <c r="V12" s="287" t="str">
        <f>_xlfn.CONCAT(E25," ",C25," ","+"," ",E26," ",C26," ","--&gt;"," ",E27," ",C27)</f>
        <v>1.5 CO2 + 1.5 C --&gt; 3 CO</v>
      </c>
      <c r="W12" s="287"/>
      <c r="X12" s="287"/>
      <c r="Y12" s="287"/>
      <c r="Z12" s="287"/>
      <c r="AA12" s="287"/>
      <c r="AB12" s="287"/>
    </row>
    <row r="13" spans="1:28" ht="18" x14ac:dyDescent="0.25">
      <c r="B13" s="19" t="s">
        <v>17</v>
      </c>
      <c r="C13" s="19">
        <v>0.11894</v>
      </c>
      <c r="D13" s="19">
        <f>C13*D14</f>
        <v>0.11894</v>
      </c>
      <c r="E13" s="13">
        <f>D13*kg_to_ton</f>
        <v>118.94</v>
      </c>
      <c r="F13" s="13">
        <f>MW_SIO2</f>
        <v>6.00843E-2</v>
      </c>
      <c r="G13" s="13">
        <f>E13/F13</f>
        <v>1979.5520626852606</v>
      </c>
      <c r="H13" s="13">
        <f>G13/$F$14</f>
        <v>0.26404839224096349</v>
      </c>
      <c r="I13" s="13"/>
      <c r="J13" s="13"/>
      <c r="O13" s="287" t="s">
        <v>227</v>
      </c>
      <c r="P13" s="287"/>
      <c r="Q13" s="287"/>
      <c r="R13" s="285"/>
      <c r="S13" s="286"/>
      <c r="T13" s="289" t="s">
        <v>228</v>
      </c>
      <c r="U13" s="290"/>
      <c r="V13" s="287" t="str">
        <f>_xlfn.CONCAT(E29," ",C29," ","+"," ",E30," ",C30," ","--&gt;"," ",E31," ",C31," ","+"," ",E32," ",C32)</f>
        <v>1 Fe2O3 + 3 CO --&gt; 2 Fe + 3 CO2</v>
      </c>
      <c r="W13" s="287"/>
      <c r="X13" s="287"/>
      <c r="Y13" s="287"/>
      <c r="Z13" s="287"/>
      <c r="AA13" s="287"/>
      <c r="AB13" s="287"/>
    </row>
    <row r="14" spans="1:28" x14ac:dyDescent="0.2">
      <c r="B14" s="3" t="s">
        <v>19</v>
      </c>
      <c r="D14" s="14">
        <v>1</v>
      </c>
      <c r="F14" s="3">
        <f>SUM(G12:G13)</f>
        <v>7496.9290510914161</v>
      </c>
      <c r="G14" s="3">
        <f>SUM(G12:G13)</f>
        <v>7496.9290510914161</v>
      </c>
      <c r="O14" s="287"/>
      <c r="P14" s="287"/>
      <c r="Q14" s="287"/>
      <c r="R14" s="285"/>
      <c r="S14" s="286"/>
      <c r="T14" s="287"/>
      <c r="U14" s="287"/>
      <c r="V14" s="287" t="str">
        <f>_xlfn.CONCAT(E36," ",C36," ","--&gt;"," ",E37," ",C37," ","+"," ",E39," ",C39)</f>
        <v>1 CaCO3 --&gt; 1 CaO + 0.0624775822865075 MgO</v>
      </c>
      <c r="W14" s="287"/>
      <c r="X14" s="287"/>
      <c r="Y14" s="287"/>
      <c r="Z14" s="287"/>
      <c r="AA14" s="287"/>
      <c r="AB14" s="287"/>
    </row>
    <row r="15" spans="1:28" ht="17" x14ac:dyDescent="0.25">
      <c r="O15" s="287" t="s">
        <v>229</v>
      </c>
      <c r="P15" s="287"/>
      <c r="Q15" s="287"/>
      <c r="R15" s="285"/>
      <c r="S15" s="286"/>
      <c r="T15" s="287" t="s">
        <v>230</v>
      </c>
      <c r="U15" s="287"/>
      <c r="V15" s="287" t="str">
        <f>_xlfn.CONCAT(E41," ",C41," ","+"," ",E42," ",C42," ","--&gt;"," ",E43," ",C43)</f>
        <v>1 CaO + 1 SiO2 --&gt; 1 CaSiO3</v>
      </c>
      <c r="W15" s="287"/>
      <c r="X15" s="287"/>
      <c r="Y15" s="287"/>
      <c r="Z15" s="287"/>
      <c r="AA15" s="287"/>
      <c r="AB15" s="287"/>
    </row>
    <row r="16" spans="1:28" x14ac:dyDescent="0.2">
      <c r="L16" s="77" t="s">
        <v>416</v>
      </c>
      <c r="M16" s="83" t="s">
        <v>417</v>
      </c>
    </row>
    <row r="17" spans="1:28" x14ac:dyDescent="0.2">
      <c r="D17" s="3" t="s">
        <v>44</v>
      </c>
      <c r="E17" s="3" t="s">
        <v>122</v>
      </c>
      <c r="F17" s="3" t="s">
        <v>39</v>
      </c>
      <c r="G17" s="3" t="s">
        <v>32</v>
      </c>
      <c r="H17" s="28" t="s">
        <v>5</v>
      </c>
      <c r="I17" s="3" t="s">
        <v>1</v>
      </c>
      <c r="J17" s="3" t="s">
        <v>1</v>
      </c>
      <c r="L17" s="3" t="s">
        <v>1</v>
      </c>
      <c r="M17" s="3" t="s">
        <v>1</v>
      </c>
      <c r="O17" s="287" t="s">
        <v>335</v>
      </c>
      <c r="P17" s="287"/>
      <c r="Q17" s="287"/>
      <c r="R17" s="287"/>
      <c r="S17" s="287"/>
      <c r="T17" s="287"/>
      <c r="U17" s="287"/>
      <c r="V17" s="287" t="s">
        <v>126</v>
      </c>
      <c r="W17" s="287"/>
      <c r="X17" s="287"/>
      <c r="Y17" s="287"/>
      <c r="Z17" s="287"/>
      <c r="AA17" s="287"/>
      <c r="AB17" s="287"/>
    </row>
    <row r="18" spans="1:28" ht="17" x14ac:dyDescent="0.25">
      <c r="C18" s="31" t="s">
        <v>41</v>
      </c>
      <c r="D18" s="31"/>
      <c r="E18" s="13"/>
      <c r="F18" s="13" t="s">
        <v>118</v>
      </c>
      <c r="G18" s="13" t="s">
        <v>76</v>
      </c>
      <c r="H18" s="37" t="s">
        <v>12</v>
      </c>
      <c r="I18" s="13" t="s">
        <v>116</v>
      </c>
      <c r="J18" s="13" t="s">
        <v>45</v>
      </c>
      <c r="L18" s="13" t="s">
        <v>11</v>
      </c>
      <c r="M18" s="13" t="s">
        <v>11</v>
      </c>
      <c r="O18" s="287" t="s">
        <v>336</v>
      </c>
      <c r="P18" s="287"/>
      <c r="Q18" s="287"/>
      <c r="R18" s="287"/>
      <c r="S18" s="287"/>
      <c r="T18" s="287" t="s">
        <v>337</v>
      </c>
      <c r="U18" s="285"/>
      <c r="V18" s="305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05"/>
      <c r="X18" s="305"/>
      <c r="Y18" s="305"/>
      <c r="Z18" s="305"/>
      <c r="AA18" s="305"/>
      <c r="AB18" s="305"/>
    </row>
    <row r="19" spans="1:28" ht="16" x14ac:dyDescent="0.2">
      <c r="B19" s="297" t="s">
        <v>114</v>
      </c>
      <c r="C19" s="87" t="s">
        <v>18</v>
      </c>
      <c r="D19" s="17" t="s">
        <v>33</v>
      </c>
      <c r="E19" s="3">
        <f>E22</f>
        <v>1.5</v>
      </c>
      <c r="F19" s="3">
        <f>F22</f>
        <v>1.1039274116385549</v>
      </c>
      <c r="G19" s="3">
        <f>F19*$J$12</f>
        <v>8276.0654826092359</v>
      </c>
      <c r="H19" s="3">
        <f>MW_C</f>
        <v>1.2010999999999999E-2</v>
      </c>
      <c r="I19" s="3">
        <f>G19*H19</f>
        <v>99.403822511619524</v>
      </c>
      <c r="J19" s="3">
        <f>I19/kg_to_ton</f>
        <v>9.9403822511619527E-2</v>
      </c>
      <c r="L19" s="19">
        <f>I19+I21+I26+I29+I42+I20+Quicklime_for_BF</f>
        <v>2446.3635867610551</v>
      </c>
      <c r="M19" s="13">
        <f>I31+I32+I43+I23</f>
        <v>2446.3635867610556</v>
      </c>
      <c r="O19" s="1"/>
      <c r="V19" s="305"/>
      <c r="W19" s="305"/>
      <c r="X19" s="305"/>
      <c r="Y19" s="305"/>
      <c r="Z19" s="305"/>
      <c r="AA19" s="305"/>
      <c r="AB19" s="305"/>
    </row>
    <row r="20" spans="1:28" ht="18" x14ac:dyDescent="0.25">
      <c r="A20" s="1"/>
      <c r="B20" s="298"/>
      <c r="C20" s="92" t="s">
        <v>305</v>
      </c>
      <c r="E20" s="3">
        <v>3.76</v>
      </c>
      <c r="F20" s="3">
        <f>F21*E20</f>
        <v>4.1507670677609658</v>
      </c>
      <c r="G20" s="3">
        <f>F20*J12</f>
        <v>31118.006214610719</v>
      </c>
      <c r="H20" s="3">
        <f>MW_N2</f>
        <v>2.801348E-2</v>
      </c>
      <c r="I20" s="3">
        <f>G20*H20</f>
        <v>871.72364473287314</v>
      </c>
      <c r="J20" s="3">
        <f>I20/kg_to_ton</f>
        <v>0.87172364473287312</v>
      </c>
      <c r="L20" s="1"/>
    </row>
    <row r="21" spans="1:28" ht="17" x14ac:dyDescent="0.25">
      <c r="A21" s="1"/>
      <c r="B21" s="299"/>
      <c r="C21" s="88" t="s">
        <v>27</v>
      </c>
      <c r="D21" s="3" t="s">
        <v>34</v>
      </c>
      <c r="E21" s="3">
        <f>E22</f>
        <v>1.5</v>
      </c>
      <c r="F21" s="3">
        <f>F22</f>
        <v>1.1039274116385549</v>
      </c>
      <c r="G21" s="3">
        <f t="shared" ref="G21:G22" si="0">F21*$J$12</f>
        <v>8276.0654826092359</v>
      </c>
      <c r="H21" s="3">
        <f>MW_O2</f>
        <v>3.1998800000000001E-2</v>
      </c>
      <c r="I21" s="3">
        <f t="shared" ref="I21:I27" si="1">G21*H21</f>
        <v>264.82416416491645</v>
      </c>
      <c r="J21" s="3">
        <f>I21/kg_to_ton</f>
        <v>0.26482416416491644</v>
      </c>
      <c r="L21" s="77" t="s">
        <v>288</v>
      </c>
      <c r="M21" s="83" t="s">
        <v>23</v>
      </c>
    </row>
    <row r="22" spans="1:28" ht="17" x14ac:dyDescent="0.25">
      <c r="B22" s="300" t="s">
        <v>115</v>
      </c>
      <c r="C22" s="31" t="s">
        <v>23</v>
      </c>
      <c r="D22" s="3" t="s">
        <v>35</v>
      </c>
      <c r="E22" s="3">
        <f>E25</f>
        <v>1.5</v>
      </c>
      <c r="F22" s="3">
        <f>F25</f>
        <v>1.1039274116385549</v>
      </c>
      <c r="G22" s="3">
        <f t="shared" si="0"/>
        <v>8276.0654826092359</v>
      </c>
      <c r="H22" s="3">
        <f>MW_CO2</f>
        <v>4.4009800000000002E-2</v>
      </c>
      <c r="I22" s="3">
        <f t="shared" si="1"/>
        <v>364.22798667653598</v>
      </c>
      <c r="J22" s="3">
        <f>I22/kg_to_ton</f>
        <v>0.364227986676536</v>
      </c>
      <c r="L22" s="19" t="s">
        <v>11</v>
      </c>
      <c r="M22" s="13" t="s">
        <v>11</v>
      </c>
    </row>
    <row r="23" spans="1:28" ht="18" x14ac:dyDescent="0.25">
      <c r="B23" s="301"/>
      <c r="C23" s="94" t="s">
        <v>305</v>
      </c>
      <c r="E23" s="3">
        <f>E21*E20</f>
        <v>5.64</v>
      </c>
      <c r="F23" s="3">
        <f>F21*E20</f>
        <v>4.1507670677609658</v>
      </c>
      <c r="G23" s="3">
        <f>F23*J12</f>
        <v>31118.006214610719</v>
      </c>
      <c r="H23" s="3">
        <f>MW_N2</f>
        <v>2.801348E-2</v>
      </c>
      <c r="I23" s="3">
        <f>G23*H23</f>
        <v>871.72364473287314</v>
      </c>
      <c r="J23" s="3">
        <f>I23/kg_to_ton</f>
        <v>0.87172364473287312</v>
      </c>
      <c r="L23" s="13">
        <f>I19+I26</f>
        <v>198.80764502323905</v>
      </c>
      <c r="M23" s="13">
        <f>I32</f>
        <v>728.45597335307195</v>
      </c>
    </row>
    <row r="24" spans="1:28" x14ac:dyDescent="0.2">
      <c r="B24" s="78"/>
      <c r="C24" s="17"/>
      <c r="D24" s="17"/>
      <c r="E24" s="17"/>
      <c r="F24" s="17"/>
      <c r="G24" s="17"/>
      <c r="H24" s="17"/>
      <c r="I24" s="17"/>
      <c r="J24" s="17"/>
    </row>
    <row r="25" spans="1:28" ht="17" x14ac:dyDescent="0.25">
      <c r="B25" s="302" t="s">
        <v>114</v>
      </c>
      <c r="C25" s="31" t="s">
        <v>23</v>
      </c>
      <c r="D25" s="17" t="s">
        <v>36</v>
      </c>
      <c r="E25" s="17">
        <f>E27/2</f>
        <v>1.5</v>
      </c>
      <c r="F25" s="17">
        <f>F27/2</f>
        <v>1.1039274116385549</v>
      </c>
      <c r="G25" s="17">
        <f>F25*$J$12</f>
        <v>8276.0654826092359</v>
      </c>
      <c r="H25" s="17">
        <f>MW_CO2</f>
        <v>4.4009800000000002E-2</v>
      </c>
      <c r="I25" s="17">
        <f t="shared" si="1"/>
        <v>364.22798667653598</v>
      </c>
      <c r="J25" s="17">
        <f>I25/kg_to_ton</f>
        <v>0.364227986676536</v>
      </c>
      <c r="L25" s="77" t="s">
        <v>287</v>
      </c>
    </row>
    <row r="26" spans="1:28" x14ac:dyDescent="0.2">
      <c r="B26" s="302"/>
      <c r="C26" s="88" t="s">
        <v>18</v>
      </c>
      <c r="D26" s="3" t="s">
        <v>37</v>
      </c>
      <c r="E26" s="3">
        <f>E27-E25</f>
        <v>1.5</v>
      </c>
      <c r="F26" s="3">
        <f>F27-F25</f>
        <v>1.1039274116385549</v>
      </c>
      <c r="G26" s="3">
        <f t="shared" ref="G26:G27" si="2">F26*$J$12</f>
        <v>8276.0654826092359</v>
      </c>
      <c r="H26" s="3">
        <f>MW_C</f>
        <v>1.2010999999999999E-2</v>
      </c>
      <c r="I26" s="3">
        <f t="shared" si="1"/>
        <v>99.403822511619524</v>
      </c>
      <c r="J26" s="3">
        <f>I26/kg_to_ton</f>
        <v>9.9403822511619527E-2</v>
      </c>
      <c r="L26" s="13" t="s">
        <v>11</v>
      </c>
    </row>
    <row r="27" spans="1:28" ht="16" x14ac:dyDescent="0.2">
      <c r="B27" s="82" t="s">
        <v>115</v>
      </c>
      <c r="C27" s="79" t="s">
        <v>123</v>
      </c>
      <c r="D27" s="3" t="s">
        <v>38</v>
      </c>
      <c r="E27" s="3">
        <f>E30</f>
        <v>3</v>
      </c>
      <c r="F27" s="3">
        <f>F30</f>
        <v>2.2078548232771098</v>
      </c>
      <c r="G27" s="3">
        <f t="shared" si="2"/>
        <v>16552.130965218472</v>
      </c>
      <c r="H27" s="3">
        <f>MW_CO</f>
        <v>2.8010399999999998E-2</v>
      </c>
      <c r="I27" s="3">
        <f t="shared" si="1"/>
        <v>463.63180918815544</v>
      </c>
      <c r="J27" s="3">
        <f>I27/kg_to_ton</f>
        <v>0.46363180918815544</v>
      </c>
      <c r="L27" s="13">
        <f>I36</f>
        <v>198.12782320839224</v>
      </c>
    </row>
    <row r="28" spans="1:28" ht="16" x14ac:dyDescent="0.2">
      <c r="B28" s="80"/>
      <c r="C28" s="8"/>
      <c r="D28" s="17"/>
      <c r="E28" s="17"/>
      <c r="F28" s="17"/>
      <c r="G28" s="17"/>
      <c r="H28" s="17"/>
      <c r="I28" s="17"/>
      <c r="J28" s="17"/>
    </row>
    <row r="29" spans="1:28" ht="18" x14ac:dyDescent="0.25">
      <c r="B29" s="302" t="s">
        <v>114</v>
      </c>
      <c r="C29" s="87" t="s">
        <v>15</v>
      </c>
      <c r="D29" s="26" t="s">
        <v>28</v>
      </c>
      <c r="E29" s="17">
        <v>1</v>
      </c>
      <c r="F29" s="17">
        <f>H12</f>
        <v>0.73595160775903656</v>
      </c>
      <c r="G29" s="17">
        <f>F29*$J$12</f>
        <v>5517.3769884061567</v>
      </c>
      <c r="H29" s="17">
        <f>MW_Fe2O3</f>
        <v>0.1596882</v>
      </c>
      <c r="I29" s="17">
        <f t="shared" ref="I29:I32" si="3">G29*H29</f>
        <v>881.06000000000006</v>
      </c>
      <c r="J29" s="17">
        <f>I29/kg_to_ton</f>
        <v>0.88106000000000007</v>
      </c>
    </row>
    <row r="30" spans="1:28" x14ac:dyDescent="0.2">
      <c r="B30" s="302"/>
      <c r="C30" s="34" t="s">
        <v>123</v>
      </c>
      <c r="D30" s="24" t="s">
        <v>40</v>
      </c>
      <c r="E30" s="3">
        <f>3*E29</f>
        <v>3</v>
      </c>
      <c r="F30" s="3">
        <f>F29*E30</f>
        <v>2.2078548232771098</v>
      </c>
      <c r="G30" s="3">
        <f t="shared" ref="G30:G32" si="4">F30*$J$12</f>
        <v>16552.130965218472</v>
      </c>
      <c r="H30" s="3">
        <f>MW_CO</f>
        <v>2.8010399999999998E-2</v>
      </c>
      <c r="I30" s="3">
        <f t="shared" si="3"/>
        <v>463.63180918815544</v>
      </c>
      <c r="J30" s="3">
        <f>I30/kg_to_ton</f>
        <v>0.46363180918815544</v>
      </c>
    </row>
    <row r="31" spans="1:28" x14ac:dyDescent="0.2">
      <c r="B31" s="303" t="s">
        <v>115</v>
      </c>
      <c r="C31" s="86" t="s">
        <v>16</v>
      </c>
      <c r="D31" s="3" t="s">
        <v>46</v>
      </c>
      <c r="E31" s="3">
        <v>2</v>
      </c>
      <c r="F31" s="3">
        <f>F29*E31</f>
        <v>1.4719032155180731</v>
      </c>
      <c r="G31" s="3">
        <f t="shared" si="4"/>
        <v>11034.753976812313</v>
      </c>
      <c r="H31" s="3">
        <f>MW_Fe</f>
        <v>5.5844999999999999E-2</v>
      </c>
      <c r="I31" s="3">
        <f t="shared" si="3"/>
        <v>616.23583583508366</v>
      </c>
      <c r="J31" s="3">
        <f>I31/kg_to_ton</f>
        <v>0.61623583583508368</v>
      </c>
    </row>
    <row r="32" spans="1:28" ht="17" x14ac:dyDescent="0.25">
      <c r="B32" s="304"/>
      <c r="C32" s="85" t="s">
        <v>23</v>
      </c>
      <c r="D32" s="3" t="s">
        <v>202</v>
      </c>
      <c r="E32" s="3">
        <f>E30</f>
        <v>3</v>
      </c>
      <c r="F32" s="3">
        <f>F30</f>
        <v>2.2078548232771098</v>
      </c>
      <c r="G32" s="3">
        <f t="shared" si="4"/>
        <v>16552.130965218472</v>
      </c>
      <c r="H32" s="3">
        <f>MW_CO2</f>
        <v>4.4009800000000002E-2</v>
      </c>
      <c r="I32" s="3">
        <f t="shared" si="3"/>
        <v>728.45597335307195</v>
      </c>
      <c r="J32" s="3">
        <f>I32/kg_to_ton</f>
        <v>0.72845597335307199</v>
      </c>
      <c r="N32" s="3" t="s">
        <v>414</v>
      </c>
      <c r="O32" s="3" t="s">
        <v>415</v>
      </c>
    </row>
    <row r="33" spans="2:23" x14ac:dyDescent="0.2">
      <c r="M33" s="3" t="s">
        <v>5</v>
      </c>
      <c r="N33" s="3" t="s">
        <v>1</v>
      </c>
      <c r="O33" s="3" t="s">
        <v>1</v>
      </c>
    </row>
    <row r="34" spans="2:23" x14ac:dyDescent="0.2">
      <c r="L34" s="13" t="s">
        <v>18</v>
      </c>
      <c r="M34" s="13" t="s">
        <v>12</v>
      </c>
      <c r="N34" s="13" t="s">
        <v>11</v>
      </c>
      <c r="O34" s="13" t="s">
        <v>11</v>
      </c>
    </row>
    <row r="35" spans="2:23" ht="18" x14ac:dyDescent="0.25">
      <c r="B35" s="293" t="s">
        <v>413</v>
      </c>
      <c r="C35" s="15" t="s">
        <v>331</v>
      </c>
      <c r="D35" s="26" t="s">
        <v>47</v>
      </c>
      <c r="E35" s="130">
        <f>(E36*F35)/F36</f>
        <v>6.247758228650753E-2</v>
      </c>
      <c r="F35" s="17">
        <f>(F36*G35)/G36</f>
        <v>1.6497105153854812E-2</v>
      </c>
      <c r="G35" s="17">
        <f>I35/H35</f>
        <v>123.6776268868441</v>
      </c>
      <c r="H35" s="17">
        <f>MW_MgCO3</f>
        <v>8.4314200000000006E-2</v>
      </c>
      <c r="I35" s="17">
        <f>MgCO3_in</f>
        <v>10.427780168862752</v>
      </c>
      <c r="J35" s="17">
        <f>I35/kg_to_ton</f>
        <v>1.0427780168862751E-2</v>
      </c>
      <c r="L35" s="13" t="s">
        <v>313</v>
      </c>
      <c r="M35" s="3">
        <f>MW_MgO-MW_O</f>
        <v>2.4305000000000004E-2</v>
      </c>
      <c r="N35" s="3">
        <f>M35*G35</f>
        <v>3.0059847214847464</v>
      </c>
      <c r="O35" s="3">
        <f>M35*G39</f>
        <v>3.0059847214847459</v>
      </c>
    </row>
    <row r="36" spans="2:23" ht="18" x14ac:dyDescent="0.25">
      <c r="B36" s="294"/>
      <c r="C36" s="19" t="s">
        <v>21</v>
      </c>
      <c r="D36" s="3" t="s">
        <v>203</v>
      </c>
      <c r="E36" s="128">
        <f>E37</f>
        <v>1</v>
      </c>
      <c r="F36" s="3">
        <f>F37</f>
        <v>0.26404839224096349</v>
      </c>
      <c r="G36" s="3">
        <f>F36*$J$12</f>
        <v>1979.5520626852608</v>
      </c>
      <c r="H36" s="3">
        <f>MW_CaCO3</f>
        <v>0.1000872</v>
      </c>
      <c r="I36" s="3">
        <f t="shared" ref="I36:I39" si="5">G36*H36</f>
        <v>198.12782320839224</v>
      </c>
      <c r="J36" s="3">
        <f>I36/kg_to_ton</f>
        <v>0.19812782320839226</v>
      </c>
      <c r="L36" s="13" t="s">
        <v>18</v>
      </c>
      <c r="M36" s="3">
        <f>MW_C</f>
        <v>1.2010999999999999E-2</v>
      </c>
      <c r="N36" s="3">
        <f>M36*(G35+G36)</f>
        <v>25.261891801450549</v>
      </c>
      <c r="O36" s="3">
        <f>M36*G38</f>
        <v>25.261891801450552</v>
      </c>
    </row>
    <row r="37" spans="2:23" ht="16" x14ac:dyDescent="0.2">
      <c r="B37" s="302" t="s">
        <v>114</v>
      </c>
      <c r="C37" s="87" t="s">
        <v>124</v>
      </c>
      <c r="D37" s="3" t="s">
        <v>204</v>
      </c>
      <c r="E37" s="128">
        <f>E41</f>
        <v>1</v>
      </c>
      <c r="F37" s="3">
        <f>F41</f>
        <v>0.26404839224096349</v>
      </c>
      <c r="G37" s="3">
        <f t="shared" ref="G37:G39" si="6">F37*$J$12</f>
        <v>1979.5520626852608</v>
      </c>
      <c r="H37" s="3">
        <f>MW_CaO</f>
        <v>5.6077400000000006E-2</v>
      </c>
      <c r="I37" s="3">
        <f t="shared" si="5"/>
        <v>111.00813284002646</v>
      </c>
      <c r="J37" s="3">
        <f>I37/kg_to_ton</f>
        <v>0.11100813284002646</v>
      </c>
      <c r="L37" s="13" t="s">
        <v>31</v>
      </c>
      <c r="M37" s="3">
        <f>MW_CaO-MW_O</f>
        <v>4.0078000000000003E-2</v>
      </c>
      <c r="N37" s="3">
        <f>M37*G36</f>
        <v>79.336487568299887</v>
      </c>
      <c r="O37" s="3">
        <f>M37*G37</f>
        <v>79.336487568299887</v>
      </c>
    </row>
    <row r="38" spans="2:23" ht="17" x14ac:dyDescent="0.25">
      <c r="B38" s="297"/>
      <c r="C38" s="31" t="s">
        <v>23</v>
      </c>
      <c r="D38" s="3" t="s">
        <v>1</v>
      </c>
      <c r="E38" s="131">
        <f>E35+E36</f>
        <v>1.0624775822865076</v>
      </c>
      <c r="F38" s="3">
        <f>F36+F35</f>
        <v>0.28054549739481832</v>
      </c>
      <c r="G38" s="3">
        <f t="shared" ref="G38" si="7">F38*$J$12</f>
        <v>2103.2296895721051</v>
      </c>
      <c r="H38" s="3">
        <f>MW_CO2</f>
        <v>4.4009800000000002E-2</v>
      </c>
      <c r="I38" s="3">
        <f>G38*H38</f>
        <v>92.56271799213043</v>
      </c>
      <c r="J38" s="3">
        <f>I38/kg_to_ton</f>
        <v>9.2562717992130436E-2</v>
      </c>
      <c r="L38" s="13" t="s">
        <v>29</v>
      </c>
      <c r="M38" s="3">
        <f>MW_O</f>
        <v>1.59994E-2</v>
      </c>
      <c r="N38" s="3">
        <f>M38*(G35+G36)</f>
        <v>33.650413095339935</v>
      </c>
      <c r="O38" s="3">
        <f>M38*(G37+G39)</f>
        <v>33.650413095339935</v>
      </c>
    </row>
    <row r="39" spans="2:23" x14ac:dyDescent="0.2">
      <c r="B39" s="297"/>
      <c r="C39" s="31" t="s">
        <v>180</v>
      </c>
      <c r="D39" s="3" t="s">
        <v>39</v>
      </c>
      <c r="E39" s="132">
        <f>E35</f>
        <v>6.247758228650753E-2</v>
      </c>
      <c r="F39" s="3">
        <f>F35</f>
        <v>1.6497105153854812E-2</v>
      </c>
      <c r="G39" s="3">
        <f t="shared" si="6"/>
        <v>123.67762688684408</v>
      </c>
      <c r="H39" s="3">
        <f>MW_MgO</f>
        <v>4.0304400000000004E-2</v>
      </c>
      <c r="I39" s="3">
        <f t="shared" si="5"/>
        <v>4.9847525450981189</v>
      </c>
      <c r="J39" s="3">
        <f>I39/kg_to_ton</f>
        <v>4.9847525450981188E-3</v>
      </c>
    </row>
    <row r="40" spans="2:23" x14ac:dyDescent="0.2">
      <c r="B40" s="17"/>
      <c r="C40" s="17"/>
      <c r="D40" s="17"/>
      <c r="E40" s="17"/>
      <c r="F40" s="17"/>
      <c r="G40" s="17"/>
      <c r="H40" s="17"/>
      <c r="I40" s="17"/>
      <c r="J40" s="17"/>
    </row>
    <row r="41" spans="2:23" ht="16" x14ac:dyDescent="0.2">
      <c r="B41" s="302" t="s">
        <v>114</v>
      </c>
      <c r="C41" s="19" t="s">
        <v>124</v>
      </c>
      <c r="D41" s="26" t="s">
        <v>32</v>
      </c>
      <c r="E41" s="17">
        <f>E43</f>
        <v>1</v>
      </c>
      <c r="F41" s="17">
        <f>F43</f>
        <v>0.26404839224096349</v>
      </c>
      <c r="G41" s="17">
        <f>F41*$J$12</f>
        <v>1979.5520626852608</v>
      </c>
      <c r="H41" s="17">
        <f>MW_CaO</f>
        <v>5.6077400000000006E-2</v>
      </c>
      <c r="I41" s="17">
        <f t="shared" ref="I41:I43" si="8">G41*H41</f>
        <v>111.00813284002646</v>
      </c>
      <c r="J41" s="17">
        <f>I41/kg_to_ton</f>
        <v>0.11100813284002646</v>
      </c>
    </row>
    <row r="42" spans="2:23" ht="18" x14ac:dyDescent="0.25">
      <c r="B42" s="302"/>
      <c r="C42" s="87" t="s">
        <v>17</v>
      </c>
      <c r="D42" s="3" t="s">
        <v>205</v>
      </c>
      <c r="E42" s="3">
        <v>1</v>
      </c>
      <c r="F42" s="3">
        <f>H13</f>
        <v>0.26404839224096349</v>
      </c>
      <c r="G42" s="3">
        <f t="shared" ref="G42:G43" si="9">F42*$J$12</f>
        <v>1979.5520626852608</v>
      </c>
      <c r="H42" s="3">
        <f>MW_SIO2</f>
        <v>6.00843E-2</v>
      </c>
      <c r="I42" s="3">
        <f t="shared" si="8"/>
        <v>118.94000000000001</v>
      </c>
      <c r="J42" s="3">
        <f>I42/kg_to_ton</f>
        <v>0.11894000000000002</v>
      </c>
    </row>
    <row r="43" spans="2:23" ht="18" x14ac:dyDescent="0.25">
      <c r="B43" s="81" t="s">
        <v>115</v>
      </c>
      <c r="C43" s="84" t="s">
        <v>22</v>
      </c>
      <c r="D43" s="3" t="s">
        <v>206</v>
      </c>
      <c r="E43" s="3">
        <f>E42</f>
        <v>1</v>
      </c>
      <c r="F43" s="3">
        <f>F42</f>
        <v>0.26404839224096349</v>
      </c>
      <c r="G43" s="3">
        <f t="shared" si="9"/>
        <v>1979.5520626852608</v>
      </c>
      <c r="H43" s="3">
        <f>MW_CaSiO3</f>
        <v>0.11616169999999999</v>
      </c>
      <c r="I43" s="3">
        <f t="shared" si="8"/>
        <v>229.94813284002646</v>
      </c>
      <c r="J43" s="3">
        <f>I43/kg_to_ton</f>
        <v>0.22994813284002646</v>
      </c>
    </row>
    <row r="44" spans="2:23" x14ac:dyDescent="0.2">
      <c r="B44" s="292" t="s">
        <v>19</v>
      </c>
      <c r="C44" s="292"/>
      <c r="D44" s="17"/>
      <c r="E44" s="17"/>
      <c r="F44" s="17"/>
      <c r="G44" s="17">
        <f>SUM(G19:G43)</f>
        <v>182073.20895991358</v>
      </c>
      <c r="H44" s="17"/>
      <c r="I44" s="17">
        <f>SUM(I19:I43)</f>
        <v>6965.5579720060041</v>
      </c>
      <c r="J44" s="17">
        <f>SUM(J19:J43)</f>
        <v>6.9655579720060032</v>
      </c>
    </row>
    <row r="46" spans="2:23" ht="16" thickBot="1" x14ac:dyDescent="0.25">
      <c r="B46" s="99"/>
      <c r="C46" s="99"/>
      <c r="D46" s="99"/>
      <c r="E46" s="99"/>
      <c r="F46" s="99"/>
      <c r="G46" s="99"/>
      <c r="H46" s="99"/>
      <c r="I46" s="99"/>
      <c r="J46" s="99"/>
      <c r="K46" s="99"/>
      <c r="L46" s="99"/>
      <c r="M46" s="99"/>
      <c r="N46" s="99"/>
      <c r="O46" s="99"/>
      <c r="P46" s="99"/>
      <c r="Q46" s="99"/>
      <c r="R46" s="99"/>
      <c r="S46" s="99"/>
      <c r="T46" s="99"/>
      <c r="U46" s="99"/>
      <c r="V46" s="99"/>
      <c r="W46" s="99"/>
    </row>
    <row r="47" spans="2:23" x14ac:dyDescent="0.2">
      <c r="C47" s="295" t="s">
        <v>352</v>
      </c>
      <c r="D47" s="295"/>
      <c r="E47" s="295"/>
      <c r="F47" s="295"/>
    </row>
    <row r="48" spans="2:23" x14ac:dyDescent="0.2">
      <c r="C48" s="296"/>
      <c r="D48" s="296"/>
      <c r="E48" s="296"/>
      <c r="F48" s="296"/>
      <c r="H48" s="287" t="s">
        <v>70</v>
      </c>
      <c r="I48" s="287"/>
      <c r="J48" s="287"/>
      <c r="K48" s="287"/>
      <c r="L48" s="287"/>
      <c r="M48" s="287"/>
    </row>
    <row r="49" spans="2:17" ht="18" x14ac:dyDescent="0.25">
      <c r="B49" s="3" t="s">
        <v>20</v>
      </c>
      <c r="C49" s="13" t="s">
        <v>65</v>
      </c>
      <c r="D49" s="13" t="s">
        <v>71</v>
      </c>
      <c r="E49" s="20" t="s">
        <v>72</v>
      </c>
      <c r="F49" s="20" t="s">
        <v>73</v>
      </c>
      <c r="H49" s="287" t="s">
        <v>74</v>
      </c>
      <c r="I49" s="287"/>
      <c r="J49" s="287"/>
      <c r="K49" s="13"/>
      <c r="L49" s="289" t="s">
        <v>359</v>
      </c>
      <c r="M49" s="290"/>
    </row>
    <row r="50" spans="2:17" ht="17" x14ac:dyDescent="0.25">
      <c r="B50" s="3" t="s">
        <v>11</v>
      </c>
      <c r="C50" s="13" t="s">
        <v>11</v>
      </c>
      <c r="D50" s="13" t="s">
        <v>76</v>
      </c>
      <c r="E50" s="13" t="s">
        <v>34</v>
      </c>
      <c r="F50" s="13"/>
    </row>
    <row r="51" spans="2:17" x14ac:dyDescent="0.2">
      <c r="B51" s="3">
        <f>Limestone_for_BF</f>
        <v>198.12782320839224</v>
      </c>
      <c r="C51" s="13">
        <f>B51*Lime_to_Energy_Conversion</f>
        <v>20798.316475388398</v>
      </c>
      <c r="D51" s="13">
        <f>E59</f>
        <v>1296430.0703487678</v>
      </c>
      <c r="E51" s="13">
        <v>1</v>
      </c>
      <c r="F51" s="13">
        <v>3.76</v>
      </c>
      <c r="H51" s="291" t="str">
        <f>_xlfn.CONCAT(H59," ",B59," ","+"," ",H60,"(",B60, " ","+"," ",F51," ",B61,")","  ", "--","&gt;","  ", Q59," ",K59," ","+"," ",Q60," ",K60," ","+"," ",Q61," ",K61," ","+"," ",Q62," ",B60)</f>
        <v>0.5 CH4 + 1(O2 + 3.76 N2)  --&gt;  0.5 CO2 + 0.25 H2O + 3.76 N2 +  O2</v>
      </c>
      <c r="I51" s="291"/>
      <c r="J51" s="291"/>
      <c r="K51" s="291"/>
      <c r="L51" s="291"/>
      <c r="M51" s="291"/>
    </row>
    <row r="52" spans="2:17" ht="16.25" customHeight="1" x14ac:dyDescent="0.25">
      <c r="C52" s="20" t="s">
        <v>24</v>
      </c>
      <c r="D52" s="13" t="s">
        <v>432</v>
      </c>
      <c r="H52" s="291"/>
      <c r="I52" s="291"/>
      <c r="J52" s="291"/>
      <c r="K52" s="291"/>
      <c r="L52" s="291"/>
      <c r="M52" s="291"/>
    </row>
    <row r="53" spans="2:17" ht="16.25" customHeight="1" x14ac:dyDescent="0.25">
      <c r="C53" s="13" t="s">
        <v>11</v>
      </c>
      <c r="D53" s="13" t="s">
        <v>76</v>
      </c>
    </row>
    <row r="54" spans="2:17" ht="15.5" customHeight="1" x14ac:dyDescent="0.2">
      <c r="C54" s="13">
        <f>C60</f>
        <v>60.427328393049869</v>
      </c>
      <c r="D54" s="13">
        <f>C54/D60</f>
        <v>1888.4248282138665</v>
      </c>
    </row>
    <row r="55" spans="2:17" ht="15.5" customHeight="1" x14ac:dyDescent="0.2"/>
    <row r="57" spans="2:17" x14ac:dyDescent="0.2">
      <c r="B57" s="25" t="s">
        <v>2</v>
      </c>
      <c r="C57" s="3" t="s">
        <v>1</v>
      </c>
      <c r="D57" s="3" t="s">
        <v>5</v>
      </c>
      <c r="E57" s="3" t="s">
        <v>32</v>
      </c>
      <c r="F57" s="3" t="s">
        <v>39</v>
      </c>
      <c r="G57" s="3" t="s">
        <v>44</v>
      </c>
      <c r="K57" s="25" t="s">
        <v>3</v>
      </c>
      <c r="L57" s="3" t="s">
        <v>1</v>
      </c>
      <c r="M57" s="3" t="s">
        <v>5</v>
      </c>
      <c r="N57" s="3" t="s">
        <v>32</v>
      </c>
      <c r="O57" s="3" t="s">
        <v>39</v>
      </c>
      <c r="P57" s="3" t="s">
        <v>44</v>
      </c>
    </row>
    <row r="58" spans="2:17" ht="18" x14ac:dyDescent="0.25">
      <c r="B58" s="13" t="s">
        <v>41</v>
      </c>
      <c r="C58" s="13" t="s">
        <v>11</v>
      </c>
      <c r="D58" s="19" t="s">
        <v>85</v>
      </c>
      <c r="E58" s="13" t="s">
        <v>42</v>
      </c>
      <c r="F58" s="13" t="s">
        <v>43</v>
      </c>
      <c r="G58" s="13" t="s">
        <v>69</v>
      </c>
      <c r="H58" s="34" t="s">
        <v>433</v>
      </c>
      <c r="K58" s="13" t="s">
        <v>41</v>
      </c>
      <c r="L58" s="13" t="s">
        <v>11</v>
      </c>
      <c r="M58" s="19" t="s">
        <v>85</v>
      </c>
      <c r="N58" s="13" t="s">
        <v>42</v>
      </c>
      <c r="O58" s="13" t="s">
        <v>43</v>
      </c>
      <c r="P58" s="13" t="s">
        <v>69</v>
      </c>
      <c r="Q58" s="34" t="s">
        <v>433</v>
      </c>
    </row>
    <row r="59" spans="2:17" ht="18" x14ac:dyDescent="0.25">
      <c r="B59" s="13" t="s">
        <v>65</v>
      </c>
      <c r="C59" s="3">
        <f>C51</f>
        <v>20798.316475388398</v>
      </c>
      <c r="D59" s="3">
        <f>MW_CH4</f>
        <v>1.604276E-2</v>
      </c>
      <c r="E59" s="3">
        <f>C59/D59</f>
        <v>1296430.0703487678</v>
      </c>
      <c r="F59" s="3">
        <f>E59/E62</f>
        <v>0.99234315568318432</v>
      </c>
      <c r="G59" s="30" t="s">
        <v>33</v>
      </c>
      <c r="H59" s="52">
        <f>Q59</f>
        <v>0.5</v>
      </c>
      <c r="K59" s="20" t="s">
        <v>64</v>
      </c>
      <c r="L59" s="3">
        <f>M59*N59</f>
        <v>166.21839800945324</v>
      </c>
      <c r="M59" s="3">
        <f>MW_CO2</f>
        <v>4.4009800000000002E-2</v>
      </c>
      <c r="N59" s="3">
        <f>O59*N63</f>
        <v>3776.849656427733</v>
      </c>
      <c r="O59" s="3">
        <f>F60*2</f>
        <v>2.8909626460547713E-3</v>
      </c>
      <c r="P59" s="30" t="s">
        <v>35</v>
      </c>
      <c r="Q59" s="3">
        <f>H60/2</f>
        <v>0.5</v>
      </c>
    </row>
    <row r="60" spans="2:17" ht="18" x14ac:dyDescent="0.25">
      <c r="B60" s="20" t="s">
        <v>24</v>
      </c>
      <c r="C60" s="3">
        <f>O2_Kiln_in</f>
        <v>60.427328393049869</v>
      </c>
      <c r="D60" s="3">
        <f>MW_O2</f>
        <v>3.1998800000000001E-2</v>
      </c>
      <c r="E60" s="3">
        <f>C60/D60</f>
        <v>1888.4248282138665</v>
      </c>
      <c r="F60" s="3">
        <f>E60/E62</f>
        <v>1.4454813230273856E-3</v>
      </c>
      <c r="G60" s="30" t="s">
        <v>34</v>
      </c>
      <c r="H60" s="3">
        <v>1</v>
      </c>
      <c r="K60" s="13" t="s">
        <v>68</v>
      </c>
      <c r="L60" s="3">
        <f>M60*N60</f>
        <v>136.08200815689884</v>
      </c>
      <c r="M60" s="3">
        <f>MW_H2O</f>
        <v>1.8015280000000002E-2</v>
      </c>
      <c r="N60" s="3">
        <f>O60*N63</f>
        <v>7553.6993128554659</v>
      </c>
      <c r="O60" s="3">
        <f>2*O59</f>
        <v>5.7819252921095425E-3</v>
      </c>
      <c r="P60" s="30" t="s">
        <v>36</v>
      </c>
      <c r="Q60" s="3">
        <f>0.5*Q59</f>
        <v>0.25</v>
      </c>
    </row>
    <row r="61" spans="2:17" ht="18" x14ac:dyDescent="0.25">
      <c r="B61" s="39" t="s">
        <v>67</v>
      </c>
      <c r="C61" s="3">
        <f>N2_Kiln_in</f>
        <v>227.32185443099715</v>
      </c>
      <c r="D61" s="3">
        <f>MW_N2</f>
        <v>2.801348E-2</v>
      </c>
      <c r="E61" s="3">
        <f>C61/D61</f>
        <v>8114.7309948994962</v>
      </c>
      <c r="F61" s="3">
        <f>E61/E62</f>
        <v>6.2113629937883101E-3</v>
      </c>
      <c r="G61" s="30" t="s">
        <v>207</v>
      </c>
      <c r="H61" s="71">
        <f>H60*3.76</f>
        <v>3.76</v>
      </c>
      <c r="K61" s="39" t="s">
        <v>67</v>
      </c>
      <c r="L61" s="3">
        <f>C61</f>
        <v>227.32185443099715</v>
      </c>
      <c r="M61" s="3">
        <f>MW_N2</f>
        <v>2.801348E-2</v>
      </c>
      <c r="N61" s="3">
        <f>E61</f>
        <v>8114.7309948994962</v>
      </c>
      <c r="O61" s="3">
        <f>N61/N63</f>
        <v>6.2113629937883101E-3</v>
      </c>
      <c r="P61" s="30" t="s">
        <v>37</v>
      </c>
      <c r="Q61" s="3">
        <f>H61</f>
        <v>3.76</v>
      </c>
    </row>
    <row r="62" spans="2:17" ht="17" x14ac:dyDescent="0.25">
      <c r="B62" s="17" t="s">
        <v>19</v>
      </c>
      <c r="C62" s="40">
        <f>SUM(C59:C61)</f>
        <v>21086.065658212443</v>
      </c>
      <c r="D62" s="41">
        <f>SUM(D59:D61)</f>
        <v>7.605503999999999E-2</v>
      </c>
      <c r="E62" s="41">
        <f>SUM(E59:E61)</f>
        <v>1306433.2261718812</v>
      </c>
      <c r="F62" s="40">
        <f>SUM(F59:F61)</f>
        <v>1</v>
      </c>
      <c r="G62" s="17"/>
      <c r="H62" s="17"/>
      <c r="K62" s="13" t="s">
        <v>65</v>
      </c>
      <c r="L62" s="145">
        <f>C62- SUM(L59:L61)</f>
        <v>20556.443397615094</v>
      </c>
      <c r="M62" s="3">
        <f>MW_CH4</f>
        <v>1.604276E-2</v>
      </c>
      <c r="N62" s="145">
        <f>CH4_Kiln_out/M62</f>
        <v>1281353.29566827</v>
      </c>
      <c r="O62" s="3">
        <f>N62/N63</f>
        <v>0.98080274597952433</v>
      </c>
      <c r="P62" s="30" t="s">
        <v>38</v>
      </c>
    </row>
    <row r="63" spans="2:17" ht="19.25" customHeight="1" x14ac:dyDescent="0.2">
      <c r="K63" s="17" t="s">
        <v>19</v>
      </c>
      <c r="L63" s="147">
        <f>SUM(L59:L62)</f>
        <v>21086.065658212443</v>
      </c>
      <c r="M63" s="147"/>
      <c r="N63" s="147">
        <f>E62</f>
        <v>1306433.2261718812</v>
      </c>
      <c r="O63" s="147">
        <f>F62</f>
        <v>1</v>
      </c>
      <c r="P63" s="17"/>
      <c r="Q63" s="17"/>
    </row>
    <row r="65" spans="2:41" ht="16.25" customHeight="1" x14ac:dyDescent="0.2"/>
    <row r="66" spans="2:41" ht="15.5" customHeight="1" x14ac:dyDescent="0.2"/>
    <row r="67" spans="2:41" ht="19.25" customHeight="1" x14ac:dyDescent="0.2"/>
    <row r="68" spans="2:41" ht="16" thickBot="1" x14ac:dyDescent="0.25">
      <c r="B68" s="99"/>
      <c r="C68" s="99"/>
      <c r="D68" s="99"/>
      <c r="E68" s="99"/>
      <c r="F68" s="99"/>
      <c r="G68" s="99"/>
      <c r="H68" s="99"/>
      <c r="I68" s="99"/>
      <c r="J68" s="99"/>
      <c r="K68" s="99"/>
      <c r="L68" s="99"/>
      <c r="M68" s="99"/>
      <c r="N68" s="99"/>
      <c r="O68" s="99"/>
      <c r="P68" s="99"/>
      <c r="Q68" s="99"/>
      <c r="R68" s="99"/>
      <c r="S68" s="99"/>
      <c r="T68" s="99"/>
      <c r="U68" s="99"/>
      <c r="V68" s="99"/>
      <c r="W68" s="99"/>
    </row>
    <row r="69" spans="2:41" x14ac:dyDescent="0.2">
      <c r="B69" s="295" t="s">
        <v>380</v>
      </c>
      <c r="C69" s="295"/>
      <c r="D69" s="295"/>
      <c r="E69" s="295"/>
      <c r="F69" s="295"/>
      <c r="G69" s="295"/>
      <c r="W69" s="158"/>
      <c r="Y69" s="307" t="s">
        <v>503</v>
      </c>
      <c r="Z69" s="307"/>
      <c r="AA69" s="307"/>
      <c r="AB69" s="307"/>
      <c r="AC69" s="307"/>
      <c r="AD69" s="307"/>
      <c r="AE69" s="307"/>
      <c r="AF69" s="307"/>
    </row>
    <row r="70" spans="2:41" x14ac:dyDescent="0.2">
      <c r="B70" s="309"/>
      <c r="C70" s="309"/>
      <c r="D70" s="309"/>
      <c r="E70" s="309"/>
      <c r="F70" s="309"/>
      <c r="G70" s="309"/>
      <c r="W70" s="156"/>
      <c r="Y70" s="307"/>
      <c r="Z70" s="307"/>
      <c r="AA70" s="307"/>
      <c r="AB70" s="307"/>
      <c r="AC70" s="307"/>
      <c r="AD70" s="307"/>
      <c r="AE70" s="307"/>
      <c r="AF70" s="307"/>
    </row>
    <row r="71" spans="2:41" x14ac:dyDescent="0.2">
      <c r="E71" s="13"/>
      <c r="F71" s="13" t="s">
        <v>47</v>
      </c>
      <c r="G71" s="13" t="s">
        <v>1</v>
      </c>
      <c r="H71" s="13" t="s">
        <v>384</v>
      </c>
      <c r="X71" s="156"/>
      <c r="Y71" s="307"/>
      <c r="Z71" s="307"/>
      <c r="AA71" s="307"/>
      <c r="AB71" s="307"/>
      <c r="AC71" s="307"/>
      <c r="AD71" s="307"/>
      <c r="AE71" s="307"/>
      <c r="AF71" s="307"/>
    </row>
    <row r="72" spans="2:41" x14ac:dyDescent="0.2">
      <c r="B72" s="13" t="s">
        <v>18</v>
      </c>
      <c r="C72" s="13" t="s">
        <v>5</v>
      </c>
      <c r="D72" s="34" t="s">
        <v>366</v>
      </c>
      <c r="E72" s="13"/>
      <c r="F72" s="13" t="s">
        <v>241</v>
      </c>
      <c r="G72" s="13" t="s">
        <v>11</v>
      </c>
      <c r="H72" s="13" t="s">
        <v>385</v>
      </c>
      <c r="X72" s="156"/>
    </row>
    <row r="73" spans="2:41" ht="17" x14ac:dyDescent="0.25">
      <c r="B73" s="13" t="s">
        <v>11</v>
      </c>
      <c r="C73" s="13" t="s">
        <v>12</v>
      </c>
      <c r="D73" s="34" t="s">
        <v>367</v>
      </c>
      <c r="E73" s="13" t="s">
        <v>18</v>
      </c>
      <c r="F73" s="13">
        <v>0.86</v>
      </c>
      <c r="G73" s="13">
        <f>Coking_BF_in</f>
        <v>198.80764502323905</v>
      </c>
      <c r="H73" s="13">
        <v>1</v>
      </c>
      <c r="X73" s="156"/>
      <c r="Y73" s="172" t="s">
        <v>114</v>
      </c>
      <c r="Z73" s="3" t="s">
        <v>1</v>
      </c>
      <c r="AA73" s="3" t="s">
        <v>47</v>
      </c>
      <c r="AB73" s="3" t="s">
        <v>5</v>
      </c>
      <c r="AC73" s="202" t="s">
        <v>412</v>
      </c>
      <c r="AD73" s="3" t="s">
        <v>39</v>
      </c>
      <c r="AG73" s="172" t="s">
        <v>114</v>
      </c>
      <c r="AH73" s="202" t="s">
        <v>412</v>
      </c>
      <c r="AJ73" s="202" t="s">
        <v>412</v>
      </c>
      <c r="AL73" s="172" t="s">
        <v>115</v>
      </c>
      <c r="AM73" s="202" t="s">
        <v>412</v>
      </c>
      <c r="AO73" s="202" t="s">
        <v>412</v>
      </c>
    </row>
    <row r="74" spans="2:41" ht="18" x14ac:dyDescent="0.25">
      <c r="B74" s="13">
        <f>C_for_BF</f>
        <v>198.80764502323905</v>
      </c>
      <c r="C74" s="13">
        <f>MW_C</f>
        <v>1.2010999999999999E-2</v>
      </c>
      <c r="D74" s="34">
        <f>B74/C74</f>
        <v>16552.130965218472</v>
      </c>
      <c r="E74" s="13" t="s">
        <v>378</v>
      </c>
      <c r="F74" s="13">
        <f>(F73*G74)/G73</f>
        <v>0.30099999999999999</v>
      </c>
      <c r="G74" s="13">
        <f>(G73*H74)</f>
        <v>69.582675758133661</v>
      </c>
      <c r="H74" s="13">
        <v>0.35</v>
      </c>
      <c r="Q74" s="202" t="s">
        <v>412</v>
      </c>
      <c r="S74" s="202" t="s">
        <v>412</v>
      </c>
      <c r="V74" s="156"/>
      <c r="Y74" s="13" t="s">
        <v>41</v>
      </c>
      <c r="Z74" s="13" t="s">
        <v>11</v>
      </c>
      <c r="AA74" s="13" t="s">
        <v>241</v>
      </c>
      <c r="AB74" s="19" t="s">
        <v>85</v>
      </c>
      <c r="AC74" s="13" t="s">
        <v>42</v>
      </c>
      <c r="AD74" s="13" t="s">
        <v>43</v>
      </c>
      <c r="AH74" s="13" t="s">
        <v>42</v>
      </c>
      <c r="AI74" s="1"/>
      <c r="AJ74" s="13" t="s">
        <v>42</v>
      </c>
      <c r="AM74" s="13" t="s">
        <v>42</v>
      </c>
      <c r="AN74" s="1"/>
      <c r="AO74" s="13" t="s">
        <v>42</v>
      </c>
    </row>
    <row r="75" spans="2:41" ht="17" x14ac:dyDescent="0.25">
      <c r="E75" s="13" t="s">
        <v>381</v>
      </c>
      <c r="F75" s="13">
        <v>0.08</v>
      </c>
      <c r="G75" s="13">
        <f>(F75*G73)/F73</f>
        <v>18.493734420766422</v>
      </c>
      <c r="H75" s="13"/>
      <c r="Q75" s="13" t="s">
        <v>42</v>
      </c>
      <c r="R75" s="1"/>
      <c r="S75" s="13" t="s">
        <v>42</v>
      </c>
      <c r="V75" s="156"/>
      <c r="Y75" s="13" t="s">
        <v>66</v>
      </c>
      <c r="Z75" s="26">
        <f t="shared" ref="Z75:Z80" si="10">AA75*$Z$81</f>
        <v>39.801290533652448</v>
      </c>
      <c r="AA75" s="17">
        <v>0.57199999999999995</v>
      </c>
      <c r="AB75" s="17">
        <f>MW_H*2</f>
        <v>2.0158800000000003E-3</v>
      </c>
      <c r="AC75" s="236">
        <f>Z75/AB75</f>
        <v>19743.878868609463</v>
      </c>
      <c r="AD75" s="3">
        <f t="shared" ref="AD75:AD80" si="11">AC75/$AC$81</f>
        <v>0.92235600940319784</v>
      </c>
      <c r="AG75" s="61" t="s">
        <v>18</v>
      </c>
      <c r="AH75" s="1">
        <f>2*AC76</f>
        <v>99.21333291242766</v>
      </c>
      <c r="AI75" s="19" t="s">
        <v>183</v>
      </c>
      <c r="AJ75" s="1">
        <f>4*AC76</f>
        <v>198.42666582485532</v>
      </c>
      <c r="AL75" s="13"/>
      <c r="AM75" s="1"/>
      <c r="AN75" s="19" t="s">
        <v>183</v>
      </c>
      <c r="AO75" s="1">
        <f>AJ79+AJ75-AO79</f>
        <v>38753.639905929129</v>
      </c>
    </row>
    <row r="76" spans="2:41" ht="17" x14ac:dyDescent="0.25">
      <c r="P76" s="13" t="s">
        <v>18</v>
      </c>
      <c r="Q76" s="1">
        <f>2*Q77</f>
        <v>99.21333291242766</v>
      </c>
      <c r="R76" s="19" t="s">
        <v>183</v>
      </c>
      <c r="S76" s="1">
        <f>4*S77</f>
        <v>198.42666582485532</v>
      </c>
      <c r="V76" s="156"/>
      <c r="Y76" s="61" t="s">
        <v>372</v>
      </c>
      <c r="Z76" s="24">
        <f t="shared" si="10"/>
        <v>1.3916535151626732</v>
      </c>
      <c r="AA76" s="3">
        <v>0.02</v>
      </c>
      <c r="AB76" s="3">
        <f>MW_C2H4</f>
        <v>2.8053759999999997E-2</v>
      </c>
      <c r="AC76" s="156">
        <f t="shared" ref="AC76:AC80" si="12">Z76/AB76</f>
        <v>49.60666645621383</v>
      </c>
      <c r="AD76" s="3">
        <f t="shared" si="11"/>
        <v>2.3174274526721371E-3</v>
      </c>
      <c r="AG76" s="61" t="s">
        <v>372</v>
      </c>
      <c r="AH76" s="1">
        <f>AC76</f>
        <v>49.60666645621383</v>
      </c>
      <c r="AI76" s="61" t="s">
        <v>372</v>
      </c>
      <c r="AJ76" s="1">
        <f>AH76</f>
        <v>49.60666645621383</v>
      </c>
      <c r="AL76" s="61"/>
      <c r="AM76" s="1"/>
      <c r="AN76" s="13" t="s">
        <v>66</v>
      </c>
      <c r="AO76" s="1">
        <f>AO75/2</f>
        <v>19376.819952964564</v>
      </c>
    </row>
    <row r="77" spans="2:41" ht="17" x14ac:dyDescent="0.25">
      <c r="K77" s="4"/>
      <c r="P77" s="61" t="s">
        <v>372</v>
      </c>
      <c r="Q77" s="1">
        <f>F81</f>
        <v>49.60666645621383</v>
      </c>
      <c r="R77" s="61" t="s">
        <v>372</v>
      </c>
      <c r="S77" s="1">
        <f>Q77</f>
        <v>49.60666645621383</v>
      </c>
      <c r="V77" s="156"/>
      <c r="Y77" s="13" t="s">
        <v>123</v>
      </c>
      <c r="Z77" s="24">
        <f t="shared" si="10"/>
        <v>3.1312204091160147</v>
      </c>
      <c r="AA77" s="3">
        <v>4.4999999999999998E-2</v>
      </c>
      <c r="AB77" s="3">
        <f>MW_CO</f>
        <v>2.8010399999999998E-2</v>
      </c>
      <c r="AC77" s="156">
        <f t="shared" si="12"/>
        <v>111.78777915045893</v>
      </c>
      <c r="AD77" s="3">
        <f t="shared" si="11"/>
        <v>5.2222833498636167E-3</v>
      </c>
      <c r="AG77" s="4"/>
      <c r="AH77" s="1"/>
      <c r="AI77" s="1"/>
      <c r="AJ77" s="6"/>
      <c r="AL77" s="4"/>
      <c r="AM77" s="1"/>
      <c r="AO77" s="6"/>
    </row>
    <row r="78" spans="2:41" ht="18" x14ac:dyDescent="0.25">
      <c r="B78" s="25" t="s">
        <v>391</v>
      </c>
      <c r="C78" s="3" t="s">
        <v>1</v>
      </c>
      <c r="D78" s="3" t="s">
        <v>47</v>
      </c>
      <c r="E78" s="3" t="s">
        <v>5</v>
      </c>
      <c r="F78" s="202" t="s">
        <v>412</v>
      </c>
      <c r="H78" s="202" t="s">
        <v>412</v>
      </c>
      <c r="I78" s="202" t="s">
        <v>412</v>
      </c>
      <c r="J78" s="202" t="s">
        <v>412</v>
      </c>
      <c r="K78" s="202" t="s">
        <v>412</v>
      </c>
      <c r="L78" s="202" t="s">
        <v>412</v>
      </c>
      <c r="M78" s="4"/>
      <c r="N78" s="4"/>
      <c r="O78" s="4"/>
      <c r="P78" s="4"/>
      <c r="Q78" s="1"/>
      <c r="R78" s="1"/>
      <c r="S78" s="6"/>
      <c r="V78" s="156"/>
      <c r="Y78" s="20" t="s">
        <v>64</v>
      </c>
      <c r="Z78" s="24">
        <f t="shared" si="10"/>
        <v>0.97415746061387132</v>
      </c>
      <c r="AA78" s="3">
        <v>1.4E-2</v>
      </c>
      <c r="AB78" s="3">
        <f>MW_CO2</f>
        <v>4.4009800000000002E-2</v>
      </c>
      <c r="AC78" s="156">
        <f t="shared" si="12"/>
        <v>22.135012215776289</v>
      </c>
      <c r="AD78" s="3">
        <f t="shared" si="11"/>
        <v>1.0340603116186133E-3</v>
      </c>
      <c r="AG78" s="1"/>
      <c r="AH78" s="6"/>
      <c r="AI78" s="6"/>
      <c r="AJ78" s="1"/>
      <c r="AL78" s="1"/>
      <c r="AM78" s="6"/>
      <c r="AN78" s="6"/>
      <c r="AO78" s="1"/>
    </row>
    <row r="79" spans="2:41" ht="18" x14ac:dyDescent="0.25">
      <c r="B79" s="13" t="s">
        <v>41</v>
      </c>
      <c r="C79" s="13" t="s">
        <v>11</v>
      </c>
      <c r="D79" s="13" t="s">
        <v>241</v>
      </c>
      <c r="E79" s="19" t="s">
        <v>85</v>
      </c>
      <c r="F79" s="13" t="s">
        <v>42</v>
      </c>
      <c r="G79" s="1"/>
      <c r="H79" s="13" t="s">
        <v>386</v>
      </c>
      <c r="I79" s="13" t="s">
        <v>367</v>
      </c>
      <c r="J79" s="61" t="s">
        <v>387</v>
      </c>
      <c r="K79" s="61" t="s">
        <v>388</v>
      </c>
      <c r="L79" s="19" t="s">
        <v>389</v>
      </c>
      <c r="M79" s="1"/>
      <c r="N79" s="1"/>
      <c r="O79" s="1"/>
      <c r="P79" s="1"/>
      <c r="Q79" s="6"/>
      <c r="R79" s="6"/>
      <c r="S79" s="1"/>
      <c r="V79" s="156"/>
      <c r="W79"/>
      <c r="X79"/>
      <c r="Y79" s="39" t="s">
        <v>67</v>
      </c>
      <c r="Z79" s="24">
        <f t="shared" si="10"/>
        <v>1.3220708394045395</v>
      </c>
      <c r="AA79" s="3">
        <v>1.9E-2</v>
      </c>
      <c r="AB79" s="3">
        <f>MW_N2</f>
        <v>2.801348E-2</v>
      </c>
      <c r="AC79" s="156">
        <f t="shared" si="12"/>
        <v>47.194095107231931</v>
      </c>
      <c r="AD79" s="3">
        <f t="shared" si="11"/>
        <v>2.2047216517170204E-3</v>
      </c>
      <c r="AI79" s="19" t="s">
        <v>183</v>
      </c>
      <c r="AJ79" s="3">
        <f>2*AJ80</f>
        <v>39487.757737218926</v>
      </c>
      <c r="AL79" s="19" t="s">
        <v>18</v>
      </c>
      <c r="AM79" s="3">
        <f>AH83+AH87+AH75</f>
        <v>233.13612427866289</v>
      </c>
      <c r="AN79" s="19" t="s">
        <v>183</v>
      </c>
      <c r="AO79" s="3">
        <f>4*AO80</f>
        <v>932.54449711465156</v>
      </c>
    </row>
    <row r="80" spans="2:41" ht="17" x14ac:dyDescent="0.25">
      <c r="B80" s="13" t="s">
        <v>66</v>
      </c>
      <c r="C80" s="17">
        <f>D80*$C$86</f>
        <v>39.801290533652448</v>
      </c>
      <c r="D80" s="17">
        <v>0.57199999999999995</v>
      </c>
      <c r="E80" s="17">
        <f>MW_H*2</f>
        <v>2.0158800000000003E-3</v>
      </c>
      <c r="F80" s="17">
        <f t="shared" ref="F80:F85" si="13">C80/E80</f>
        <v>19743.878868609463</v>
      </c>
      <c r="G80" s="1"/>
      <c r="H80" s="3">
        <f>(2*F80)+S76+S80</f>
        <v>45411.454369105508</v>
      </c>
      <c r="I80" s="3">
        <f>Q76+Q80+Q84+Q88</f>
        <v>1664.4536157940945</v>
      </c>
      <c r="J80" s="4">
        <f>S84+S88</f>
        <v>156.0578035820115</v>
      </c>
      <c r="K80" s="4">
        <f>F84</f>
        <v>47.194095107231931</v>
      </c>
      <c r="L80" s="1">
        <f>SUM(H80:K80)+I81</f>
        <v>63831.290848807323</v>
      </c>
      <c r="M80" s="1"/>
      <c r="N80" s="1"/>
      <c r="O80" s="1"/>
      <c r="P80" s="19" t="s">
        <v>18</v>
      </c>
      <c r="Q80" s="3">
        <f>Q81</f>
        <v>1431.3174915154318</v>
      </c>
      <c r="R80" s="13" t="s">
        <v>183</v>
      </c>
      <c r="S80" s="3">
        <f>4*S81</f>
        <v>5725.2699660617272</v>
      </c>
      <c r="V80" s="156"/>
      <c r="Y80" s="13" t="s">
        <v>65</v>
      </c>
      <c r="Z80" s="166">
        <f t="shared" si="10"/>
        <v>22.962283000184108</v>
      </c>
      <c r="AA80" s="28">
        <v>0.33</v>
      </c>
      <c r="AB80" s="28">
        <f>MW_CH4</f>
        <v>1.604276E-2</v>
      </c>
      <c r="AC80" s="237">
        <f t="shared" si="12"/>
        <v>1431.3174915154318</v>
      </c>
      <c r="AD80" s="3">
        <f t="shared" si="11"/>
        <v>6.6865497830930945E-2</v>
      </c>
      <c r="AI80" s="13" t="s">
        <v>66</v>
      </c>
      <c r="AJ80" s="3">
        <f>AC75</f>
        <v>19743.878868609463</v>
      </c>
      <c r="AL80" s="13" t="s">
        <v>65</v>
      </c>
      <c r="AM80" s="3">
        <f>AM79</f>
        <v>233.13612427866289</v>
      </c>
      <c r="AN80" s="13" t="s">
        <v>65</v>
      </c>
      <c r="AO80" s="3">
        <f>AM80</f>
        <v>233.13612427866289</v>
      </c>
    </row>
    <row r="81" spans="2:39" ht="17" x14ac:dyDescent="0.25">
      <c r="B81" s="61" t="s">
        <v>372</v>
      </c>
      <c r="C81" s="17">
        <f t="shared" ref="C81:C85" si="14">D81*$C$86</f>
        <v>1.3916535151626732</v>
      </c>
      <c r="D81" s="3">
        <v>0.02</v>
      </c>
      <c r="E81" s="3">
        <f>MW_C2H4</f>
        <v>2.8053759999999997E-2</v>
      </c>
      <c r="F81" s="3">
        <f t="shared" si="13"/>
        <v>49.60666645621383</v>
      </c>
      <c r="G81" s="1"/>
      <c r="I81" s="3">
        <f>mol_C_to_BF</f>
        <v>16552.130965218472</v>
      </c>
      <c r="J81" s="4"/>
      <c r="K81" s="4"/>
      <c r="L81" s="6"/>
      <c r="M81" s="6"/>
      <c r="N81" s="6"/>
      <c r="O81" s="6"/>
      <c r="P81" s="13" t="s">
        <v>65</v>
      </c>
      <c r="Q81" s="3">
        <f>F85</f>
        <v>1431.3174915154318</v>
      </c>
      <c r="R81" s="13" t="s">
        <v>65</v>
      </c>
      <c r="S81" s="3">
        <f>Q81</f>
        <v>1431.3174915154318</v>
      </c>
      <c r="V81" s="156"/>
      <c r="Y81" s="3" t="s">
        <v>19</v>
      </c>
      <c r="Z81" s="3">
        <f>C86</f>
        <v>69.582675758133661</v>
      </c>
      <c r="AA81" s="3">
        <f>SUM(AA75:AA80)</f>
        <v>1</v>
      </c>
      <c r="AC81" s="3">
        <f>SUM(AC75:AC80)</f>
        <v>21405.919913054571</v>
      </c>
      <c r="AD81" s="3">
        <f>SUM(AD75:AD80)</f>
        <v>1.0000000000000002</v>
      </c>
      <c r="AG81" s="6"/>
      <c r="AL81" s="6"/>
    </row>
    <row r="82" spans="2:39" ht="16" x14ac:dyDescent="0.2">
      <c r="B82" s="13" t="s">
        <v>123</v>
      </c>
      <c r="C82" s="17">
        <f t="shared" si="14"/>
        <v>3.1312204091160147</v>
      </c>
      <c r="D82" s="3">
        <v>4.4999999999999998E-2</v>
      </c>
      <c r="E82" s="3">
        <f>MW_CO</f>
        <v>2.8010399999999998E-2</v>
      </c>
      <c r="F82" s="3">
        <f t="shared" si="13"/>
        <v>111.78777915045893</v>
      </c>
      <c r="G82" s="1"/>
      <c r="I82" s="3">
        <f>SUM(I80:I81)</f>
        <v>18216.584581012565</v>
      </c>
      <c r="J82" s="4"/>
      <c r="K82" s="4"/>
      <c r="L82" s="6"/>
      <c r="M82" s="6"/>
      <c r="N82" s="6"/>
      <c r="O82" s="6"/>
      <c r="P82" s="6"/>
      <c r="V82" s="156"/>
    </row>
    <row r="83" spans="2:39" ht="18" x14ac:dyDescent="0.25">
      <c r="B83" s="20" t="s">
        <v>64</v>
      </c>
      <c r="C83" s="17">
        <f t="shared" si="14"/>
        <v>0.97415746061387132</v>
      </c>
      <c r="D83" s="3">
        <v>1.4E-2</v>
      </c>
      <c r="E83" s="3">
        <f>MW_CO2</f>
        <v>4.4009800000000002E-2</v>
      </c>
      <c r="F83" s="3">
        <f t="shared" si="13"/>
        <v>22.135012215776289</v>
      </c>
      <c r="G83" s="1"/>
      <c r="H83" s="3">
        <f>H80/I82</f>
        <v>2.4928632569487581</v>
      </c>
      <c r="I83" s="3">
        <v>1</v>
      </c>
      <c r="J83" s="4">
        <f>J80/I82</f>
        <v>8.5667981771222375E-3</v>
      </c>
      <c r="K83" s="1">
        <f>K80/I82</f>
        <v>2.5907213779482619E-3</v>
      </c>
      <c r="L83" s="3">
        <f>I82*L80</f>
        <v>1162788108.6625118</v>
      </c>
      <c r="V83" s="156"/>
      <c r="AG83" s="19" t="s">
        <v>18</v>
      </c>
      <c r="AH83" s="3">
        <f>AH84</f>
        <v>22.135012215776289</v>
      </c>
      <c r="AI83" s="242" t="s">
        <v>29</v>
      </c>
      <c r="AJ83" s="3">
        <f>2*AJ84</f>
        <v>44.270024431552578</v>
      </c>
      <c r="AL83" s="13" t="s">
        <v>29</v>
      </c>
      <c r="AM83" s="3">
        <f>AJ87+AJ83</f>
        <v>156.0578035820115</v>
      </c>
    </row>
    <row r="84" spans="2:39" ht="18" x14ac:dyDescent="0.25">
      <c r="B84" s="39" t="s">
        <v>67</v>
      </c>
      <c r="C84" s="17">
        <f t="shared" si="14"/>
        <v>1.3220708394045395</v>
      </c>
      <c r="D84" s="3">
        <v>1.9E-2</v>
      </c>
      <c r="E84" s="3">
        <f>MW_N2</f>
        <v>2.801348E-2</v>
      </c>
      <c r="F84" s="3">
        <f t="shared" si="13"/>
        <v>47.194095107231931</v>
      </c>
      <c r="G84" s="4"/>
      <c r="H84" s="4"/>
      <c r="I84" s="4"/>
      <c r="J84" s="4"/>
      <c r="K84" s="1"/>
      <c r="P84" s="19" t="s">
        <v>18</v>
      </c>
      <c r="Q84" s="3">
        <f>Q85</f>
        <v>22.135012215776289</v>
      </c>
      <c r="R84" s="13" t="s">
        <v>29</v>
      </c>
      <c r="S84" s="3">
        <f>2*S85</f>
        <v>44.270024431552578</v>
      </c>
      <c r="V84" s="156"/>
      <c r="AG84" s="20" t="s">
        <v>64</v>
      </c>
      <c r="AH84" s="3">
        <f>AC78</f>
        <v>22.135012215776289</v>
      </c>
      <c r="AI84" s="20" t="s">
        <v>64</v>
      </c>
      <c r="AJ84" s="3">
        <f>AH84</f>
        <v>22.135012215776289</v>
      </c>
      <c r="AL84" s="238" t="s">
        <v>24</v>
      </c>
      <c r="AM84" s="3">
        <f>AM83/2</f>
        <v>78.028901791005751</v>
      </c>
    </row>
    <row r="85" spans="2:39" ht="18" x14ac:dyDescent="0.25">
      <c r="B85" s="13" t="s">
        <v>65</v>
      </c>
      <c r="C85" s="17">
        <f t="shared" si="14"/>
        <v>22.962283000184108</v>
      </c>
      <c r="D85" s="3">
        <v>0.33</v>
      </c>
      <c r="E85" s="3">
        <f>MW_CH4</f>
        <v>1.604276E-2</v>
      </c>
      <c r="F85" s="3">
        <f t="shared" si="13"/>
        <v>1431.3174915154318</v>
      </c>
      <c r="G85" s="1"/>
      <c r="H85" s="1"/>
      <c r="I85" s="1"/>
      <c r="J85" s="1"/>
      <c r="K85" s="6"/>
      <c r="P85" s="20" t="s">
        <v>64</v>
      </c>
      <c r="Q85" s="3">
        <f>F83</f>
        <v>22.135012215776289</v>
      </c>
      <c r="R85" s="20" t="s">
        <v>64</v>
      </c>
      <c r="S85" s="3">
        <f>Q85</f>
        <v>22.135012215776289</v>
      </c>
      <c r="V85" s="156"/>
      <c r="Y85" s="172" t="s">
        <v>115</v>
      </c>
      <c r="Z85" s="3" t="s">
        <v>1</v>
      </c>
      <c r="AA85" s="3" t="s">
        <v>47</v>
      </c>
      <c r="AB85" s="3" t="s">
        <v>5</v>
      </c>
      <c r="AC85" s="202" t="s">
        <v>412</v>
      </c>
      <c r="AD85" s="3" t="s">
        <v>39</v>
      </c>
    </row>
    <row r="86" spans="2:39" ht="18" x14ac:dyDescent="0.25">
      <c r="B86" s="3" t="s">
        <v>19</v>
      </c>
      <c r="C86" s="3">
        <f>COG_needed</f>
        <v>69.582675758133661</v>
      </c>
      <c r="D86" s="3">
        <f>SUM(D80:D85)</f>
        <v>1</v>
      </c>
      <c r="F86" s="3">
        <f>SUM(F80:F85)</f>
        <v>21405.919913054571</v>
      </c>
      <c r="G86" s="1"/>
      <c r="H86" s="1"/>
      <c r="I86" s="1"/>
      <c r="J86" s="1"/>
      <c r="K86" s="6"/>
      <c r="V86" s="156"/>
      <c r="Y86" s="13" t="s">
        <v>41</v>
      </c>
      <c r="Z86" s="31" t="s">
        <v>11</v>
      </c>
      <c r="AA86" s="31" t="s">
        <v>241</v>
      </c>
      <c r="AB86" s="79" t="s">
        <v>85</v>
      </c>
      <c r="AC86" s="31" t="s">
        <v>42</v>
      </c>
      <c r="AD86" s="31" t="s">
        <v>43</v>
      </c>
    </row>
    <row r="87" spans="2:39" ht="17" x14ac:dyDescent="0.25">
      <c r="E87" s="56"/>
      <c r="F87" s="7"/>
      <c r="G87" s="6"/>
      <c r="H87" s="6"/>
      <c r="I87" s="6"/>
      <c r="J87" s="1"/>
      <c r="K87" s="4"/>
      <c r="V87" s="156"/>
      <c r="Y87" s="34" t="s">
        <v>66</v>
      </c>
      <c r="Z87" s="24">
        <f t="shared" ref="Z87:Z90" si="15">AB87*AC87</f>
        <v>39.061343806782212</v>
      </c>
      <c r="AA87" s="3">
        <f>Z87/$Z$91</f>
        <v>0.56136593456908346</v>
      </c>
      <c r="AB87" s="3">
        <f>MW_H*2</f>
        <v>2.0158800000000003E-3</v>
      </c>
      <c r="AC87" s="3">
        <f>AO76</f>
        <v>19376.819952964564</v>
      </c>
      <c r="AD87" s="156">
        <f>AC87/$AC$91</f>
        <v>0.91544766952145851</v>
      </c>
      <c r="AG87" s="19" t="s">
        <v>18</v>
      </c>
      <c r="AH87" s="3">
        <f>AH88</f>
        <v>111.78777915045893</v>
      </c>
      <c r="AI87" s="13" t="s">
        <v>29</v>
      </c>
      <c r="AJ87" s="3">
        <f>AJ88</f>
        <v>111.78777915045893</v>
      </c>
    </row>
    <row r="88" spans="2:39" ht="17" x14ac:dyDescent="0.25">
      <c r="F88" s="1"/>
      <c r="G88" s="6"/>
      <c r="H88" s="6"/>
      <c r="I88" s="6"/>
      <c r="J88" s="6"/>
      <c r="M88" s="3" t="s">
        <v>404</v>
      </c>
      <c r="P88" s="19" t="s">
        <v>18</v>
      </c>
      <c r="Q88" s="3">
        <f>Q89</f>
        <v>111.78777915045893</v>
      </c>
      <c r="R88" s="13" t="s">
        <v>29</v>
      </c>
      <c r="S88" s="3">
        <f>S89</f>
        <v>111.78777915045893</v>
      </c>
      <c r="V88" s="156"/>
      <c r="Y88" s="34" t="s">
        <v>65</v>
      </c>
      <c r="Z88" s="24">
        <f t="shared" si="15"/>
        <v>26.702429889316871</v>
      </c>
      <c r="AA88" s="3">
        <f>Z88/$Z$91</f>
        <v>0.38375112193347305</v>
      </c>
      <c r="AB88" s="3">
        <f>MW_CH4</f>
        <v>1.604276E-2</v>
      </c>
      <c r="AC88" s="3">
        <f>AC80+AM80</f>
        <v>1664.4536157940947</v>
      </c>
      <c r="AD88" s="156">
        <f>AC88/$AC$91</f>
        <v>7.8636235837663701E-2</v>
      </c>
      <c r="AG88" s="129" t="s">
        <v>123</v>
      </c>
      <c r="AH88" s="3">
        <f>AC77</f>
        <v>111.78777915045893</v>
      </c>
      <c r="AI88" s="13" t="s">
        <v>123</v>
      </c>
      <c r="AJ88" s="3">
        <f>AH88</f>
        <v>111.78777915045893</v>
      </c>
    </row>
    <row r="89" spans="2:39" ht="18" x14ac:dyDescent="0.25">
      <c r="B89" s="172" t="s">
        <v>392</v>
      </c>
      <c r="C89" s="3" t="s">
        <v>1</v>
      </c>
      <c r="D89" s="3" t="s">
        <v>47</v>
      </c>
      <c r="E89" s="3" t="s">
        <v>5</v>
      </c>
      <c r="F89" s="202" t="s">
        <v>412</v>
      </c>
      <c r="G89" s="133" t="s">
        <v>323</v>
      </c>
      <c r="H89" s="3" t="s">
        <v>394</v>
      </c>
      <c r="I89" s="3" t="s">
        <v>396</v>
      </c>
      <c r="J89" s="4" t="s">
        <v>397</v>
      </c>
      <c r="K89" s="3" t="s">
        <v>398</v>
      </c>
      <c r="L89" s="133" t="s">
        <v>399</v>
      </c>
      <c r="M89" s="133" t="s">
        <v>401</v>
      </c>
      <c r="N89" s="133" t="s">
        <v>497</v>
      </c>
      <c r="P89" s="129" t="s">
        <v>123</v>
      </c>
      <c r="Q89" s="3">
        <f>F82</f>
        <v>111.78777915045893</v>
      </c>
      <c r="R89" s="13" t="s">
        <v>123</v>
      </c>
      <c r="S89" s="3">
        <f>Q89</f>
        <v>111.78777915045893</v>
      </c>
      <c r="V89" s="156"/>
      <c r="Y89" s="239" t="s">
        <v>24</v>
      </c>
      <c r="Z89" s="24">
        <f t="shared" si="15"/>
        <v>2.4968312226300351</v>
      </c>
      <c r="AA89" s="3">
        <f>Z89/$Z$91</f>
        <v>3.5882943497443406E-2</v>
      </c>
      <c r="AB89" s="3">
        <f>MW_O2</f>
        <v>3.1998800000000001E-2</v>
      </c>
      <c r="AC89" s="3">
        <f>AM84</f>
        <v>78.028901791005751</v>
      </c>
      <c r="AD89" s="156">
        <f>AC89/$AC$91</f>
        <v>3.6864344341996274E-3</v>
      </c>
    </row>
    <row r="90" spans="2:39" ht="18" x14ac:dyDescent="0.25">
      <c r="B90" s="13" t="s">
        <v>41</v>
      </c>
      <c r="C90" s="13" t="s">
        <v>11</v>
      </c>
      <c r="D90" s="13" t="s">
        <v>241</v>
      </c>
      <c r="E90" s="19" t="s">
        <v>85</v>
      </c>
      <c r="F90" s="13" t="s">
        <v>42</v>
      </c>
      <c r="G90" s="13" t="s">
        <v>99</v>
      </c>
      <c r="H90" s="13" t="s">
        <v>347</v>
      </c>
      <c r="I90" s="13" t="s">
        <v>241</v>
      </c>
      <c r="J90" s="13" t="s">
        <v>241</v>
      </c>
      <c r="K90" s="13" t="s">
        <v>241</v>
      </c>
      <c r="L90" s="13" t="s">
        <v>99</v>
      </c>
      <c r="M90" s="13" t="s">
        <v>347</v>
      </c>
      <c r="N90" s="13" t="s">
        <v>347</v>
      </c>
      <c r="X90" s="156"/>
      <c r="Y90" s="20" t="s">
        <v>67</v>
      </c>
      <c r="Z90" s="166">
        <f t="shared" si="15"/>
        <v>1.3220708394045395</v>
      </c>
      <c r="AA90" s="28">
        <f>Z90/$Z$91</f>
        <v>1.9E-2</v>
      </c>
      <c r="AB90" s="28">
        <f>MW_N2</f>
        <v>2.801348E-2</v>
      </c>
      <c r="AC90" s="28">
        <f>AC79</f>
        <v>47.194095107231931</v>
      </c>
      <c r="AD90" s="237">
        <f>AC90/$AC$91</f>
        <v>2.229660206678009E-3</v>
      </c>
    </row>
    <row r="91" spans="2:39" x14ac:dyDescent="0.2">
      <c r="B91" s="13" t="s">
        <v>18</v>
      </c>
      <c r="C91" s="3">
        <f>E91*F91</f>
        <v>1.2010999999999999E-2</v>
      </c>
      <c r="D91" s="3">
        <f>C91/$C$96</f>
        <v>6.4894748354920586E-4</v>
      </c>
      <c r="E91" s="3">
        <f>MW_C</f>
        <v>1.2010999999999999E-2</v>
      </c>
      <c r="F91" s="3">
        <f>mol_C_Coal_in</f>
        <v>1</v>
      </c>
      <c r="G91" s="3">
        <f>phi_anthrocite</f>
        <v>1.0437000000000001</v>
      </c>
      <c r="H91" s="3">
        <f>NCV_dry_anthrocite</f>
        <v>30080</v>
      </c>
      <c r="I91" s="3">
        <f>C92/C91</f>
        <v>0.20919628600523951</v>
      </c>
      <c r="J91" s="3">
        <f>C93/C91</f>
        <v>1.141150867996416E-2</v>
      </c>
      <c r="K91" s="3">
        <f>C94/C91</f>
        <v>3.0211939683093035E-3</v>
      </c>
      <c r="L91" s="3">
        <f>G91+(phi_dry_constant_a_*(I91))+(phi_dry_constant_b*(J91))+(phi_dry_constant_c*(K91))</f>
        <v>1.0838888992919837</v>
      </c>
      <c r="M91" s="3">
        <f>NCV_dry_anthrocite*L91</f>
        <v>32603.37809070287</v>
      </c>
      <c r="N91" s="3">
        <f>G91*H91</f>
        <v>31394.496000000003</v>
      </c>
      <c r="X91" s="156"/>
      <c r="Y91" s="3" t="s">
        <v>19</v>
      </c>
      <c r="Z91" s="3">
        <f>SUM(Z87:Z90)</f>
        <v>69.582675758133661</v>
      </c>
      <c r="AA91" s="3">
        <f>SUM(AA87:AA90)</f>
        <v>0.99999999999999989</v>
      </c>
      <c r="AC91" s="3">
        <f>SUM(AC87:AC90)</f>
        <v>21166.4965656569</v>
      </c>
      <c r="AD91" s="3">
        <f>SUM(AD87:AD90)</f>
        <v>0.99999999999999978</v>
      </c>
    </row>
    <row r="92" spans="2:39" x14ac:dyDescent="0.2">
      <c r="B92" s="13" t="s">
        <v>183</v>
      </c>
      <c r="C92" s="3">
        <f t="shared" ref="C92:C94" si="16">E92*F92</f>
        <v>2.5126565912089315E-3</v>
      </c>
      <c r="D92" s="3">
        <f t="shared" ref="D92:D95" si="17">C92/$C$96</f>
        <v>1.3575740337094013E-4</v>
      </c>
      <c r="E92" s="3">
        <f>MW_H</f>
        <v>1.0079400000000001E-3</v>
      </c>
      <c r="F92" s="3">
        <f>mol_H_Coal</f>
        <v>2.4928632569487581</v>
      </c>
      <c r="X92" s="156"/>
    </row>
    <row r="93" spans="2:39" x14ac:dyDescent="0.2">
      <c r="B93" s="13" t="s">
        <v>29</v>
      </c>
      <c r="C93" s="3">
        <f t="shared" si="16"/>
        <v>1.3706363075504952E-4</v>
      </c>
      <c r="D93" s="3">
        <f t="shared" si="17"/>
        <v>7.4054698413626621E-6</v>
      </c>
      <c r="E93" s="3">
        <f>MW_O</f>
        <v>1.59994E-2</v>
      </c>
      <c r="F93" s="3">
        <f>mol_O_Coal</f>
        <v>8.5667981771222375E-3</v>
      </c>
      <c r="X93" s="156"/>
    </row>
    <row r="94" spans="2:39" x14ac:dyDescent="0.2">
      <c r="B94" s="13" t="s">
        <v>364</v>
      </c>
      <c r="C94" s="3">
        <f t="shared" si="16"/>
        <v>3.6287560753363042E-5</v>
      </c>
      <c r="D94" s="3">
        <f t="shared" si="17"/>
        <v>1.9605962230483616E-6</v>
      </c>
      <c r="E94" s="3">
        <f>MW_N2/2</f>
        <v>1.400674E-2</v>
      </c>
      <c r="F94" s="3">
        <f>mol_N_Coal</f>
        <v>2.5907213779482619E-3</v>
      </c>
      <c r="X94" s="156"/>
      <c r="Y94" s="172" t="s">
        <v>455</v>
      </c>
      <c r="AG94" s="172" t="s">
        <v>492</v>
      </c>
    </row>
    <row r="95" spans="2:39" x14ac:dyDescent="0.2">
      <c r="B95" s="13" t="s">
        <v>381</v>
      </c>
      <c r="C95" s="3">
        <f>G75</f>
        <v>18.493734420766422</v>
      </c>
      <c r="D95" s="3">
        <f t="shared" si="17"/>
        <v>0.99920592904701533</v>
      </c>
      <c r="X95" s="156"/>
      <c r="Y95" s="3">
        <v>0.7</v>
      </c>
      <c r="AG95" s="3">
        <v>0.15</v>
      </c>
    </row>
    <row r="96" spans="2:39" ht="17" x14ac:dyDescent="0.25">
      <c r="B96" s="3" t="s">
        <v>19</v>
      </c>
      <c r="C96" s="3">
        <f>SUM(C91:C95)</f>
        <v>18.508431428549141</v>
      </c>
      <c r="Y96" s="172" t="s">
        <v>115</v>
      </c>
      <c r="Z96" s="3" t="s">
        <v>1</v>
      </c>
      <c r="AA96" s="3" t="s">
        <v>47</v>
      </c>
      <c r="AB96" s="3" t="s">
        <v>5</v>
      </c>
      <c r="AC96" s="202" t="s">
        <v>412</v>
      </c>
      <c r="AD96" s="3" t="s">
        <v>39</v>
      </c>
      <c r="AG96" s="172" t="s">
        <v>115</v>
      </c>
      <c r="AH96" s="3" t="s">
        <v>1</v>
      </c>
      <c r="AI96" s="3" t="s">
        <v>47</v>
      </c>
      <c r="AJ96" s="3" t="s">
        <v>5</v>
      </c>
      <c r="AK96" s="202" t="s">
        <v>412</v>
      </c>
      <c r="AL96" s="3" t="s">
        <v>39</v>
      </c>
    </row>
    <row r="97" spans="2:48" ht="18" x14ac:dyDescent="0.25">
      <c r="I97"/>
      <c r="Y97" s="13" t="s">
        <v>41</v>
      </c>
      <c r="Z97" s="31" t="s">
        <v>11</v>
      </c>
      <c r="AA97" s="31" t="s">
        <v>241</v>
      </c>
      <c r="AB97" s="79" t="s">
        <v>85</v>
      </c>
      <c r="AC97" s="31" t="s">
        <v>42</v>
      </c>
      <c r="AD97" s="31" t="s">
        <v>43</v>
      </c>
      <c r="AG97" s="13" t="s">
        <v>41</v>
      </c>
      <c r="AH97" s="31" t="s">
        <v>11</v>
      </c>
      <c r="AI97" s="31" t="s">
        <v>241</v>
      </c>
      <c r="AJ97" s="79" t="s">
        <v>85</v>
      </c>
      <c r="AK97" s="31" t="s">
        <v>42</v>
      </c>
      <c r="AL97" s="31" t="s">
        <v>43</v>
      </c>
      <c r="AV97" s="16" t="s">
        <v>454</v>
      </c>
    </row>
    <row r="98" spans="2:48" ht="17" x14ac:dyDescent="0.25">
      <c r="B98" s="172" t="s">
        <v>392</v>
      </c>
      <c r="C98" s="3" t="s">
        <v>1</v>
      </c>
      <c r="D98" s="3" t="s">
        <v>47</v>
      </c>
      <c r="E98" s="3" t="s">
        <v>5</v>
      </c>
      <c r="F98" s="202" t="s">
        <v>412</v>
      </c>
      <c r="H98" s="25" t="s">
        <v>391</v>
      </c>
      <c r="I98" s="3" t="s">
        <v>1</v>
      </c>
      <c r="J98" s="3" t="s">
        <v>47</v>
      </c>
      <c r="K98" s="3" t="s">
        <v>5</v>
      </c>
      <c r="L98" s="202" t="s">
        <v>412</v>
      </c>
      <c r="Y98" s="34" t="s">
        <v>66</v>
      </c>
      <c r="Z98" s="24">
        <f>AA98*$Z$102</f>
        <v>27.342940664747548</v>
      </c>
      <c r="AA98" s="3">
        <f>AA87</f>
        <v>0.56136593456908346</v>
      </c>
      <c r="AB98" s="3">
        <f>MW_H*2</f>
        <v>2.0158800000000003E-3</v>
      </c>
      <c r="AC98" s="3">
        <f>Z98/AB98</f>
        <v>13563.773967075194</v>
      </c>
      <c r="AD98" s="156">
        <f>AC98/$AC$102</f>
        <v>0.91544766952145862</v>
      </c>
      <c r="AG98" s="34" t="s">
        <v>66</v>
      </c>
      <c r="AH98" s="24">
        <f>AI98*$AH$102</f>
        <v>5.8592015710173317</v>
      </c>
      <c r="AI98" s="3">
        <f>AA87</f>
        <v>0.56136593456908346</v>
      </c>
      <c r="AJ98" s="3">
        <f>MW_H*2</f>
        <v>2.0158800000000003E-3</v>
      </c>
      <c r="AK98" s="3">
        <f>AH98/AJ98</f>
        <v>2906.5229929446846</v>
      </c>
      <c r="AL98" s="156">
        <f>AK98/$AK$102</f>
        <v>0.91544766952145873</v>
      </c>
    </row>
    <row r="99" spans="2:48" ht="18" x14ac:dyDescent="0.25">
      <c r="B99" s="13" t="s">
        <v>41</v>
      </c>
      <c r="C99" s="13" t="s">
        <v>11</v>
      </c>
      <c r="D99" s="13" t="s">
        <v>241</v>
      </c>
      <c r="E99" s="19" t="s">
        <v>85</v>
      </c>
      <c r="F99" s="13" t="s">
        <v>42</v>
      </c>
      <c r="H99" s="13" t="s">
        <v>41</v>
      </c>
      <c r="I99" s="13" t="s">
        <v>11</v>
      </c>
      <c r="J99" s="13" t="s">
        <v>241</v>
      </c>
      <c r="K99" s="19" t="s">
        <v>85</v>
      </c>
      <c r="L99" s="13" t="s">
        <v>42</v>
      </c>
      <c r="Y99" s="34" t="s">
        <v>65</v>
      </c>
      <c r="Z99" s="24">
        <f>AA99*$Z$102</f>
        <v>18.691700922521807</v>
      </c>
      <c r="AA99" s="3">
        <f>AA88</f>
        <v>0.38375112193347305</v>
      </c>
      <c r="AB99" s="3">
        <f>MW_CH4</f>
        <v>1.604276E-2</v>
      </c>
      <c r="AC99" s="3">
        <f t="shared" ref="AC99:AC101" si="18">Z99/AB99</f>
        <v>1165.1175310558663</v>
      </c>
      <c r="AD99" s="156">
        <f>AC99/$AC$102</f>
        <v>7.8636235837663701E-2</v>
      </c>
      <c r="AG99" s="34" t="s">
        <v>65</v>
      </c>
      <c r="AH99" s="24">
        <f>AI99*$AH$102</f>
        <v>4.0053644833975302</v>
      </c>
      <c r="AI99" s="3">
        <f>AA88</f>
        <v>0.38375112193347305</v>
      </c>
      <c r="AJ99" s="3">
        <f>MW_CH4</f>
        <v>1.604276E-2</v>
      </c>
      <c r="AK99" s="3">
        <f t="shared" ref="AK99:AK101" si="19">AH99/AJ99</f>
        <v>249.66804236911418</v>
      </c>
      <c r="AL99" s="156">
        <f>AK99/$AK$102</f>
        <v>7.8636235837663701E-2</v>
      </c>
    </row>
    <row r="100" spans="2:48" ht="18" x14ac:dyDescent="0.25">
      <c r="B100" s="13" t="s">
        <v>18</v>
      </c>
      <c r="C100" s="3">
        <f>E100*F100</f>
        <v>1.2010999999999999E-2</v>
      </c>
      <c r="D100" s="3">
        <v>0.76239999999999997</v>
      </c>
      <c r="E100" s="3">
        <f>MW_C</f>
        <v>1.2010999999999999E-2</v>
      </c>
      <c r="F100" s="3">
        <f>mol_C_Coal_in</f>
        <v>1</v>
      </c>
      <c r="H100" s="13" t="s">
        <v>468</v>
      </c>
      <c r="Y100" s="239" t="s">
        <v>24</v>
      </c>
      <c r="Z100" s="24">
        <f>AA100*$Z$102</f>
        <v>1.7477818558410245</v>
      </c>
      <c r="AA100" s="3">
        <f>AA89</f>
        <v>3.5882943497443406E-2</v>
      </c>
      <c r="AB100" s="3">
        <f>MW_O2</f>
        <v>3.1998800000000001E-2</v>
      </c>
      <c r="AC100" s="3">
        <f t="shared" si="18"/>
        <v>54.620231253704027</v>
      </c>
      <c r="AD100" s="156">
        <f>AC100/$AC$102</f>
        <v>3.6864344341996282E-3</v>
      </c>
      <c r="AG100" s="239" t="s">
        <v>24</v>
      </c>
      <c r="AH100" s="24">
        <f>AI100*$AH$102</f>
        <v>0.37452468339450529</v>
      </c>
      <c r="AI100" s="3">
        <f>AA89</f>
        <v>3.5882943497443406E-2</v>
      </c>
      <c r="AJ100" s="3">
        <f>MW_O2</f>
        <v>3.1998800000000001E-2</v>
      </c>
      <c r="AK100" s="3">
        <f t="shared" si="19"/>
        <v>11.704335268650864</v>
      </c>
      <c r="AL100" s="156">
        <f>AK100/$AK$102</f>
        <v>3.6864344341996287E-3</v>
      </c>
    </row>
    <row r="101" spans="2:48" ht="18" x14ac:dyDescent="0.25">
      <c r="B101" s="13" t="s">
        <v>68</v>
      </c>
      <c r="C101" s="3">
        <f t="shared" ref="C101:C103" si="20">E101*F101</f>
        <v>2.5126565912089315E-3</v>
      </c>
      <c r="D101" s="3">
        <v>3.04E-2</v>
      </c>
      <c r="E101" s="3">
        <f>MW_H</f>
        <v>1.0079400000000001E-3</v>
      </c>
      <c r="F101" s="3">
        <f>mol_H_Coal</f>
        <v>2.4928632569487581</v>
      </c>
      <c r="H101" s="13" t="s">
        <v>18</v>
      </c>
      <c r="Y101" s="20" t="s">
        <v>67</v>
      </c>
      <c r="Z101" s="24">
        <f>AA101*$Z$102</f>
        <v>0.92544958758317764</v>
      </c>
      <c r="AA101" s="3">
        <f>AA90</f>
        <v>1.9E-2</v>
      </c>
      <c r="AB101" s="3">
        <f>MW_N2</f>
        <v>2.801348E-2</v>
      </c>
      <c r="AC101" s="3">
        <f t="shared" si="18"/>
        <v>33.03586657506235</v>
      </c>
      <c r="AD101" s="156">
        <f>AC101/$AC$102</f>
        <v>2.229660206678009E-3</v>
      </c>
      <c r="AG101" s="20" t="s">
        <v>67</v>
      </c>
      <c r="AH101" s="24">
        <f>AI101*$AH$102</f>
        <v>0.19831062591068094</v>
      </c>
      <c r="AI101" s="3">
        <f>AA90</f>
        <v>1.9E-2</v>
      </c>
      <c r="AJ101" s="3">
        <f>MW_N2</f>
        <v>2.801348E-2</v>
      </c>
      <c r="AK101" s="3">
        <f t="shared" si="19"/>
        <v>7.0791142660847894</v>
      </c>
      <c r="AL101" s="156">
        <f>AK101/$AK$102</f>
        <v>2.2296602066780094E-3</v>
      </c>
    </row>
    <row r="102" spans="2:48" ht="17" x14ac:dyDescent="0.25">
      <c r="B102" s="13" t="s">
        <v>29</v>
      </c>
      <c r="C102" s="3">
        <f t="shared" si="20"/>
        <v>1.3706363075504952E-4</v>
      </c>
      <c r="D102" s="3">
        <v>2.1299999999999999E-2</v>
      </c>
      <c r="E102" s="3">
        <f>MW_O</f>
        <v>1.59994E-2</v>
      </c>
      <c r="F102" s="3">
        <f>mol_O_Coal</f>
        <v>8.5667981771222375E-3</v>
      </c>
      <c r="H102" s="13" t="s">
        <v>68</v>
      </c>
      <c r="Y102" s="3" t="s">
        <v>19</v>
      </c>
      <c r="Z102" s="17">
        <f>Z91*Y95</f>
        <v>48.707873030693563</v>
      </c>
      <c r="AA102" s="17">
        <f>SUM(AA97:AA101)</f>
        <v>0.99999999999999989</v>
      </c>
      <c r="AB102" s="17"/>
      <c r="AC102" s="17">
        <f>SUM(AC98:AC101)</f>
        <v>14816.547595959828</v>
      </c>
      <c r="AD102" s="17">
        <f>SUM(AD97:AD101)</f>
        <v>0.99999999999999989</v>
      </c>
      <c r="AG102" s="3" t="s">
        <v>19</v>
      </c>
      <c r="AH102" s="17">
        <f>AG95*Z91</f>
        <v>10.437401363720049</v>
      </c>
      <c r="AI102" s="17">
        <f>SUM(AI97:AI101)</f>
        <v>0.99999999999999989</v>
      </c>
      <c r="AJ102" s="17"/>
      <c r="AK102" s="17">
        <f>SUM(AK97:AK101)</f>
        <v>3174.9744848485343</v>
      </c>
      <c r="AL102" s="17">
        <f>SUM(AL97:AL101)</f>
        <v>1</v>
      </c>
    </row>
    <row r="103" spans="2:48" x14ac:dyDescent="0.2">
      <c r="B103" s="13" t="s">
        <v>181</v>
      </c>
      <c r="C103" s="3">
        <f t="shared" si="20"/>
        <v>3.6287560753363042E-5</v>
      </c>
      <c r="D103" s="3">
        <f>0.39/100</f>
        <v>3.9000000000000003E-3</v>
      </c>
      <c r="E103" s="3">
        <f>MW_N2/2</f>
        <v>1.400674E-2</v>
      </c>
      <c r="F103" s="3">
        <f>mol_N_Coal</f>
        <v>2.5907213779482619E-3</v>
      </c>
      <c r="H103" s="13" t="s">
        <v>181</v>
      </c>
    </row>
    <row r="104" spans="2:48" x14ac:dyDescent="0.2">
      <c r="B104" s="13" t="s">
        <v>381</v>
      </c>
      <c r="C104" s="3">
        <f>G84</f>
        <v>0</v>
      </c>
      <c r="D104" s="3">
        <v>0.18199999999999997</v>
      </c>
      <c r="H104" s="13" t="s">
        <v>381</v>
      </c>
      <c r="AE104" s="3">
        <f>(AH102*2)+Z102</f>
        <v>69.582675758133661</v>
      </c>
    </row>
    <row r="105" spans="2:48" x14ac:dyDescent="0.2">
      <c r="B105" s="3" t="s">
        <v>19</v>
      </c>
      <c r="C105" s="3">
        <f>SUM(C100:C104)</f>
        <v>1.4697007782717344E-2</v>
      </c>
      <c r="D105" s="3">
        <f>SUM(D100:D104)</f>
        <v>0.99999999999999989</v>
      </c>
    </row>
    <row r="108" spans="2:48" ht="17" x14ac:dyDescent="0.25">
      <c r="B108" s="172" t="s">
        <v>504</v>
      </c>
      <c r="C108" s="3" t="s">
        <v>1</v>
      </c>
      <c r="D108" s="3" t="s">
        <v>5</v>
      </c>
      <c r="E108" s="202" t="s">
        <v>412</v>
      </c>
      <c r="H108" s="172" t="s">
        <v>391</v>
      </c>
      <c r="I108" s="3" t="s">
        <v>1</v>
      </c>
      <c r="J108" s="3" t="s">
        <v>5</v>
      </c>
      <c r="K108" s="202" t="s">
        <v>412</v>
      </c>
    </row>
    <row r="109" spans="2:48" ht="18" x14ac:dyDescent="0.25">
      <c r="B109" s="13" t="s">
        <v>41</v>
      </c>
      <c r="C109" s="13" t="s">
        <v>11</v>
      </c>
      <c r="D109" s="19" t="s">
        <v>85</v>
      </c>
      <c r="E109" s="13" t="s">
        <v>42</v>
      </c>
      <c r="F109" s="3" t="s">
        <v>44</v>
      </c>
      <c r="H109" s="13" t="s">
        <v>41</v>
      </c>
      <c r="I109" s="13" t="s">
        <v>11</v>
      </c>
      <c r="J109" s="19" t="s">
        <v>85</v>
      </c>
      <c r="K109" s="13" t="s">
        <v>42</v>
      </c>
      <c r="L109" s="3" t="s">
        <v>44</v>
      </c>
    </row>
    <row r="110" spans="2:48" ht="18" x14ac:dyDescent="0.25">
      <c r="B110" s="13" t="s">
        <v>65</v>
      </c>
      <c r="C110" s="3">
        <f>'Ore-&gt;PI'!BO258</f>
        <v>16.963528773956838</v>
      </c>
      <c r="D110" s="3">
        <f>MW_CH4</f>
        <v>1.604276E-2</v>
      </c>
      <c r="E110" s="3">
        <f>C110/D110</f>
        <v>1057.3946611404047</v>
      </c>
      <c r="F110" s="3">
        <v>1</v>
      </c>
      <c r="H110" s="20" t="s">
        <v>64</v>
      </c>
      <c r="I110" s="263">
        <f>K110*J110</f>
        <v>46.53572755785698</v>
      </c>
      <c r="J110" s="263">
        <f>MW_CO2</f>
        <v>4.4009800000000002E-2</v>
      </c>
      <c r="K110" s="263">
        <f>E110</f>
        <v>1057.3946611404047</v>
      </c>
      <c r="L110" s="3">
        <v>1</v>
      </c>
    </row>
    <row r="111" spans="2:48" ht="18" x14ac:dyDescent="0.25">
      <c r="B111" s="238" t="s">
        <v>24</v>
      </c>
      <c r="C111" s="3">
        <f>E111*D111</f>
        <v>67.670720565799158</v>
      </c>
      <c r="D111" s="3">
        <f>MW_O2</f>
        <v>3.1998800000000001E-2</v>
      </c>
      <c r="E111" s="3">
        <f>K110+(K111/2)</f>
        <v>2114.7893222808093</v>
      </c>
      <c r="F111" s="3">
        <v>1</v>
      </c>
      <c r="H111" s="13" t="s">
        <v>68</v>
      </c>
      <c r="I111" s="263">
        <f>K111*J111</f>
        <v>38.098521781899024</v>
      </c>
      <c r="J111" s="263">
        <f>MW_H2O</f>
        <v>1.8015280000000002E-2</v>
      </c>
      <c r="K111" s="263">
        <f>2*E110</f>
        <v>2114.7893222808093</v>
      </c>
      <c r="L111" s="3">
        <v>2</v>
      </c>
    </row>
    <row r="112" spans="2:48" ht="18" x14ac:dyDescent="0.25">
      <c r="B112" s="39" t="s">
        <v>67</v>
      </c>
      <c r="C112" s="3">
        <f>E112*D112</f>
        <v>222.75220752356552</v>
      </c>
      <c r="D112" s="3">
        <f>MW_N2</f>
        <v>2.801348E-2</v>
      </c>
      <c r="E112" s="3">
        <f>3.76*E111</f>
        <v>7951.6078517758424</v>
      </c>
      <c r="F112" s="3">
        <v>1</v>
      </c>
      <c r="H112" s="39" t="s">
        <v>67</v>
      </c>
      <c r="I112" s="263">
        <f>K112*J112</f>
        <v>222.75220752356552</v>
      </c>
      <c r="J112" s="263">
        <f>MW_N2</f>
        <v>2.801348E-2</v>
      </c>
      <c r="K112" s="263">
        <f>E112</f>
        <v>7951.6078517758424</v>
      </c>
      <c r="L112" s="3">
        <v>1</v>
      </c>
    </row>
    <row r="113" spans="2:22" x14ac:dyDescent="0.2">
      <c r="B113" s="17"/>
      <c r="C113" s="17">
        <f>SUM(C110:C112)</f>
        <v>307.38645686332154</v>
      </c>
      <c r="D113" s="17"/>
      <c r="E113" s="17"/>
      <c r="H113" s="17"/>
      <c r="I113" s="17">
        <f>SUM(I110:I112)</f>
        <v>307.38645686332154</v>
      </c>
      <c r="J113" s="17"/>
      <c r="K113" s="17"/>
    </row>
    <row r="115" spans="2:22" ht="17" x14ac:dyDescent="0.25">
      <c r="B115" s="13" t="s">
        <v>66</v>
      </c>
      <c r="C115" s="3">
        <f>C116*2</f>
        <v>2114.7893222808093</v>
      </c>
      <c r="D115" s="3" t="s">
        <v>29</v>
      </c>
      <c r="E115" s="3">
        <f>C115</f>
        <v>2114.7893222808093</v>
      </c>
    </row>
    <row r="116" spans="2:22" ht="18" x14ac:dyDescent="0.25">
      <c r="B116" s="13" t="s">
        <v>65</v>
      </c>
      <c r="C116" s="3">
        <f>E110</f>
        <v>1057.3946611404047</v>
      </c>
      <c r="D116" s="239" t="s">
        <v>24</v>
      </c>
      <c r="E116" s="3">
        <f>E115/2</f>
        <v>1057.3946611404047</v>
      </c>
    </row>
    <row r="124" spans="2:22" x14ac:dyDescent="0.2">
      <c r="V124" s="3" t="s">
        <v>383</v>
      </c>
    </row>
    <row r="125" spans="2:22" x14ac:dyDescent="0.2">
      <c r="H125" s="3" t="s">
        <v>379</v>
      </c>
      <c r="M125" s="16" t="s">
        <v>377</v>
      </c>
      <c r="U125" s="3" t="s">
        <v>382</v>
      </c>
    </row>
    <row r="127" spans="2:22" x14ac:dyDescent="0.2">
      <c r="C127" s="3" t="s">
        <v>403</v>
      </c>
    </row>
    <row r="146" spans="1:30" ht="16" thickBot="1" x14ac:dyDescent="0.25">
      <c r="A146" s="99"/>
      <c r="B146" s="99"/>
      <c r="C146" s="99"/>
      <c r="D146" s="99"/>
      <c r="E146" s="99"/>
      <c r="F146" s="99"/>
      <c r="G146" s="99"/>
      <c r="H146" s="99"/>
      <c r="I146" s="99"/>
      <c r="J146" s="99"/>
      <c r="K146" s="99"/>
      <c r="L146" s="99"/>
      <c r="M146" s="99"/>
      <c r="N146" s="99"/>
      <c r="O146" s="99"/>
      <c r="P146" s="99"/>
      <c r="Q146" s="99"/>
      <c r="R146" s="99"/>
      <c r="S146" s="99"/>
      <c r="T146" s="99"/>
      <c r="U146" s="99"/>
      <c r="V146" s="99"/>
      <c r="W146" s="99"/>
      <c r="X146" s="99"/>
      <c r="Y146" s="99"/>
      <c r="Z146" s="99"/>
      <c r="AA146" s="99"/>
      <c r="AB146" s="99"/>
      <c r="AC146" s="99"/>
      <c r="AD146" s="99"/>
    </row>
    <row r="147" spans="1:30" x14ac:dyDescent="0.2">
      <c r="C147" s="306" t="s">
        <v>465</v>
      </c>
      <c r="D147" s="306"/>
      <c r="E147" s="306"/>
      <c r="F147" s="306"/>
      <c r="G147" s="306"/>
    </row>
    <row r="148" spans="1:30" x14ac:dyDescent="0.2">
      <c r="B148" s="172" t="s">
        <v>455</v>
      </c>
      <c r="C148" s="307"/>
      <c r="D148" s="307"/>
      <c r="E148" s="307"/>
      <c r="F148" s="307"/>
      <c r="G148" s="307"/>
    </row>
    <row r="149" spans="1:30" x14ac:dyDescent="0.2">
      <c r="B149" s="3">
        <v>0.7</v>
      </c>
      <c r="I149" s="129" t="s">
        <v>338</v>
      </c>
    </row>
    <row r="150" spans="1:30" ht="18" x14ac:dyDescent="0.25">
      <c r="B150" s="172" t="s">
        <v>114</v>
      </c>
      <c r="C150" s="3" t="s">
        <v>1</v>
      </c>
      <c r="D150" s="3" t="s">
        <v>47</v>
      </c>
      <c r="E150" s="3" t="s">
        <v>5</v>
      </c>
      <c r="F150" s="202" t="s">
        <v>412</v>
      </c>
      <c r="G150" s="3" t="s">
        <v>39</v>
      </c>
      <c r="I150" s="1" t="s">
        <v>90</v>
      </c>
      <c r="L150" s="172" t="s">
        <v>114</v>
      </c>
      <c r="M150" s="3" t="s">
        <v>1</v>
      </c>
      <c r="N150" s="3" t="s">
        <v>47</v>
      </c>
      <c r="O150" s="3" t="s">
        <v>5</v>
      </c>
      <c r="P150" s="202" t="s">
        <v>412</v>
      </c>
      <c r="Q150" s="3" t="s">
        <v>39</v>
      </c>
    </row>
    <row r="151" spans="1:30" ht="18" x14ac:dyDescent="0.25">
      <c r="B151" s="13" t="s">
        <v>41</v>
      </c>
      <c r="C151" s="31" t="s">
        <v>11</v>
      </c>
      <c r="D151" s="31" t="s">
        <v>241</v>
      </c>
      <c r="E151" s="79" t="s">
        <v>85</v>
      </c>
      <c r="F151" s="31" t="s">
        <v>42</v>
      </c>
      <c r="G151" s="31" t="s">
        <v>43</v>
      </c>
      <c r="I151" s="13">
        <f>M155-(C156+C161)</f>
        <v>0</v>
      </c>
      <c r="L151" s="13" t="s">
        <v>41</v>
      </c>
      <c r="M151" s="31" t="s">
        <v>11</v>
      </c>
      <c r="N151" s="31" t="s">
        <v>241</v>
      </c>
      <c r="O151" s="79" t="s">
        <v>85</v>
      </c>
      <c r="P151" s="31" t="s">
        <v>42</v>
      </c>
      <c r="Q151" s="31" t="s">
        <v>43</v>
      </c>
    </row>
    <row r="152" spans="1:30" ht="17" x14ac:dyDescent="0.25">
      <c r="B152" s="34" t="s">
        <v>66</v>
      </c>
      <c r="C152" s="24">
        <f>H2_to_BF</f>
        <v>27.342940664747548</v>
      </c>
      <c r="D152" s="3">
        <f>C152/$C$156</f>
        <v>0.56136593456908346</v>
      </c>
      <c r="E152" s="3">
        <f>MW_H*2</f>
        <v>2.0158800000000003E-3</v>
      </c>
      <c r="F152" s="3">
        <f>C152/E152</f>
        <v>13563.773967075194</v>
      </c>
      <c r="G152" s="156">
        <f>F152/$AC$102</f>
        <v>0.91544766952145862</v>
      </c>
      <c r="L152" s="34" t="s">
        <v>68</v>
      </c>
      <c r="M152" s="24">
        <f>P152*O152</f>
        <v>286.3350229833307</v>
      </c>
      <c r="N152" s="3">
        <f>M152/M155</f>
        <v>0.22152381559059706</v>
      </c>
      <c r="O152" s="3">
        <f>MW_H2O</f>
        <v>1.8015280000000002E-2</v>
      </c>
      <c r="P152" s="3">
        <f>(2*F153) + F152</f>
        <v>15894.009029186927</v>
      </c>
      <c r="Q152" s="156">
        <f>P152/$AC$102</f>
        <v>1.0727201411967859</v>
      </c>
    </row>
    <row r="153" spans="1:30" ht="18" x14ac:dyDescent="0.25">
      <c r="B153" s="34" t="s">
        <v>65</v>
      </c>
      <c r="C153" s="24">
        <f>CH4_to_BF</f>
        <v>18.691700922521807</v>
      </c>
      <c r="D153" s="3">
        <f t="shared" ref="D153:D155" si="21">C153/$C$156</f>
        <v>0.38375112193347299</v>
      </c>
      <c r="E153" s="3">
        <f>MW_CH4</f>
        <v>1.604276E-2</v>
      </c>
      <c r="F153" s="3">
        <f t="shared" ref="F153:F155" si="22">C153/E153</f>
        <v>1165.1175310558663</v>
      </c>
      <c r="G153" s="156">
        <f>F153/$AC$102</f>
        <v>7.8636235837663701E-2</v>
      </c>
      <c r="L153" s="243" t="s">
        <v>64</v>
      </c>
      <c r="M153" s="24">
        <f>P153*O153</f>
        <v>51.276589518262462</v>
      </c>
      <c r="N153" s="3">
        <f>M153/M155</f>
        <v>3.9670263323741545E-2</v>
      </c>
      <c r="O153" s="3">
        <f>MW_CO2</f>
        <v>4.4009800000000002E-2</v>
      </c>
      <c r="P153" s="3">
        <f>F153</f>
        <v>1165.1175310558663</v>
      </c>
      <c r="Q153" s="156">
        <f>P153/$AC$102</f>
        <v>7.8636235837663701E-2</v>
      </c>
    </row>
    <row r="154" spans="1:30" ht="18" x14ac:dyDescent="0.25">
      <c r="B154" s="239" t="s">
        <v>24</v>
      </c>
      <c r="C154" s="24">
        <f>O2_to_BF_from_coke</f>
        <v>1.7477818558410245</v>
      </c>
      <c r="D154" s="3">
        <f t="shared" si="21"/>
        <v>3.5882943497443406E-2</v>
      </c>
      <c r="E154" s="3">
        <f>MW_O2</f>
        <v>3.1998800000000001E-2</v>
      </c>
      <c r="F154" s="3">
        <f t="shared" si="22"/>
        <v>54.620231253704027</v>
      </c>
      <c r="G154" s="156">
        <f>F154/$AC$102</f>
        <v>3.6864344341996282E-3</v>
      </c>
      <c r="L154" s="20" t="s">
        <v>67</v>
      </c>
      <c r="M154" s="24">
        <f>O154*P154</f>
        <v>954.95831827511677</v>
      </c>
      <c r="N154" s="3">
        <f>M154/M155</f>
        <v>0.73880592108566134</v>
      </c>
      <c r="O154" s="3">
        <f>MW_N2</f>
        <v>2.801348E-2</v>
      </c>
      <c r="P154" s="3">
        <f>F155+F160</f>
        <v>34089.242688702609</v>
      </c>
      <c r="Q154" s="156">
        <f>P154/$AC$102</f>
        <v>2.3007547789336602</v>
      </c>
    </row>
    <row r="155" spans="1:30" ht="18" x14ac:dyDescent="0.25">
      <c r="B155" s="20" t="s">
        <v>67</v>
      </c>
      <c r="C155" s="24">
        <f>N2_to_BF_from_coke</f>
        <v>0.92544958758317764</v>
      </c>
      <c r="D155" s="3">
        <f t="shared" si="21"/>
        <v>1.9E-2</v>
      </c>
      <c r="E155" s="3">
        <f>MW_N2</f>
        <v>2.801348E-2</v>
      </c>
      <c r="F155" s="3">
        <f t="shared" si="22"/>
        <v>33.03586657506235</v>
      </c>
      <c r="G155" s="156">
        <f>F155/$AC$102</f>
        <v>2.229660206678009E-3</v>
      </c>
      <c r="L155" s="3" t="s">
        <v>19</v>
      </c>
      <c r="M155" s="17">
        <f>SUM(M152:M154)</f>
        <v>1292.56993077671</v>
      </c>
      <c r="N155" s="17">
        <f>SUM(N152:N154)</f>
        <v>1</v>
      </c>
      <c r="O155" s="17"/>
      <c r="P155" s="17">
        <f>SUM(P152:P154)</f>
        <v>51148.369248945397</v>
      </c>
      <c r="Q155" s="17">
        <f>SUM(Q151:Q154)</f>
        <v>3.4521111559681099</v>
      </c>
    </row>
    <row r="156" spans="1:30" x14ac:dyDescent="0.2">
      <c r="B156" s="3" t="s">
        <v>19</v>
      </c>
      <c r="C156" s="17">
        <f>SUM(C152:C155)</f>
        <v>48.707873030693563</v>
      </c>
      <c r="D156" s="17">
        <f>SUM(D151:D155)</f>
        <v>0.99999999999999978</v>
      </c>
      <c r="E156" s="17"/>
      <c r="F156" s="17">
        <f>SUM(F152:F155)</f>
        <v>14816.547595959828</v>
      </c>
      <c r="G156" s="17">
        <f>SUM(G151:G155)</f>
        <v>0.99999999999999989</v>
      </c>
    </row>
    <row r="159" spans="1:30" ht="18" x14ac:dyDescent="0.25">
      <c r="B159" s="239" t="s">
        <v>24</v>
      </c>
      <c r="C159" s="24">
        <f>F159*E159</f>
        <v>289.82918905848277</v>
      </c>
      <c r="D159" s="3">
        <f>C159/$C$161</f>
        <v>0.23300750051310179</v>
      </c>
      <c r="E159" s="3">
        <f>MW_O2</f>
        <v>3.1998800000000001E-2</v>
      </c>
      <c r="F159" s="3">
        <f>C172-F154</f>
        <v>9057.5018143956258</v>
      </c>
      <c r="G159" s="156">
        <f>F159/$F$161</f>
        <v>0.21008403361344541</v>
      </c>
    </row>
    <row r="160" spans="1:30" ht="18" x14ac:dyDescent="0.25">
      <c r="B160" s="20" t="s">
        <v>67</v>
      </c>
      <c r="C160" s="24">
        <f>F160*E160</f>
        <v>954.03286868753366</v>
      </c>
      <c r="D160" s="3">
        <f>C160/$C$161</f>
        <v>0.76699249948689818</v>
      </c>
      <c r="E160" s="3">
        <f>MW_N2</f>
        <v>2.801348E-2</v>
      </c>
      <c r="F160" s="3">
        <f>3.76*F159</f>
        <v>34056.206822127548</v>
      </c>
      <c r="G160" s="156">
        <f>F160/$F$161</f>
        <v>0.78991596638655459</v>
      </c>
    </row>
    <row r="161" spans="2:21" x14ac:dyDescent="0.2">
      <c r="B161" s="3" t="s">
        <v>19</v>
      </c>
      <c r="C161" s="17">
        <f>SUM(C159:C160)</f>
        <v>1243.8620577460165</v>
      </c>
      <c r="D161" s="17">
        <f>SUM(D159:D160)</f>
        <v>1</v>
      </c>
      <c r="E161" s="17">
        <f>SUM(E159:E160)</f>
        <v>6.0012280000000001E-2</v>
      </c>
      <c r="F161" s="17">
        <f>SUM(F159:F160)</f>
        <v>43113.708636523173</v>
      </c>
      <c r="G161" s="17">
        <f>SUM(G159:G160)</f>
        <v>1</v>
      </c>
    </row>
    <row r="163" spans="2:21" x14ac:dyDescent="0.2">
      <c r="B163" s="3" t="s">
        <v>491</v>
      </c>
      <c r="C163" s="3">
        <f>C161+C156</f>
        <v>1292.56993077671</v>
      </c>
    </row>
    <row r="166" spans="2:21" ht="17" x14ac:dyDescent="0.25">
      <c r="B166" s="172" t="s">
        <v>114</v>
      </c>
      <c r="C166" s="202" t="s">
        <v>412</v>
      </c>
      <c r="E166" s="202" t="s">
        <v>412</v>
      </c>
      <c r="G166" s="172" t="s">
        <v>115</v>
      </c>
      <c r="H166" s="202" t="s">
        <v>412</v>
      </c>
      <c r="J166" s="202" t="s">
        <v>412</v>
      </c>
    </row>
    <row r="167" spans="2:21" ht="16" x14ac:dyDescent="0.2">
      <c r="C167" s="13" t="s">
        <v>42</v>
      </c>
      <c r="D167" s="1"/>
      <c r="E167" s="13" t="s">
        <v>42</v>
      </c>
      <c r="H167" s="13" t="s">
        <v>42</v>
      </c>
      <c r="I167" s="1"/>
      <c r="J167" s="13" t="s">
        <v>42</v>
      </c>
    </row>
    <row r="168" spans="2:21" ht="16" x14ac:dyDescent="0.2">
      <c r="B168" s="61" t="s">
        <v>18</v>
      </c>
      <c r="C168" s="1">
        <f>F153</f>
        <v>1165.1175310558663</v>
      </c>
      <c r="D168" s="19" t="s">
        <v>183</v>
      </c>
      <c r="E168" s="1">
        <f>2*E169</f>
        <v>31788.018058373855</v>
      </c>
      <c r="G168" s="13" t="s">
        <v>18</v>
      </c>
      <c r="H168" s="1">
        <f>H169</f>
        <v>1165.1175310558663</v>
      </c>
      <c r="I168" s="19" t="s">
        <v>183</v>
      </c>
      <c r="J168" s="1">
        <f>2*J169</f>
        <v>31788.018058373855</v>
      </c>
    </row>
    <row r="169" spans="2:21" ht="18" x14ac:dyDescent="0.25">
      <c r="B169" s="61" t="s">
        <v>459</v>
      </c>
      <c r="C169" s="1">
        <f>F153</f>
        <v>1165.1175310558663</v>
      </c>
      <c r="D169" s="61" t="s">
        <v>460</v>
      </c>
      <c r="E169" s="1">
        <f>F152+(2*F153)</f>
        <v>15894.009029186927</v>
      </c>
      <c r="G169" s="243" t="s">
        <v>64</v>
      </c>
      <c r="H169" s="1">
        <f>P153</f>
        <v>1165.1175310558663</v>
      </c>
      <c r="I169" s="13" t="s">
        <v>68</v>
      </c>
      <c r="J169" s="1">
        <f>P152</f>
        <v>15894.009029186927</v>
      </c>
    </row>
    <row r="171" spans="2:21" x14ac:dyDescent="0.2">
      <c r="B171" s="13" t="s">
        <v>29</v>
      </c>
      <c r="C171" s="3">
        <f>H171+J171</f>
        <v>18224.24409129866</v>
      </c>
      <c r="G171" s="13" t="s">
        <v>29</v>
      </c>
      <c r="H171" s="3">
        <f>2*H172</f>
        <v>2330.2350621117325</v>
      </c>
      <c r="I171" s="13" t="s">
        <v>29</v>
      </c>
      <c r="J171" s="3">
        <f>J172</f>
        <v>15894.009029186927</v>
      </c>
    </row>
    <row r="172" spans="2:21" ht="18" x14ac:dyDescent="0.25">
      <c r="B172" s="238" t="s">
        <v>24</v>
      </c>
      <c r="C172" s="3">
        <f>C171/2</f>
        <v>9112.1220456493302</v>
      </c>
      <c r="D172" s="20" t="s">
        <v>67</v>
      </c>
      <c r="E172" s="3">
        <f>F155+F160</f>
        <v>34089.242688702609</v>
      </c>
      <c r="G172" s="242" t="s">
        <v>64</v>
      </c>
      <c r="H172" s="3">
        <f>P153</f>
        <v>1165.1175310558663</v>
      </c>
      <c r="I172" s="13" t="s">
        <v>68</v>
      </c>
      <c r="J172" s="3">
        <f>P152</f>
        <v>15894.009029186927</v>
      </c>
    </row>
    <row r="174" spans="2:21" ht="16" thickBot="1" x14ac:dyDescent="0.25">
      <c r="B174" s="99"/>
      <c r="C174" s="99"/>
      <c r="D174" s="99"/>
      <c r="E174" s="99"/>
      <c r="F174" s="99"/>
      <c r="G174" s="99"/>
      <c r="H174" s="99"/>
      <c r="I174" s="99"/>
      <c r="J174" s="99"/>
      <c r="K174" s="99"/>
      <c r="L174" s="99"/>
      <c r="M174" s="99"/>
      <c r="N174" s="99"/>
      <c r="O174" s="99"/>
      <c r="P174" s="99"/>
      <c r="Q174" s="99"/>
      <c r="R174" s="99"/>
      <c r="S174" s="99"/>
      <c r="T174" s="99"/>
      <c r="U174" s="99"/>
    </row>
    <row r="176" spans="2:21" x14ac:dyDescent="0.2">
      <c r="B176" s="307" t="s">
        <v>469</v>
      </c>
      <c r="C176" s="307"/>
      <c r="D176" s="307"/>
      <c r="E176" s="307"/>
      <c r="F176" s="307"/>
      <c r="G176" s="307"/>
    </row>
    <row r="177" spans="2:17" x14ac:dyDescent="0.2">
      <c r="B177" s="307"/>
      <c r="C177" s="307"/>
      <c r="D177" s="307"/>
      <c r="E177" s="307"/>
      <c r="F177" s="307"/>
      <c r="G177" s="307"/>
    </row>
    <row r="178" spans="2:17" x14ac:dyDescent="0.2">
      <c r="B178" s="307"/>
      <c r="C178" s="307"/>
      <c r="D178" s="307"/>
      <c r="E178" s="307"/>
      <c r="F178" s="307"/>
      <c r="G178" s="307"/>
    </row>
    <row r="182" spans="2:17" x14ac:dyDescent="0.2">
      <c r="B182" s="172" t="s">
        <v>456</v>
      </c>
    </row>
    <row r="183" spans="2:17" x14ac:dyDescent="0.2">
      <c r="B183" s="3">
        <v>0.15</v>
      </c>
    </row>
    <row r="184" spans="2:17" ht="17" x14ac:dyDescent="0.25">
      <c r="B184" s="172" t="s">
        <v>114</v>
      </c>
      <c r="C184" s="3" t="s">
        <v>1</v>
      </c>
      <c r="D184" s="3" t="s">
        <v>47</v>
      </c>
      <c r="E184" s="3" t="s">
        <v>5</v>
      </c>
      <c r="F184" s="202" t="s">
        <v>412</v>
      </c>
      <c r="G184" s="3" t="s">
        <v>39</v>
      </c>
      <c r="L184" s="172" t="s">
        <v>115</v>
      </c>
      <c r="M184" s="3" t="s">
        <v>1</v>
      </c>
      <c r="N184" s="3" t="s">
        <v>47</v>
      </c>
      <c r="O184" s="3" t="s">
        <v>5</v>
      </c>
      <c r="P184" s="202" t="s">
        <v>412</v>
      </c>
      <c r="Q184" s="3" t="s">
        <v>39</v>
      </c>
    </row>
    <row r="185" spans="2:17" ht="18" x14ac:dyDescent="0.25">
      <c r="B185" s="13" t="s">
        <v>41</v>
      </c>
      <c r="C185" s="31" t="s">
        <v>11</v>
      </c>
      <c r="D185" s="31" t="s">
        <v>241</v>
      </c>
      <c r="E185" s="79" t="s">
        <v>85</v>
      </c>
      <c r="F185" s="31" t="s">
        <v>42</v>
      </c>
      <c r="G185" s="31" t="s">
        <v>43</v>
      </c>
      <c r="L185" s="13" t="s">
        <v>41</v>
      </c>
      <c r="M185" s="31" t="s">
        <v>11</v>
      </c>
      <c r="N185" s="31" t="s">
        <v>241</v>
      </c>
      <c r="O185" s="79" t="s">
        <v>85</v>
      </c>
      <c r="P185" s="31" t="s">
        <v>42</v>
      </c>
      <c r="Q185" s="31" t="s">
        <v>43</v>
      </c>
    </row>
    <row r="186" spans="2:17" ht="17" x14ac:dyDescent="0.25">
      <c r="B186" s="34" t="s">
        <v>66</v>
      </c>
      <c r="C186" s="24">
        <f>H2_to_coke_oven</f>
        <v>5.8592015710173317</v>
      </c>
      <c r="D186" s="3">
        <f>C186/$C$190</f>
        <v>0.56136593456908357</v>
      </c>
      <c r="E186" s="3">
        <f>MW_H*2</f>
        <v>2.0158800000000003E-3</v>
      </c>
      <c r="F186" s="3">
        <f>C186/E186</f>
        <v>2906.5229929446846</v>
      </c>
      <c r="G186" s="156">
        <f>F186/$F$190</f>
        <v>0.91544766952145873</v>
      </c>
      <c r="L186" s="34" t="s">
        <v>68</v>
      </c>
      <c r="M186" s="24">
        <f t="shared" ref="M186:M187" si="23">O186*P186</f>
        <v>61.357504924999432</v>
      </c>
      <c r="N186" s="3">
        <f>M186/M189</f>
        <v>0.22152381559059706</v>
      </c>
      <c r="O186" s="3">
        <f>MW_H2O</f>
        <v>1.8015280000000002E-2</v>
      </c>
      <c r="P186" s="3">
        <f>J200</f>
        <v>3405.8590776829128</v>
      </c>
      <c r="Q186" s="156">
        <f>P186/$AC$102</f>
        <v>0.22986860168502557</v>
      </c>
    </row>
    <row r="187" spans="2:17" ht="18" x14ac:dyDescent="0.25">
      <c r="B187" s="34" t="s">
        <v>65</v>
      </c>
      <c r="C187" s="24">
        <f>CH4_to_coke_oven</f>
        <v>4.0053644833975302</v>
      </c>
      <c r="D187" s="3">
        <f t="shared" ref="D187:D189" si="24">C187/$C$190</f>
        <v>0.3837511219334731</v>
      </c>
      <c r="E187" s="3">
        <f>MW_CH4</f>
        <v>1.604276E-2</v>
      </c>
      <c r="F187" s="3">
        <f t="shared" ref="F187:F189" si="25">C187/E187</f>
        <v>249.66804236911418</v>
      </c>
      <c r="G187" s="156">
        <f t="shared" ref="G187:G189" si="26">F187/$F$190</f>
        <v>7.8636235837663701E-2</v>
      </c>
      <c r="L187" s="243" t="s">
        <v>64</v>
      </c>
      <c r="M187" s="24">
        <f t="shared" si="23"/>
        <v>10.987840611056242</v>
      </c>
      <c r="N187" s="3">
        <f>M187/M189</f>
        <v>3.9670263323741545E-2</v>
      </c>
      <c r="O187" s="3">
        <f>MW_CO2</f>
        <v>4.4009800000000002E-2</v>
      </c>
      <c r="P187" s="3">
        <f>H200</f>
        <v>249.66804236911418</v>
      </c>
      <c r="Q187" s="156">
        <f>P187/$AC$102</f>
        <v>1.6850621965213648E-2</v>
      </c>
    </row>
    <row r="188" spans="2:17" ht="18" x14ac:dyDescent="0.25">
      <c r="B188" s="239" t="s">
        <v>24</v>
      </c>
      <c r="C188" s="24">
        <f>O2_to_coke_oven</f>
        <v>0.37452468339450529</v>
      </c>
      <c r="D188" s="3">
        <f t="shared" si="24"/>
        <v>3.5882943497443413E-2</v>
      </c>
      <c r="E188" s="3">
        <f>MW_O2</f>
        <v>3.1998800000000001E-2</v>
      </c>
      <c r="F188" s="3">
        <f t="shared" si="25"/>
        <v>11.704335268650864</v>
      </c>
      <c r="G188" s="156">
        <f t="shared" si="26"/>
        <v>3.6864344341996287E-3</v>
      </c>
      <c r="L188" s="20" t="s">
        <v>67</v>
      </c>
      <c r="M188" s="24">
        <f>O188*P188</f>
        <v>204.63392534466789</v>
      </c>
      <c r="N188" s="3">
        <f>M188/M189</f>
        <v>0.73880592108566145</v>
      </c>
      <c r="O188" s="3">
        <f>MW_N2</f>
        <v>2.801348E-2</v>
      </c>
      <c r="P188" s="3">
        <f>H207</f>
        <v>7304.8377190077026</v>
      </c>
      <c r="Q188" s="156">
        <f>P188/$AC$102</f>
        <v>0.49301888120007009</v>
      </c>
    </row>
    <row r="189" spans="2:17" ht="18" x14ac:dyDescent="0.25">
      <c r="B189" s="20" t="s">
        <v>67</v>
      </c>
      <c r="C189" s="24">
        <f>N2_to_coke_oven</f>
        <v>0.19831062591068094</v>
      </c>
      <c r="D189" s="3">
        <f t="shared" si="24"/>
        <v>1.9000000000000003E-2</v>
      </c>
      <c r="E189" s="3">
        <f>MW_N2</f>
        <v>2.801348E-2</v>
      </c>
      <c r="F189" s="3">
        <f t="shared" si="25"/>
        <v>7.0791142660847894</v>
      </c>
      <c r="G189" s="156">
        <f t="shared" si="26"/>
        <v>2.2296602066780094E-3</v>
      </c>
      <c r="L189" s="3" t="s">
        <v>19</v>
      </c>
      <c r="M189" s="17">
        <f>SUM(M186:M188)</f>
        <v>276.97927088072356</v>
      </c>
      <c r="N189" s="17">
        <f>SUM(N186:N188)</f>
        <v>1</v>
      </c>
      <c r="O189" s="17"/>
      <c r="P189" s="17">
        <f>SUM(P186:P188)</f>
        <v>10960.36483905973</v>
      </c>
      <c r="Q189" s="17">
        <f>SUM(Q185:Q188)</f>
        <v>0.73973810485030933</v>
      </c>
    </row>
    <row r="190" spans="2:17" x14ac:dyDescent="0.2">
      <c r="B190" s="3" t="s">
        <v>19</v>
      </c>
      <c r="C190" s="17">
        <f>SUM(C186:C189)</f>
        <v>10.437401363720047</v>
      </c>
      <c r="D190" s="17">
        <f>SUM(D185:D189)</f>
        <v>1</v>
      </c>
      <c r="E190" s="17"/>
      <c r="F190" s="17">
        <f>SUM(F185:F189)</f>
        <v>3174.9744848485343</v>
      </c>
      <c r="G190" s="17">
        <f>SUM(G185:G189)</f>
        <v>1</v>
      </c>
    </row>
    <row r="192" spans="2:17" ht="18" x14ac:dyDescent="0.25">
      <c r="B192" s="239" t="s">
        <v>24</v>
      </c>
      <c r="C192" s="3">
        <f>E192*F192</f>
        <v>62.106254798246304</v>
      </c>
      <c r="D192" s="3">
        <f>C192/C194</f>
        <v>0.23300750051310176</v>
      </c>
      <c r="E192" s="3">
        <f>MW_O2</f>
        <v>3.1998800000000001E-2</v>
      </c>
      <c r="F192" s="3">
        <f>C207</f>
        <v>1940.8932459419198</v>
      </c>
    </row>
    <row r="193" spans="2:10" ht="18" x14ac:dyDescent="0.25">
      <c r="B193" s="20" t="s">
        <v>67</v>
      </c>
      <c r="C193" s="3">
        <f>E193*F193</f>
        <v>204.43561471875722</v>
      </c>
      <c r="D193" s="3">
        <f>C193/C194</f>
        <v>0.76699249948689818</v>
      </c>
      <c r="E193" s="3">
        <f>MW_N2</f>
        <v>2.801348E-2</v>
      </c>
      <c r="F193" s="3">
        <f>E207</f>
        <v>7297.758604741618</v>
      </c>
    </row>
    <row r="194" spans="2:10" x14ac:dyDescent="0.2">
      <c r="C194" s="3">
        <f>SUM(C192:C193)</f>
        <v>266.54186951700353</v>
      </c>
      <c r="D194" s="3">
        <f>SUM(D192:D193)</f>
        <v>1</v>
      </c>
    </row>
    <row r="195" spans="2:10" x14ac:dyDescent="0.2">
      <c r="B195" s="3" t="s">
        <v>490</v>
      </c>
      <c r="C195" s="3">
        <f>C194+C190</f>
        <v>276.97927088072356</v>
      </c>
    </row>
    <row r="197" spans="2:10" ht="17" x14ac:dyDescent="0.25">
      <c r="B197" s="172" t="s">
        <v>114</v>
      </c>
      <c r="C197" s="202" t="s">
        <v>412</v>
      </c>
      <c r="E197" s="202" t="s">
        <v>412</v>
      </c>
      <c r="G197" s="172" t="s">
        <v>115</v>
      </c>
      <c r="H197" s="202" t="s">
        <v>412</v>
      </c>
      <c r="J197" s="202" t="s">
        <v>412</v>
      </c>
    </row>
    <row r="198" spans="2:10" ht="16" x14ac:dyDescent="0.2">
      <c r="C198" s="13" t="s">
        <v>42</v>
      </c>
      <c r="D198" s="1"/>
      <c r="E198" s="13" t="s">
        <v>42</v>
      </c>
      <c r="H198" s="13" t="s">
        <v>42</v>
      </c>
      <c r="I198" s="1"/>
      <c r="J198" s="13" t="s">
        <v>42</v>
      </c>
    </row>
    <row r="199" spans="2:10" ht="16" x14ac:dyDescent="0.2">
      <c r="B199" s="61" t="s">
        <v>18</v>
      </c>
      <c r="C199" s="1">
        <f>C200</f>
        <v>249.66804236911418</v>
      </c>
      <c r="D199" s="19" t="s">
        <v>183</v>
      </c>
      <c r="E199" s="1">
        <f>2*E200</f>
        <v>6811.7181553658256</v>
      </c>
      <c r="G199" s="13" t="s">
        <v>18</v>
      </c>
      <c r="H199" s="1">
        <f>C199</f>
        <v>249.66804236911418</v>
      </c>
      <c r="I199" s="19" t="s">
        <v>183</v>
      </c>
      <c r="J199" s="1">
        <f>E199</f>
        <v>6811.7181553658256</v>
      </c>
    </row>
    <row r="200" spans="2:10" ht="18" x14ac:dyDescent="0.25">
      <c r="B200" s="61" t="s">
        <v>459</v>
      </c>
      <c r="C200" s="1">
        <f>F187</f>
        <v>249.66804236911418</v>
      </c>
      <c r="D200" s="61" t="s">
        <v>460</v>
      </c>
      <c r="E200" s="1">
        <f>F186+(2*F187)</f>
        <v>3405.8590776829128</v>
      </c>
      <c r="G200" s="243" t="s">
        <v>64</v>
      </c>
      <c r="H200" s="1">
        <f>H199</f>
        <v>249.66804236911418</v>
      </c>
      <c r="I200" s="13" t="s">
        <v>68</v>
      </c>
      <c r="J200" s="1">
        <f>J199/2</f>
        <v>3405.8590776829128</v>
      </c>
    </row>
    <row r="202" spans="2:10" x14ac:dyDescent="0.2">
      <c r="B202" s="13" t="s">
        <v>29</v>
      </c>
      <c r="C202" s="3">
        <f>2*C203</f>
        <v>23.408670537301727</v>
      </c>
      <c r="G202" s="13" t="s">
        <v>29</v>
      </c>
      <c r="H202" s="3">
        <f>2*H203</f>
        <v>499.33608473822835</v>
      </c>
      <c r="I202" s="13" t="s">
        <v>29</v>
      </c>
      <c r="J202" s="3">
        <f>J203</f>
        <v>3405.8590776829128</v>
      </c>
    </row>
    <row r="203" spans="2:10" ht="18" x14ac:dyDescent="0.25">
      <c r="B203" s="238" t="s">
        <v>24</v>
      </c>
      <c r="C203" s="3">
        <f>F188</f>
        <v>11.704335268650864</v>
      </c>
      <c r="D203" s="20" t="s">
        <v>67</v>
      </c>
      <c r="E203" s="3">
        <f>F189</f>
        <v>7.0791142660847894</v>
      </c>
      <c r="G203" s="242" t="s">
        <v>64</v>
      </c>
      <c r="H203" s="3">
        <f>H200</f>
        <v>249.66804236911418</v>
      </c>
      <c r="I203" s="13" t="s">
        <v>68</v>
      </c>
      <c r="J203" s="3">
        <f>J200</f>
        <v>3405.8590776829128</v>
      </c>
    </row>
    <row r="206" spans="2:10" x14ac:dyDescent="0.2">
      <c r="B206" s="13" t="s">
        <v>29</v>
      </c>
      <c r="C206" s="3">
        <f>J202+H202-C202</f>
        <v>3881.7864918838395</v>
      </c>
    </row>
    <row r="207" spans="2:10" ht="18" x14ac:dyDescent="0.25">
      <c r="B207" s="238" t="s">
        <v>24</v>
      </c>
      <c r="C207" s="3">
        <f>C206/2</f>
        <v>1940.8932459419198</v>
      </c>
      <c r="D207" s="20" t="s">
        <v>67</v>
      </c>
      <c r="E207" s="3">
        <f>3.76*C207</f>
        <v>7297.758604741618</v>
      </c>
      <c r="G207" s="20" t="s">
        <v>67</v>
      </c>
      <c r="H207" s="3">
        <f>E203+E207</f>
        <v>7304.8377190077026</v>
      </c>
    </row>
    <row r="213" spans="2:20" ht="16" thickBot="1" x14ac:dyDescent="0.25">
      <c r="B213" s="99"/>
      <c r="C213" s="99"/>
      <c r="D213" s="99"/>
      <c r="E213" s="99"/>
      <c r="F213" s="99"/>
      <c r="G213" s="99"/>
      <c r="H213" s="99"/>
      <c r="I213" s="99"/>
      <c r="J213" s="99"/>
      <c r="K213" s="99"/>
      <c r="L213" s="99"/>
      <c r="M213" s="99"/>
      <c r="N213" s="99"/>
      <c r="O213" s="99"/>
      <c r="P213" s="99"/>
      <c r="Q213" s="99"/>
      <c r="R213" s="99"/>
      <c r="S213" s="99"/>
      <c r="T213" s="99"/>
    </row>
    <row r="215" spans="2:20" ht="18" x14ac:dyDescent="0.25">
      <c r="B215" s="307" t="s">
        <v>508</v>
      </c>
      <c r="C215" s="307"/>
      <c r="D215" s="307"/>
      <c r="E215" s="307"/>
      <c r="G215" s="20" t="s">
        <v>67</v>
      </c>
      <c r="H215" s="238" t="s">
        <v>24</v>
      </c>
      <c r="J215" s="287" t="s">
        <v>70</v>
      </c>
      <c r="K215" s="287"/>
      <c r="L215" s="287"/>
      <c r="M215" s="287"/>
      <c r="N215" s="287"/>
      <c r="O215" s="287"/>
    </row>
    <row r="216" spans="2:20" ht="18" x14ac:dyDescent="0.25">
      <c r="B216" s="307"/>
      <c r="C216" s="307"/>
      <c r="D216" s="307"/>
      <c r="E216" s="307"/>
      <c r="G216" s="13">
        <v>3.76</v>
      </c>
      <c r="H216" s="13">
        <v>2</v>
      </c>
      <c r="J216" s="287" t="s">
        <v>510</v>
      </c>
      <c r="K216" s="287"/>
      <c r="L216" s="287"/>
      <c r="M216" s="13"/>
      <c r="N216" s="308" t="s">
        <v>75</v>
      </c>
      <c r="O216" s="290"/>
    </row>
    <row r="217" spans="2:20" x14ac:dyDescent="0.2">
      <c r="B217" s="307"/>
      <c r="C217" s="307"/>
      <c r="D217" s="307"/>
      <c r="E217" s="307"/>
      <c r="J217" s="287" t="str">
        <f>_xlfn.CONCAT(G222," ",B222," ","+"," ",G223," ","("," ",B223," ","+"," ",G224," ",B224," ",")"," ","--&gt;"," ",M222," ",H222," ","+"," ",M223," ",H223," ","+"," ",M224," ",H224)</f>
        <v>1 C12H23 + 17.75 ( O2 + 3.76 N2 ) --&gt; 12 CO2 + 11.5 H2O + 66.74 N2</v>
      </c>
      <c r="K217" s="287"/>
      <c r="L217" s="287"/>
      <c r="M217" s="287"/>
      <c r="N217" s="287"/>
      <c r="O217" s="287"/>
    </row>
    <row r="220" spans="2:20" ht="17" x14ac:dyDescent="0.25">
      <c r="C220" s="3" t="s">
        <v>1</v>
      </c>
      <c r="D220" s="3" t="s">
        <v>5</v>
      </c>
      <c r="E220" s="202" t="s">
        <v>412</v>
      </c>
      <c r="H220" s="172" t="s">
        <v>391</v>
      </c>
      <c r="I220" s="3" t="s">
        <v>1</v>
      </c>
      <c r="J220" s="3" t="s">
        <v>5</v>
      </c>
      <c r="K220" s="202" t="s">
        <v>412</v>
      </c>
    </row>
    <row r="221" spans="2:20" ht="18" x14ac:dyDescent="0.25">
      <c r="B221" s="172" t="s">
        <v>509</v>
      </c>
      <c r="C221" s="13" t="s">
        <v>11</v>
      </c>
      <c r="D221" s="19" t="s">
        <v>85</v>
      </c>
      <c r="E221" s="13" t="s">
        <v>42</v>
      </c>
      <c r="F221" s="3" t="s">
        <v>44</v>
      </c>
      <c r="H221" s="13" t="s">
        <v>41</v>
      </c>
      <c r="I221" s="13" t="s">
        <v>11</v>
      </c>
      <c r="J221" s="19" t="s">
        <v>85</v>
      </c>
      <c r="K221" s="13" t="s">
        <v>42</v>
      </c>
      <c r="L221" s="3" t="s">
        <v>44</v>
      </c>
    </row>
    <row r="222" spans="2:20" ht="18" x14ac:dyDescent="0.25">
      <c r="B222" s="61" t="s">
        <v>502</v>
      </c>
      <c r="C222" s="3">
        <f>'Ore-&gt;PI'!L226</f>
        <v>0.48766657832528126</v>
      </c>
      <c r="D222" s="3">
        <f>MW_C12H23</f>
        <v>0.16731462</v>
      </c>
      <c r="E222" s="3">
        <f>C222/D222</f>
        <v>2.9146680566544707</v>
      </c>
      <c r="F222" s="30" t="s">
        <v>33</v>
      </c>
      <c r="G222" s="3">
        <v>1</v>
      </c>
      <c r="H222" s="242" t="s">
        <v>64</v>
      </c>
      <c r="I222" s="3">
        <f>J222*K222</f>
        <v>1.5392874988770233</v>
      </c>
      <c r="J222" s="3">
        <f>MW_CO2</f>
        <v>4.4009800000000002E-2</v>
      </c>
      <c r="K222" s="3">
        <f>M222*E222</f>
        <v>34.97601667985365</v>
      </c>
      <c r="L222" s="30" t="s">
        <v>35</v>
      </c>
      <c r="M222" s="3">
        <f>12*G222</f>
        <v>12</v>
      </c>
    </row>
    <row r="223" spans="2:20" ht="18" x14ac:dyDescent="0.25">
      <c r="B223" s="238" t="s">
        <v>24</v>
      </c>
      <c r="C223" s="3">
        <f>E223*D223</f>
        <v>1.6554693737501325</v>
      </c>
      <c r="D223" s="3">
        <f>MW_O2</f>
        <v>3.1998800000000001E-2</v>
      </c>
      <c r="E223" s="3">
        <f>E222*G223</f>
        <v>51.735358005616852</v>
      </c>
      <c r="F223" s="30" t="s">
        <v>34</v>
      </c>
      <c r="G223" s="3">
        <f>((2*M222)+M223)/2</f>
        <v>17.75</v>
      </c>
      <c r="H223" s="13" t="s">
        <v>68</v>
      </c>
      <c r="I223" s="3">
        <f t="shared" ref="I223:I224" si="27">J223*K223</f>
        <v>0.60384845319839076</v>
      </c>
      <c r="J223" s="3">
        <f>MW_H2O</f>
        <v>1.8015280000000002E-2</v>
      </c>
      <c r="K223" s="3">
        <f>M223*E222</f>
        <v>33.518682651526412</v>
      </c>
      <c r="L223" s="30" t="s">
        <v>36</v>
      </c>
      <c r="M223" s="3">
        <f>(23/2)*G222</f>
        <v>11.5</v>
      </c>
    </row>
    <row r="224" spans="2:20" ht="18" x14ac:dyDescent="0.25">
      <c r="B224" s="20" t="s">
        <v>67</v>
      </c>
      <c r="C224" s="3">
        <f>E224*D224</f>
        <v>5.4493206871047848</v>
      </c>
      <c r="D224" s="3">
        <f>MW_N2</f>
        <v>2.801348E-2</v>
      </c>
      <c r="E224" s="3">
        <f>E223*G224</f>
        <v>194.52494610111935</v>
      </c>
      <c r="F224" s="30" t="s">
        <v>207</v>
      </c>
      <c r="G224" s="3">
        <v>3.76</v>
      </c>
      <c r="H224" s="20" t="s">
        <v>67</v>
      </c>
      <c r="I224" s="3">
        <f t="shared" si="27"/>
        <v>5.4493206871047848</v>
      </c>
      <c r="J224" s="3">
        <f>MW_N2</f>
        <v>2.801348E-2</v>
      </c>
      <c r="K224" s="3">
        <f>E224</f>
        <v>194.52494610111935</v>
      </c>
      <c r="L224" s="30" t="s">
        <v>37</v>
      </c>
      <c r="M224" s="3">
        <f>G223*G224</f>
        <v>66.739999999999995</v>
      </c>
    </row>
    <row r="225" spans="2:21" x14ac:dyDescent="0.2">
      <c r="B225" s="3" t="s">
        <v>19</v>
      </c>
      <c r="C225" s="17">
        <f>SUM(C222:C224)</f>
        <v>7.5924566391801989</v>
      </c>
      <c r="D225" s="17"/>
      <c r="E225" s="17">
        <f>SUM(E222:E224)</f>
        <v>249.17497216339069</v>
      </c>
      <c r="I225" s="17">
        <f>SUM(I222:I224)</f>
        <v>7.5924566391801989</v>
      </c>
      <c r="J225" s="17"/>
      <c r="K225" s="17">
        <f>SUM(K222:K224)</f>
        <v>263.01964543249943</v>
      </c>
    </row>
    <row r="230" spans="2:21" ht="18" x14ac:dyDescent="0.25">
      <c r="B230" s="13" t="s">
        <v>183</v>
      </c>
      <c r="C230" s="3">
        <f>23*C232</f>
        <v>67.037365303052823</v>
      </c>
      <c r="D230" s="19" t="s">
        <v>304</v>
      </c>
      <c r="E230" s="3">
        <f>E232</f>
        <v>34.97601667985365</v>
      </c>
      <c r="F230" s="19" t="s">
        <v>304</v>
      </c>
      <c r="G230" s="3">
        <f>G231/2</f>
        <v>16.759341325763206</v>
      </c>
    </row>
    <row r="231" spans="2:21" x14ac:dyDescent="0.2">
      <c r="B231" s="13" t="s">
        <v>18</v>
      </c>
      <c r="C231" s="3">
        <f>12*C232</f>
        <v>34.97601667985365</v>
      </c>
      <c r="D231" s="13" t="s">
        <v>18</v>
      </c>
      <c r="E231" s="3">
        <f>E232</f>
        <v>34.97601667985365</v>
      </c>
      <c r="F231" s="3" t="s">
        <v>29</v>
      </c>
      <c r="G231" s="3">
        <f>G232</f>
        <v>33.518682651526412</v>
      </c>
    </row>
    <row r="232" spans="2:21" ht="18" x14ac:dyDescent="0.25">
      <c r="B232" s="61" t="s">
        <v>502</v>
      </c>
      <c r="C232" s="3">
        <f>E222</f>
        <v>2.9146680566544707</v>
      </c>
      <c r="D232" s="242" t="s">
        <v>64</v>
      </c>
      <c r="E232" s="3">
        <f>C231</f>
        <v>34.97601667985365</v>
      </c>
      <c r="F232" s="13" t="s">
        <v>68</v>
      </c>
      <c r="G232" s="3">
        <f>C230/2</f>
        <v>33.518682651526412</v>
      </c>
    </row>
    <row r="238" spans="2:21" ht="16" thickBot="1" x14ac:dyDescent="0.25">
      <c r="B238" s="99"/>
      <c r="C238" s="99"/>
      <c r="D238" s="99"/>
      <c r="E238" s="99"/>
      <c r="F238" s="99"/>
      <c r="G238" s="99"/>
      <c r="H238" s="99"/>
      <c r="I238" s="99"/>
      <c r="J238" s="99"/>
      <c r="K238" s="99"/>
      <c r="L238" s="99"/>
      <c r="M238" s="99"/>
      <c r="N238" s="99"/>
      <c r="O238" s="99"/>
      <c r="P238" s="99"/>
      <c r="Q238" s="99"/>
      <c r="R238" s="99"/>
      <c r="S238" s="99"/>
      <c r="T238" s="99"/>
      <c r="U238" s="99"/>
    </row>
    <row r="240" spans="2:21" x14ac:dyDescent="0.2">
      <c r="B240" s="307" t="s">
        <v>523</v>
      </c>
      <c r="C240" s="307"/>
      <c r="D240" s="307"/>
      <c r="E240" s="307"/>
      <c r="J240" s="287" t="s">
        <v>70</v>
      </c>
      <c r="K240" s="287"/>
      <c r="L240" s="287"/>
      <c r="M240" s="287"/>
      <c r="N240" s="287"/>
      <c r="O240" s="287"/>
    </row>
    <row r="241" spans="2:21" ht="18" x14ac:dyDescent="0.25">
      <c r="B241" s="307"/>
      <c r="C241" s="307"/>
      <c r="D241" s="307"/>
      <c r="E241" s="307"/>
      <c r="J241" s="287" t="s">
        <v>525</v>
      </c>
      <c r="K241" s="287"/>
      <c r="L241" s="287"/>
      <c r="M241" s="13"/>
      <c r="N241" s="308" t="s">
        <v>75</v>
      </c>
      <c r="O241" s="290"/>
    </row>
    <row r="242" spans="2:21" x14ac:dyDescent="0.2">
      <c r="B242" s="307"/>
      <c r="C242" s="307"/>
      <c r="D242" s="307"/>
      <c r="E242" s="307"/>
      <c r="J242" s="287" t="str">
        <f>_xlfn.CONCAT(G247," ",B247," ","+"," ",G248," ","("," ",B248," ","+"," ",G249," ",B249," ",")"," ","--&gt;"," ",M247," ",H247," ","+"," ",M248," ",H248," ","+"," ",M249," ",H249)</f>
        <v>1 C8H18 + 12.5 ( O2 + 3.76 N2 ) --&gt; 8 CO2 + 9 H2O + 47 N2</v>
      </c>
      <c r="K242" s="287"/>
      <c r="L242" s="287"/>
      <c r="M242" s="287"/>
      <c r="N242" s="287"/>
      <c r="O242" s="287"/>
    </row>
    <row r="245" spans="2:21" ht="17" x14ac:dyDescent="0.25">
      <c r="C245" s="3" t="s">
        <v>1</v>
      </c>
      <c r="D245" s="3" t="s">
        <v>5</v>
      </c>
      <c r="E245" s="202" t="s">
        <v>412</v>
      </c>
      <c r="H245" s="172" t="s">
        <v>391</v>
      </c>
      <c r="I245" s="3" t="s">
        <v>1</v>
      </c>
      <c r="J245" s="3" t="s">
        <v>5</v>
      </c>
      <c r="K245" s="202" t="s">
        <v>412</v>
      </c>
    </row>
    <row r="246" spans="2:21" ht="18" x14ac:dyDescent="0.25">
      <c r="B246" s="172" t="s">
        <v>524</v>
      </c>
      <c r="C246" s="13" t="s">
        <v>11</v>
      </c>
      <c r="D246" s="19" t="s">
        <v>85</v>
      </c>
      <c r="E246" s="13" t="s">
        <v>42</v>
      </c>
      <c r="F246" s="3" t="s">
        <v>44</v>
      </c>
      <c r="H246" s="13" t="s">
        <v>41</v>
      </c>
      <c r="I246" s="13" t="s">
        <v>11</v>
      </c>
      <c r="J246" s="19" t="s">
        <v>85</v>
      </c>
      <c r="K246" s="13" t="s">
        <v>42</v>
      </c>
      <c r="L246" s="3" t="s">
        <v>44</v>
      </c>
    </row>
    <row r="247" spans="2:21" ht="18" x14ac:dyDescent="0.25">
      <c r="B247" s="61" t="s">
        <v>501</v>
      </c>
      <c r="C247" s="3">
        <f>'Ore-&gt;PI'!L155</f>
        <v>5.1714158616864253E-4</v>
      </c>
      <c r="D247" s="3">
        <f>MW_C8H18</f>
        <v>0.11423092</v>
      </c>
      <c r="E247" s="3">
        <f>C247/D247</f>
        <v>4.5271594255622081E-3</v>
      </c>
      <c r="F247" s="30" t="s">
        <v>33</v>
      </c>
      <c r="G247" s="3">
        <v>1</v>
      </c>
      <c r="H247" s="242" t="s">
        <v>64</v>
      </c>
      <c r="I247" s="3">
        <f>J247*K247</f>
        <v>1.5939150470968614E-3</v>
      </c>
      <c r="J247" s="3">
        <f>MW_CO2</f>
        <v>4.4009800000000002E-2</v>
      </c>
      <c r="K247" s="3">
        <f>M247*E247</f>
        <v>3.6217275404497665E-2</v>
      </c>
      <c r="L247" s="30" t="s">
        <v>35</v>
      </c>
      <c r="M247" s="3">
        <f>8*G247</f>
        <v>8</v>
      </c>
    </row>
    <row r="248" spans="2:21" ht="18" x14ac:dyDescent="0.25">
      <c r="B248" s="238" t="s">
        <v>24</v>
      </c>
      <c r="C248" s="3">
        <f>E248*D248</f>
        <v>1.8107958628335E-3</v>
      </c>
      <c r="D248" s="3">
        <f>MW_O2</f>
        <v>3.1998800000000001E-2</v>
      </c>
      <c r="E248" s="3">
        <f>E247*G248</f>
        <v>5.6589492819527604E-2</v>
      </c>
      <c r="F248" s="30" t="s">
        <v>34</v>
      </c>
      <c r="G248" s="3">
        <f>((2*M247)+(M248))/2</f>
        <v>12.5</v>
      </c>
      <c r="H248" s="13" t="s">
        <v>68</v>
      </c>
      <c r="I248" s="3">
        <f t="shared" ref="I248:I249" si="28">J248*K248</f>
        <v>7.3402240190528106E-4</v>
      </c>
      <c r="J248" s="3">
        <f>MW_H2O</f>
        <v>1.8015280000000002E-2</v>
      </c>
      <c r="K248" s="3">
        <f>M248*E247</f>
        <v>4.0744434830059871E-2</v>
      </c>
      <c r="L248" s="30" t="s">
        <v>36</v>
      </c>
      <c r="M248" s="3">
        <f>9*G247</f>
        <v>9</v>
      </c>
    </row>
    <row r="249" spans="2:21" ht="18" x14ac:dyDescent="0.25">
      <c r="B249" s="20" t="s">
        <v>67</v>
      </c>
      <c r="C249" s="3">
        <f>E249*D249</f>
        <v>5.9606100311655258E-3</v>
      </c>
      <c r="D249" s="3">
        <f>MW_N2</f>
        <v>2.801348E-2</v>
      </c>
      <c r="E249" s="3">
        <f>E248*G249</f>
        <v>0.21277649300142379</v>
      </c>
      <c r="F249" s="30" t="s">
        <v>207</v>
      </c>
      <c r="G249" s="3">
        <v>3.76</v>
      </c>
      <c r="H249" s="20" t="s">
        <v>67</v>
      </c>
      <c r="I249" s="3">
        <f t="shared" si="28"/>
        <v>5.9606100311655258E-3</v>
      </c>
      <c r="J249" s="3">
        <f>MW_N2</f>
        <v>2.801348E-2</v>
      </c>
      <c r="K249" s="3">
        <f>E249</f>
        <v>0.21277649300142379</v>
      </c>
      <c r="L249" s="30" t="s">
        <v>37</v>
      </c>
      <c r="M249" s="3">
        <f>G249*G248</f>
        <v>47</v>
      </c>
    </row>
    <row r="250" spans="2:21" x14ac:dyDescent="0.2">
      <c r="B250" s="3" t="s">
        <v>19</v>
      </c>
      <c r="C250" s="17">
        <f>SUM(C247:C249)</f>
        <v>8.2885474801676681E-3</v>
      </c>
      <c r="D250" s="17"/>
      <c r="E250" s="17">
        <f>SUM(E247:E249)</f>
        <v>0.27389314524651359</v>
      </c>
      <c r="I250" s="17">
        <f>SUM(I247:I249)</f>
        <v>8.2885474801676681E-3</v>
      </c>
      <c r="J250" s="17"/>
      <c r="K250" s="17">
        <f>SUM(K247:K249)</f>
        <v>0.28973820323598132</v>
      </c>
    </row>
    <row r="255" spans="2:21" ht="16" thickBot="1" x14ac:dyDescent="0.25">
      <c r="B255" s="99"/>
      <c r="C255" s="99"/>
      <c r="D255" s="99"/>
      <c r="E255" s="99"/>
      <c r="F255" s="99"/>
      <c r="G255" s="99"/>
      <c r="H255" s="99"/>
      <c r="I255" s="99"/>
      <c r="J255" s="99"/>
      <c r="K255" s="99"/>
      <c r="L255" s="99"/>
      <c r="M255" s="99"/>
      <c r="N255" s="99"/>
      <c r="O255" s="99"/>
      <c r="P255" s="99"/>
      <c r="Q255" s="99"/>
      <c r="R255" s="99"/>
      <c r="S255" s="99"/>
      <c r="T255" s="99"/>
      <c r="U255" s="99"/>
    </row>
    <row r="257" spans="2:18" x14ac:dyDescent="0.2">
      <c r="B257" s="307" t="s">
        <v>528</v>
      </c>
      <c r="C257" s="307"/>
      <c r="D257" s="307"/>
      <c r="E257" s="307"/>
      <c r="J257" s="287" t="s">
        <v>70</v>
      </c>
      <c r="K257" s="287"/>
      <c r="L257" s="287"/>
      <c r="M257" s="287"/>
      <c r="N257" s="287"/>
      <c r="O257" s="287"/>
    </row>
    <row r="258" spans="2:18" ht="18" x14ac:dyDescent="0.25">
      <c r="B258" s="307"/>
      <c r="C258" s="307"/>
      <c r="D258" s="307"/>
      <c r="E258" s="307"/>
      <c r="J258" s="287" t="s">
        <v>530</v>
      </c>
      <c r="K258" s="287"/>
      <c r="L258" s="287"/>
      <c r="M258" s="13"/>
      <c r="N258" s="308" t="s">
        <v>75</v>
      </c>
      <c r="O258" s="290"/>
    </row>
    <row r="259" spans="2:18" x14ac:dyDescent="0.2">
      <c r="B259" s="307"/>
      <c r="C259" s="307"/>
      <c r="D259" s="307"/>
      <c r="E259" s="307"/>
      <c r="J259" s="287" t="str">
        <f>_xlfn.CONCAT(G264," ",B264," ","+"," ",G265," ","("," ",B265," ","+"," ",G266," ",B266," ",")"," ","--&gt;"," ",M264," ",H264," ","+"," ",M265," ",H265," ","+"," ",M266," ",H266)</f>
        <v>1 C10H20 + 15 ( O2 + 3.76 N2 ) --&gt; 10 CO2 + 10 H2O + 56.4 N2</v>
      </c>
      <c r="K259" s="287"/>
      <c r="L259" s="287"/>
      <c r="M259" s="287"/>
      <c r="N259" s="287"/>
      <c r="O259" s="287"/>
    </row>
    <row r="262" spans="2:18" ht="17" x14ac:dyDescent="0.25">
      <c r="C262" s="3" t="s">
        <v>1</v>
      </c>
      <c r="D262" s="3" t="s">
        <v>5</v>
      </c>
      <c r="E262" s="202" t="s">
        <v>412</v>
      </c>
      <c r="H262" s="172" t="s">
        <v>391</v>
      </c>
      <c r="I262" s="3" t="s">
        <v>1</v>
      </c>
      <c r="J262" s="3" t="s">
        <v>5</v>
      </c>
      <c r="K262" s="202" t="s">
        <v>412</v>
      </c>
    </row>
    <row r="263" spans="2:18" ht="18" x14ac:dyDescent="0.25">
      <c r="B263" s="172" t="s">
        <v>353</v>
      </c>
      <c r="C263" s="13" t="s">
        <v>11</v>
      </c>
      <c r="D263" s="19" t="s">
        <v>85</v>
      </c>
      <c r="E263" s="13" t="s">
        <v>42</v>
      </c>
      <c r="F263" s="3" t="s">
        <v>44</v>
      </c>
      <c r="H263" s="13" t="s">
        <v>41</v>
      </c>
      <c r="I263" s="13" t="s">
        <v>11</v>
      </c>
      <c r="J263" s="19" t="s">
        <v>85</v>
      </c>
      <c r="K263" s="13" t="s">
        <v>42</v>
      </c>
      <c r="L263" s="3" t="s">
        <v>44</v>
      </c>
    </row>
    <row r="264" spans="2:18" ht="18" x14ac:dyDescent="0.25">
      <c r="B264" s="61" t="s">
        <v>526</v>
      </c>
      <c r="C264" s="3">
        <f>'Ore-&gt;PI'!$DX$105</f>
        <v>4.8979947555174279</v>
      </c>
      <c r="D264" s="3">
        <f>MW_Oil</f>
        <v>0.1402688</v>
      </c>
      <c r="E264" s="3">
        <f>C264/D264</f>
        <v>34.918633049669118</v>
      </c>
      <c r="F264" s="30" t="s">
        <v>33</v>
      </c>
      <c r="G264" s="3">
        <v>1</v>
      </c>
      <c r="H264" s="242" t="s">
        <v>64</v>
      </c>
      <c r="I264" s="3">
        <f>J264*K264</f>
        <v>15.367620567893281</v>
      </c>
      <c r="J264" s="3">
        <f>MW_CO2</f>
        <v>4.4009800000000002E-2</v>
      </c>
      <c r="K264" s="3">
        <f>M264*E264</f>
        <v>349.1863304966912</v>
      </c>
      <c r="L264" s="30" t="s">
        <v>35</v>
      </c>
      <c r="M264" s="3">
        <v>10</v>
      </c>
    </row>
    <row r="265" spans="2:18" ht="18" x14ac:dyDescent="0.25">
      <c r="B265" s="238" t="s">
        <v>24</v>
      </c>
      <c r="C265" s="3">
        <f>E265*D265</f>
        <v>16.760315328446286</v>
      </c>
      <c r="D265" s="3">
        <f>MW_O2</f>
        <v>3.1998800000000001E-2</v>
      </c>
      <c r="E265" s="3">
        <f>E264*G265</f>
        <v>523.7794957450368</v>
      </c>
      <c r="F265" s="30" t="s">
        <v>34</v>
      </c>
      <c r="G265" s="3">
        <f>((2*M264)+(M265))/2</f>
        <v>15</v>
      </c>
      <c r="H265" s="13" t="s">
        <v>68</v>
      </c>
      <c r="I265" s="3">
        <f t="shared" ref="I265:I266" si="29">J265*K265</f>
        <v>6.2906895160704313</v>
      </c>
      <c r="J265" s="3">
        <f>MW_H2O</f>
        <v>1.8015280000000002E-2</v>
      </c>
      <c r="K265" s="3">
        <f>M265*E264</f>
        <v>349.1863304966912</v>
      </c>
      <c r="L265" s="30" t="s">
        <v>36</v>
      </c>
      <c r="M265" s="3">
        <v>10</v>
      </c>
    </row>
    <row r="266" spans="2:18" ht="18" x14ac:dyDescent="0.25">
      <c r="B266" s="20" t="s">
        <v>67</v>
      </c>
      <c r="C266" s="3">
        <f>E266*D266</f>
        <v>55.170052971023409</v>
      </c>
      <c r="D266" s="3">
        <f>MW_N2</f>
        <v>2.801348E-2</v>
      </c>
      <c r="E266" s="3">
        <f>E265*G266</f>
        <v>1969.4109040013382</v>
      </c>
      <c r="F266" s="30" t="s">
        <v>207</v>
      </c>
      <c r="G266" s="3">
        <v>3.76</v>
      </c>
      <c r="H266" s="20" t="s">
        <v>67</v>
      </c>
      <c r="I266" s="3">
        <f t="shared" si="29"/>
        <v>55.170052971023409</v>
      </c>
      <c r="J266" s="3">
        <f>MW_N2</f>
        <v>2.801348E-2</v>
      </c>
      <c r="K266" s="3">
        <f>E266</f>
        <v>1969.4109040013382</v>
      </c>
      <c r="L266" s="30" t="s">
        <v>37</v>
      </c>
      <c r="M266" s="3">
        <f>G266*G265</f>
        <v>56.4</v>
      </c>
    </row>
    <row r="267" spans="2:18" x14ac:dyDescent="0.2">
      <c r="B267" s="3" t="s">
        <v>19</v>
      </c>
      <c r="C267" s="17">
        <f>SUM(C264:C266)</f>
        <v>76.828363054987122</v>
      </c>
      <c r="D267" s="17"/>
      <c r="E267" s="17">
        <f>SUM(E264:E266)</f>
        <v>2528.1090327960442</v>
      </c>
      <c r="I267" s="17">
        <f>SUM(I264:I266)</f>
        <v>76.828363054987122</v>
      </c>
      <c r="J267" s="17"/>
      <c r="K267" s="17">
        <f>SUM(K264:K266)</f>
        <v>2667.7835649947206</v>
      </c>
    </row>
    <row r="271" spans="2:18" ht="16" thickBot="1" x14ac:dyDescent="0.25">
      <c r="B271" s="99"/>
      <c r="C271" s="99"/>
      <c r="D271" s="99"/>
      <c r="E271" s="99"/>
      <c r="F271" s="99"/>
      <c r="G271" s="99"/>
      <c r="H271" s="99"/>
      <c r="I271" s="99"/>
      <c r="J271" s="99"/>
      <c r="K271" s="99"/>
      <c r="L271" s="99"/>
      <c r="M271" s="99"/>
      <c r="N271" s="99"/>
      <c r="O271" s="99"/>
      <c r="P271" s="99"/>
      <c r="Q271" s="99"/>
      <c r="R271" s="99"/>
    </row>
    <row r="273" spans="2:15" x14ac:dyDescent="0.2">
      <c r="B273" s="307" t="s">
        <v>527</v>
      </c>
      <c r="C273" s="307"/>
      <c r="D273" s="307"/>
      <c r="E273" s="307"/>
      <c r="J273" s="287" t="s">
        <v>70</v>
      </c>
      <c r="K273" s="287"/>
      <c r="L273" s="287"/>
      <c r="M273" s="287"/>
      <c r="N273" s="287"/>
      <c r="O273" s="287"/>
    </row>
    <row r="274" spans="2:15" ht="18" x14ac:dyDescent="0.25">
      <c r="B274" s="307"/>
      <c r="C274" s="307"/>
      <c r="D274" s="307"/>
      <c r="E274" s="307"/>
      <c r="J274" s="287" t="s">
        <v>74</v>
      </c>
      <c r="K274" s="287"/>
      <c r="L274" s="287"/>
      <c r="M274" s="13"/>
      <c r="N274" s="308" t="s">
        <v>75</v>
      </c>
      <c r="O274" s="290"/>
    </row>
    <row r="275" spans="2:15" x14ac:dyDescent="0.2">
      <c r="B275" s="307"/>
      <c r="C275" s="307"/>
      <c r="D275" s="307"/>
      <c r="E275" s="307"/>
      <c r="J275" s="287" t="str">
        <f>_xlfn.CONCAT(G280," ",B280," ","+"," ",G281," ","("," ",B281," ","+"," ",G282," ",B282," ",")"," ","--&gt;"," ",M280," ",H280," ","+"," ",M281," ",H281," ","+"," ",M282," ",H282)</f>
        <v>1 CH4 + 2 ( O2 + 3.76 N2 ) --&gt; 1 CO2 + 2 H2O + 7.52 N2</v>
      </c>
      <c r="K275" s="287"/>
      <c r="L275" s="287"/>
      <c r="M275" s="287"/>
      <c r="N275" s="287"/>
      <c r="O275" s="287"/>
    </row>
    <row r="278" spans="2:15" ht="17" x14ac:dyDescent="0.25">
      <c r="C278" s="3" t="s">
        <v>1</v>
      </c>
      <c r="D278" s="3" t="s">
        <v>5</v>
      </c>
      <c r="E278" s="202" t="s">
        <v>412</v>
      </c>
      <c r="H278" s="172" t="s">
        <v>391</v>
      </c>
      <c r="I278" s="3" t="s">
        <v>1</v>
      </c>
      <c r="J278" s="3" t="s">
        <v>5</v>
      </c>
      <c r="K278" s="202" t="s">
        <v>412</v>
      </c>
    </row>
    <row r="279" spans="2:15" ht="18" x14ac:dyDescent="0.25">
      <c r="B279" s="172" t="s">
        <v>529</v>
      </c>
      <c r="C279" s="13" t="s">
        <v>11</v>
      </c>
      <c r="D279" s="19" t="s">
        <v>85</v>
      </c>
      <c r="E279" s="13" t="s">
        <v>42</v>
      </c>
      <c r="F279" s="3" t="s">
        <v>44</v>
      </c>
      <c r="H279" s="13" t="s">
        <v>41</v>
      </c>
      <c r="I279" s="13" t="s">
        <v>11</v>
      </c>
      <c r="J279" s="19" t="s">
        <v>85</v>
      </c>
      <c r="K279" s="13" t="s">
        <v>42</v>
      </c>
      <c r="L279" s="3" t="s">
        <v>44</v>
      </c>
    </row>
    <row r="280" spans="2:15" ht="18" x14ac:dyDescent="0.25">
      <c r="B280" s="13" t="s">
        <v>65</v>
      </c>
      <c r="C280" s="3">
        <f>'Ore-&gt;PI'!DX118</f>
        <v>44.774669200794314</v>
      </c>
      <c r="D280" s="3">
        <f>MW_CH4</f>
        <v>1.604276E-2</v>
      </c>
      <c r="E280" s="3">
        <f>C280/D280</f>
        <v>2790.9579898218458</v>
      </c>
      <c r="F280" s="30" t="s">
        <v>33</v>
      </c>
      <c r="G280" s="3">
        <v>1</v>
      </c>
      <c r="H280" s="242" t="s">
        <v>64</v>
      </c>
      <c r="I280" s="3">
        <f>J280*K280</f>
        <v>122.82950294046147</v>
      </c>
      <c r="J280" s="3">
        <f>MW_CO2</f>
        <v>4.4009800000000002E-2</v>
      </c>
      <c r="K280" s="3">
        <f>M280*E280</f>
        <v>2790.9579898218458</v>
      </c>
      <c r="L280" s="30" t="s">
        <v>35</v>
      </c>
      <c r="M280" s="3">
        <v>1</v>
      </c>
    </row>
    <row r="281" spans="2:15" ht="18" x14ac:dyDescent="0.25">
      <c r="B281" s="238" t="s">
        <v>24</v>
      </c>
      <c r="C281" s="3">
        <f>E281*D281</f>
        <v>178.61461304942256</v>
      </c>
      <c r="D281" s="3">
        <f>MW_O2</f>
        <v>3.1998800000000001E-2</v>
      </c>
      <c r="E281" s="3">
        <f>(K280+(K281/2))</f>
        <v>5581.9159796436916</v>
      </c>
      <c r="F281" s="30" t="s">
        <v>34</v>
      </c>
      <c r="G281" s="3">
        <f>E281/E280</f>
        <v>2</v>
      </c>
      <c r="H281" s="13" t="s">
        <v>68</v>
      </c>
      <c r="I281" s="3">
        <f t="shared" ref="I281:I282" si="30">J281*K281</f>
        <v>100.55977930975541</v>
      </c>
      <c r="J281" s="3">
        <f>MW_H2O</f>
        <v>1.8015280000000002E-2</v>
      </c>
      <c r="K281" s="3">
        <f>M281*E280</f>
        <v>5581.9159796436916</v>
      </c>
      <c r="L281" s="30" t="s">
        <v>36</v>
      </c>
      <c r="M281" s="3">
        <v>2</v>
      </c>
    </row>
    <row r="282" spans="2:15" ht="18" x14ac:dyDescent="0.25">
      <c r="B282" s="20" t="s">
        <v>67</v>
      </c>
      <c r="C282" s="3">
        <f>E282*D282</f>
        <v>587.94703263193287</v>
      </c>
      <c r="D282" s="3">
        <f>MW_N2</f>
        <v>2.801348E-2</v>
      </c>
      <c r="E282" s="3">
        <f>E281*G282</f>
        <v>20988.004083460281</v>
      </c>
      <c r="F282" s="30" t="s">
        <v>207</v>
      </c>
      <c r="G282" s="3">
        <v>3.76</v>
      </c>
      <c r="H282" s="20" t="s">
        <v>67</v>
      </c>
      <c r="I282" s="3">
        <f t="shared" si="30"/>
        <v>587.94703263193287</v>
      </c>
      <c r="J282" s="3">
        <f>MW_N2</f>
        <v>2.801348E-2</v>
      </c>
      <c r="K282" s="3">
        <f>E282</f>
        <v>20988.004083460281</v>
      </c>
      <c r="L282" s="30" t="s">
        <v>37</v>
      </c>
      <c r="M282" s="3">
        <f>G282*G281</f>
        <v>7.52</v>
      </c>
    </row>
    <row r="283" spans="2:15" x14ac:dyDescent="0.2">
      <c r="B283" s="3" t="s">
        <v>19</v>
      </c>
      <c r="C283" s="17">
        <f>SUM(C280:C282)</f>
        <v>811.33631488214974</v>
      </c>
      <c r="D283" s="17"/>
      <c r="E283" s="17">
        <f>SUM(E280:E282)</f>
        <v>29360.878052925818</v>
      </c>
      <c r="I283" s="17">
        <f>SUM(I280:I282)</f>
        <v>811.33631488214974</v>
      </c>
      <c r="J283" s="17"/>
      <c r="K283" s="17">
        <f>SUM(K280:K282)</f>
        <v>29360.878052925818</v>
      </c>
    </row>
  </sheetData>
  <mergeCells count="66">
    <mergeCell ref="B273:E275"/>
    <mergeCell ref="J273:O273"/>
    <mergeCell ref="J274:L274"/>
    <mergeCell ref="N274:O274"/>
    <mergeCell ref="J275:O275"/>
    <mergeCell ref="B257:E259"/>
    <mergeCell ref="J257:O257"/>
    <mergeCell ref="J258:L258"/>
    <mergeCell ref="N258:O258"/>
    <mergeCell ref="J259:O259"/>
    <mergeCell ref="B240:E242"/>
    <mergeCell ref="J240:O240"/>
    <mergeCell ref="J241:L241"/>
    <mergeCell ref="N241:O241"/>
    <mergeCell ref="J242:O242"/>
    <mergeCell ref="C147:G148"/>
    <mergeCell ref="B176:G178"/>
    <mergeCell ref="Y69:AF71"/>
    <mergeCell ref="B215:E217"/>
    <mergeCell ref="J215:O215"/>
    <mergeCell ref="J216:L216"/>
    <mergeCell ref="N216:O216"/>
    <mergeCell ref="J217:O217"/>
    <mergeCell ref="B69:G70"/>
    <mergeCell ref="V17:AB17"/>
    <mergeCell ref="O18:Q18"/>
    <mergeCell ref="R18:S18"/>
    <mergeCell ref="T18:U18"/>
    <mergeCell ref="V18:AB19"/>
    <mergeCell ref="V15:AB15"/>
    <mergeCell ref="V10:AB10"/>
    <mergeCell ref="V11:AB11"/>
    <mergeCell ref="V12:AB12"/>
    <mergeCell ref="V13:AB13"/>
    <mergeCell ref="V14:AB14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0:U10"/>
    <mergeCell ref="O11:Q11"/>
    <mergeCell ref="T11:U11"/>
    <mergeCell ref="O12:Q12"/>
    <mergeCell ref="T12:U12"/>
    <mergeCell ref="B25:B26"/>
    <mergeCell ref="B29:B30"/>
    <mergeCell ref="B31:B32"/>
    <mergeCell ref="B37:B39"/>
    <mergeCell ref="B41:B42"/>
    <mergeCell ref="O14:Q14"/>
    <mergeCell ref="T14:U14"/>
    <mergeCell ref="B19:B21"/>
    <mergeCell ref="B22:B23"/>
    <mergeCell ref="O17:U17"/>
    <mergeCell ref="H49:J49"/>
    <mergeCell ref="L49:M49"/>
    <mergeCell ref="H51:M52"/>
    <mergeCell ref="B44:C44"/>
    <mergeCell ref="B35:B36"/>
    <mergeCell ref="C47:F48"/>
    <mergeCell ref="H48:M48"/>
  </mergeCells>
  <conditionalFormatting sqref="I151">
    <cfRule type="cellIs" dxfId="20" priority="1" operator="notEqual">
      <formula>0</formula>
    </cfRule>
  </conditionalFormatting>
  <hyperlinks>
    <hyperlink ref="A2" r:id="rId1" xr:uid="{06BDC9B5-4B0A-4C45-943E-2ED9BE99B31A}"/>
    <hyperlink ref="M125" r:id="rId2" xr:uid="{F9BA8725-7C53-AB44-AF4C-E18E05DBDF2F}"/>
    <hyperlink ref="AV97" r:id="rId3" xr:uid="{308A9F46-42FF-1140-813D-6092AB213401}"/>
  </hyperlinks>
  <pageMargins left="0.7" right="0.7" top="0.75" bottom="0.75" header="0.3" footer="0.3"/>
  <pageSetup paperSize="9" orientation="portrait" horizontalDpi="0" verticalDpi="0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E0F91-34ED-4AB8-B1F9-F49F809CBF98}">
  <sheetPr>
    <pageSetUpPr fitToPage="1"/>
  </sheetPr>
  <dimension ref="A1:FM260"/>
  <sheetViews>
    <sheetView topLeftCell="DM102" zoomScale="108" zoomScaleNormal="40" workbookViewId="0">
      <selection activeCell="E172" sqref="E172"/>
    </sheetView>
  </sheetViews>
  <sheetFormatPr baseColWidth="10" defaultColWidth="8.83203125" defaultRowHeight="15" x14ac:dyDescent="0.2"/>
  <cols>
    <col min="1" max="5" width="8.83203125" style="3"/>
    <col min="6" max="6" width="11.1640625" style="3" bestFit="1" customWidth="1"/>
    <col min="7" max="7" width="8.83203125" style="3"/>
    <col min="8" max="8" width="11.1640625" style="3" bestFit="1" customWidth="1"/>
    <col min="9" max="9" width="9.1640625" style="3" bestFit="1" customWidth="1"/>
    <col min="10" max="10" width="13.33203125" style="3" customWidth="1"/>
    <col min="11" max="11" width="10.1640625" style="3" bestFit="1" customWidth="1"/>
    <col min="12" max="13" width="9.33203125" style="3" bestFit="1" customWidth="1"/>
    <col min="14" max="14" width="14.5" style="3" bestFit="1" customWidth="1"/>
    <col min="15" max="15" width="9.33203125" style="3" bestFit="1" customWidth="1"/>
    <col min="16" max="16" width="13.5" style="3" bestFit="1" customWidth="1"/>
    <col min="17" max="17" width="13.1640625" style="3" bestFit="1" customWidth="1"/>
    <col min="18" max="18" width="18.1640625" style="3" bestFit="1" customWidth="1"/>
    <col min="19" max="19" width="9.5" style="3" bestFit="1" customWidth="1"/>
    <col min="20" max="20" width="18.1640625" style="3" bestFit="1" customWidth="1"/>
    <col min="21" max="21" width="14.83203125" style="3" bestFit="1" customWidth="1"/>
    <col min="22" max="22" width="9.1640625" style="3" bestFit="1" customWidth="1"/>
    <col min="23" max="23" width="13.5" style="3" customWidth="1"/>
    <col min="24" max="26" width="12" style="3" bestFit="1" customWidth="1"/>
    <col min="27" max="27" width="9.5" style="3" bestFit="1" customWidth="1"/>
    <col min="28" max="28" width="12" style="3" bestFit="1" customWidth="1"/>
    <col min="29" max="29" width="9.33203125" style="3" bestFit="1" customWidth="1"/>
    <col min="30" max="30" width="18.1640625" style="3" bestFit="1" customWidth="1"/>
    <col min="31" max="31" width="9.6640625" style="3" bestFit="1" customWidth="1"/>
    <col min="32" max="32" width="12" style="3" bestFit="1" customWidth="1"/>
    <col min="33" max="33" width="17.5" style="3" bestFit="1" customWidth="1"/>
    <col min="34" max="34" width="13.5" style="3" bestFit="1" customWidth="1"/>
    <col min="35" max="35" width="9.83203125" style="3" bestFit="1" customWidth="1"/>
    <col min="36" max="37" width="18.1640625" style="3" bestFit="1" customWidth="1"/>
    <col min="38" max="38" width="14.1640625" style="3" bestFit="1" customWidth="1"/>
    <col min="39" max="39" width="18.1640625" style="3" bestFit="1" customWidth="1"/>
    <col min="40" max="40" width="14.83203125" style="3" bestFit="1" customWidth="1"/>
    <col min="41" max="41" width="13" style="3" bestFit="1" customWidth="1"/>
    <col min="42" max="42" width="13.5" style="3" bestFit="1" customWidth="1"/>
    <col min="43" max="43" width="9" style="3" customWidth="1"/>
    <col min="44" max="44" width="9.83203125" style="3" bestFit="1" customWidth="1"/>
    <col min="45" max="45" width="14.5" style="3" customWidth="1"/>
    <col min="46" max="46" width="12.6640625" style="3" bestFit="1" customWidth="1"/>
    <col min="47" max="47" width="29.6640625" style="3" customWidth="1"/>
    <col min="48" max="50" width="10.33203125" style="3" bestFit="1" customWidth="1"/>
    <col min="51" max="51" width="14.6640625" style="3" bestFit="1" customWidth="1"/>
    <col min="52" max="52" width="10.33203125" style="3" bestFit="1" customWidth="1"/>
    <col min="53" max="53" width="15.6640625" style="3" customWidth="1"/>
    <col min="54" max="54" width="13.6640625" style="3" customWidth="1"/>
    <col min="55" max="55" width="14.6640625" style="3" bestFit="1" customWidth="1"/>
    <col min="56" max="56" width="11.33203125" style="3" customWidth="1"/>
    <col min="57" max="57" width="13.33203125" style="3" bestFit="1" customWidth="1"/>
    <col min="58" max="58" width="15" style="3" bestFit="1" customWidth="1"/>
    <col min="59" max="59" width="10.33203125" style="3" bestFit="1" customWidth="1"/>
    <col min="60" max="60" width="9" style="3" customWidth="1"/>
    <col min="61" max="61" width="10.33203125" style="3" bestFit="1" customWidth="1"/>
    <col min="62" max="62" width="11.5" style="3" bestFit="1" customWidth="1"/>
    <col min="63" max="63" width="10.83203125" style="3" customWidth="1"/>
    <col min="64" max="65" width="10" style="3" bestFit="1" customWidth="1"/>
    <col min="66" max="66" width="11.1640625" style="3" bestFit="1" customWidth="1"/>
    <col min="67" max="68" width="10.33203125" style="3" bestFit="1" customWidth="1"/>
    <col min="69" max="69" width="11.83203125" style="3" bestFit="1" customWidth="1"/>
    <col min="70" max="70" width="14.33203125" style="3" customWidth="1"/>
    <col min="71" max="71" width="14.5" style="3" customWidth="1"/>
    <col min="72" max="72" width="12" style="3" customWidth="1"/>
    <col min="73" max="73" width="13.1640625" style="3" bestFit="1" customWidth="1"/>
    <col min="74" max="74" width="13" style="3" bestFit="1" customWidth="1"/>
    <col min="75" max="75" width="14.33203125" style="3" bestFit="1" customWidth="1"/>
    <col min="76" max="76" width="10.83203125" style="3" customWidth="1"/>
    <col min="77" max="77" width="13.1640625" style="3" customWidth="1"/>
    <col min="78" max="78" width="11.5" style="3" customWidth="1"/>
    <col min="79" max="79" width="12.5" style="3" customWidth="1"/>
    <col min="80" max="80" width="9.33203125" style="3" bestFit="1" customWidth="1"/>
    <col min="81" max="81" width="12.33203125" style="3" bestFit="1" customWidth="1"/>
    <col min="82" max="82" width="9" style="3" bestFit="1" customWidth="1"/>
    <col min="83" max="83" width="13.6640625" style="3" bestFit="1" customWidth="1"/>
    <col min="84" max="84" width="12.1640625" style="3" customWidth="1"/>
    <col min="85" max="85" width="11.33203125" style="3" bestFit="1" customWidth="1"/>
    <col min="86" max="86" width="15" style="3" bestFit="1" customWidth="1"/>
    <col min="87" max="87" width="10" style="3" bestFit="1" customWidth="1"/>
    <col min="88" max="88" width="9.83203125" style="3" bestFit="1" customWidth="1"/>
    <col min="89" max="89" width="11.83203125" style="3" bestFit="1" customWidth="1"/>
    <col min="90" max="90" width="12.1640625" style="3" bestFit="1" customWidth="1"/>
    <col min="91" max="91" width="9.83203125" style="3" bestFit="1" customWidth="1"/>
    <col min="92" max="92" width="13.6640625" style="3" customWidth="1"/>
    <col min="93" max="93" width="12.1640625" style="3" bestFit="1" customWidth="1"/>
    <col min="94" max="94" width="13.33203125" style="3" bestFit="1" customWidth="1"/>
    <col min="95" max="95" width="9.5" style="3" bestFit="1" customWidth="1"/>
    <col min="96" max="96" width="11.83203125" style="3" bestFit="1" customWidth="1"/>
    <col min="97" max="97" width="9.33203125" style="3" bestFit="1" customWidth="1"/>
    <col min="98" max="101" width="9" style="3" bestFit="1" customWidth="1"/>
    <col min="102" max="102" width="8.83203125" style="3"/>
    <col min="103" max="113" width="9" style="3" bestFit="1" customWidth="1"/>
    <col min="114" max="116" width="8.83203125" style="3"/>
    <col min="117" max="117" width="10.6640625" style="3" bestFit="1" customWidth="1"/>
    <col min="118" max="118" width="9.1640625" style="3" bestFit="1" customWidth="1"/>
    <col min="119" max="119" width="9.33203125" style="3" bestFit="1" customWidth="1"/>
    <col min="120" max="120" width="10.33203125" style="3" bestFit="1" customWidth="1"/>
    <col min="121" max="121" width="9.33203125" style="3" bestFit="1" customWidth="1"/>
    <col min="122" max="122" width="8.83203125" style="3"/>
    <col min="123" max="123" width="9.33203125" style="3" bestFit="1" customWidth="1"/>
    <col min="124" max="124" width="9.83203125" style="3" bestFit="1" customWidth="1"/>
    <col min="125" max="125" width="9.33203125" style="3" customWidth="1"/>
    <col min="126" max="126" width="11.83203125" style="3" bestFit="1" customWidth="1"/>
    <col min="127" max="127" width="10.33203125" style="3" bestFit="1" customWidth="1"/>
    <col min="128" max="128" width="13" style="3" bestFit="1" customWidth="1"/>
    <col min="129" max="129" width="10.83203125" style="3" bestFit="1" customWidth="1"/>
    <col min="130" max="131" width="14.5" style="3" bestFit="1" customWidth="1"/>
    <col min="132" max="132" width="11.33203125" style="3" bestFit="1" customWidth="1"/>
    <col min="133" max="133" width="15.1640625" style="3" bestFit="1" customWidth="1"/>
    <col min="134" max="134" width="9.5" style="3" bestFit="1" customWidth="1"/>
    <col min="135" max="135" width="10.1640625" style="3" bestFit="1" customWidth="1"/>
    <col min="136" max="136" width="12.83203125" style="3" bestFit="1" customWidth="1"/>
    <col min="137" max="137" width="13.33203125" style="3" bestFit="1" customWidth="1"/>
    <col min="138" max="139" width="11.6640625" style="3" bestFit="1" customWidth="1"/>
    <col min="140" max="140" width="10.6640625" style="3" bestFit="1" customWidth="1"/>
    <col min="141" max="141" width="11.5" style="3" bestFit="1" customWidth="1"/>
    <col min="142" max="144" width="9" style="3" bestFit="1" customWidth="1"/>
    <col min="145" max="147" width="8.83203125" style="3"/>
    <col min="148" max="149" width="9" style="3" bestFit="1" customWidth="1"/>
    <col min="150" max="150" width="10.6640625" style="3" bestFit="1" customWidth="1"/>
    <col min="151" max="156" width="9.1640625" style="3" bestFit="1" customWidth="1"/>
    <col min="157" max="157" width="13.5" style="3" bestFit="1" customWidth="1"/>
    <col min="158" max="160" width="9" style="3" bestFit="1" customWidth="1"/>
    <col min="161" max="16384" width="8.83203125" style="3"/>
  </cols>
  <sheetData>
    <row r="1" spans="19:19" x14ac:dyDescent="0.2">
      <c r="S1" s="16"/>
    </row>
    <row r="2" spans="19:19" x14ac:dyDescent="0.2">
      <c r="S2" s="16"/>
    </row>
    <row r="3" spans="19:19" x14ac:dyDescent="0.2">
      <c r="S3" s="16"/>
    </row>
    <row r="6" spans="19:19" x14ac:dyDescent="0.2">
      <c r="S6" s="16"/>
    </row>
    <row r="7" spans="19:19" x14ac:dyDescent="0.2">
      <c r="S7" s="16"/>
    </row>
    <row r="8" spans="19:19" x14ac:dyDescent="0.2">
      <c r="S8" s="16"/>
    </row>
    <row r="9" spans="19:19" x14ac:dyDescent="0.2">
      <c r="S9" s="16"/>
    </row>
    <row r="11" spans="19:19" x14ac:dyDescent="0.2">
      <c r="S11" s="16"/>
    </row>
    <row r="12" spans="19:19" x14ac:dyDescent="0.2">
      <c r="S12" s="16"/>
    </row>
    <row r="13" spans="19:19" x14ac:dyDescent="0.2">
      <c r="S13" s="16"/>
    </row>
    <row r="22" spans="14:63" x14ac:dyDescent="0.2">
      <c r="AM22" s="16" t="s">
        <v>194</v>
      </c>
      <c r="AN22" s="3" t="s">
        <v>196</v>
      </c>
      <c r="AO22" s="3" t="s">
        <v>195</v>
      </c>
    </row>
    <row r="23" spans="14:63" x14ac:dyDescent="0.2">
      <c r="N23" s="330" t="s">
        <v>365</v>
      </c>
      <c r="O23" s="330"/>
      <c r="P23" s="330"/>
      <c r="BD23" s="16" t="s">
        <v>192</v>
      </c>
      <c r="BE23" s="3" t="s">
        <v>301</v>
      </c>
      <c r="BF23" s="3" t="s">
        <v>302</v>
      </c>
    </row>
    <row r="24" spans="14:63" ht="16" thickBot="1" x14ac:dyDescent="0.25">
      <c r="N24" s="331"/>
      <c r="O24" s="331"/>
      <c r="P24" s="331"/>
    </row>
    <row r="25" spans="14:63" ht="18" x14ac:dyDescent="0.25">
      <c r="N25" s="101" t="s">
        <v>82</v>
      </c>
      <c r="O25" s="321" t="s">
        <v>345</v>
      </c>
      <c r="P25" s="139" t="s">
        <v>318</v>
      </c>
      <c r="AM25" s="323" t="s">
        <v>442</v>
      </c>
      <c r="AN25" s="323"/>
      <c r="AO25" s="323"/>
      <c r="AP25" s="323"/>
      <c r="AQ25" s="323"/>
      <c r="AR25" s="323"/>
      <c r="AS25" s="323"/>
      <c r="BE25" s="323" t="s">
        <v>446</v>
      </c>
      <c r="BF25" s="323"/>
      <c r="BG25" s="323"/>
      <c r="BH25" s="323"/>
      <c r="BI25" s="323"/>
      <c r="BJ25" s="323"/>
      <c r="BK25" s="323"/>
    </row>
    <row r="26" spans="14:63" ht="16" x14ac:dyDescent="0.2">
      <c r="N26" s="75" t="s">
        <v>48</v>
      </c>
      <c r="O26" s="322"/>
      <c r="P26" s="137" t="s">
        <v>48</v>
      </c>
      <c r="AM26" s="13" t="s">
        <v>290</v>
      </c>
      <c r="AN26" s="13" t="s">
        <v>267</v>
      </c>
      <c r="AO26" s="13" t="s">
        <v>236</v>
      </c>
      <c r="AP26" s="13" t="s">
        <v>36</v>
      </c>
      <c r="AQ26" s="13" t="s">
        <v>236</v>
      </c>
      <c r="AR26" s="106" t="s">
        <v>323</v>
      </c>
      <c r="AS26" s="13" t="s">
        <v>317</v>
      </c>
      <c r="BE26" s="13" t="s">
        <v>265</v>
      </c>
      <c r="BF26" s="13" t="s">
        <v>267</v>
      </c>
      <c r="BG26" s="13" t="s">
        <v>236</v>
      </c>
      <c r="BH26" s="13" t="s">
        <v>236</v>
      </c>
      <c r="BI26" s="13" t="s">
        <v>236</v>
      </c>
      <c r="BJ26" s="106" t="s">
        <v>323</v>
      </c>
      <c r="BK26" s="13" t="s">
        <v>317</v>
      </c>
    </row>
    <row r="27" spans="14:63" ht="18" thickBot="1" x14ac:dyDescent="0.3">
      <c r="N27" s="102">
        <f>U42</f>
        <v>109233.7126431732</v>
      </c>
      <c r="O27" s="140" t="s">
        <v>342</v>
      </c>
      <c r="P27" s="137">
        <f>(($AF$46*($AL$46-0))/$H$72)</f>
        <v>0.71020207646031153</v>
      </c>
      <c r="AM27" s="13" t="s">
        <v>99</v>
      </c>
      <c r="AN27" s="13" t="s">
        <v>99</v>
      </c>
      <c r="AO27" s="13" t="s">
        <v>238</v>
      </c>
      <c r="AP27" s="13" t="s">
        <v>237</v>
      </c>
      <c r="AQ27" s="13" t="s">
        <v>48</v>
      </c>
      <c r="AR27" s="34" t="s">
        <v>99</v>
      </c>
      <c r="AS27" s="13" t="s">
        <v>48</v>
      </c>
      <c r="BE27" s="13" t="s">
        <v>99</v>
      </c>
      <c r="BF27" s="13" t="s">
        <v>99</v>
      </c>
      <c r="BG27" s="13" t="s">
        <v>232</v>
      </c>
      <c r="BH27" s="13" t="s">
        <v>235</v>
      </c>
      <c r="BI27" s="13" t="s">
        <v>48</v>
      </c>
      <c r="BJ27" s="34" t="s">
        <v>99</v>
      </c>
      <c r="BK27" s="13" t="s">
        <v>48</v>
      </c>
    </row>
    <row r="28" spans="14:63" x14ac:dyDescent="0.2">
      <c r="N28" s="4"/>
      <c r="O28" s="140" t="s">
        <v>343</v>
      </c>
      <c r="P28" s="137">
        <f>U42/U59</f>
        <v>1.2482139892596125</v>
      </c>
      <c r="AM28" s="13" t="s">
        <v>266</v>
      </c>
      <c r="AN28" s="13" t="s">
        <v>294</v>
      </c>
      <c r="AO28" s="13">
        <v>700</v>
      </c>
      <c r="AP28" s="13">
        <v>861</v>
      </c>
      <c r="AQ28" s="61">
        <f>AO28*AP28*(AC52/1000)</f>
        <v>609792.2517593482</v>
      </c>
      <c r="AR28" s="34">
        <v>1</v>
      </c>
      <c r="AS28" s="13">
        <f>AQ28*AR28</f>
        <v>609792.2517593482</v>
      </c>
      <c r="BE28" s="13" t="s">
        <v>266</v>
      </c>
      <c r="BF28" s="13" t="s">
        <v>295</v>
      </c>
      <c r="BG28" s="13">
        <v>3870</v>
      </c>
      <c r="BH28" s="13">
        <f t="shared" ref="BH28:BH34" si="0">BG28*Btu_to_kJ</f>
        <v>4083.0822000000003</v>
      </c>
      <c r="BI28" s="61">
        <f t="shared" ref="BI28:BI34" si="1">BH28*($AU$52/1000)</f>
        <v>4131.1297309714846</v>
      </c>
      <c r="BJ28" s="13">
        <v>1</v>
      </c>
      <c r="BK28" s="13">
        <f>BI28*BJ28</f>
        <v>4131.1297309714846</v>
      </c>
    </row>
    <row r="29" spans="14:63" ht="16" thickBot="1" x14ac:dyDescent="0.25">
      <c r="N29" s="4"/>
      <c r="O29" s="141" t="s">
        <v>344</v>
      </c>
      <c r="P29" s="138">
        <f>U46/U59</f>
        <v>1.0480771193974399</v>
      </c>
      <c r="BE29" s="13" t="s">
        <v>266</v>
      </c>
      <c r="BF29" s="13" t="s">
        <v>296</v>
      </c>
      <c r="BG29" s="13">
        <f>2580+1940+1550</f>
        <v>6070</v>
      </c>
      <c r="BH29" s="13">
        <f t="shared" si="0"/>
        <v>6404.2142000000003</v>
      </c>
      <c r="BI29" s="61">
        <f t="shared" si="1"/>
        <v>6479.5755728674185</v>
      </c>
      <c r="BJ29" s="13">
        <v>1</v>
      </c>
      <c r="BK29" s="13">
        <f t="shared" ref="BK29:BK34" si="2">BI29*BJ29</f>
        <v>6479.5755728674185</v>
      </c>
    </row>
    <row r="30" spans="14:63" x14ac:dyDescent="0.2">
      <c r="BE30" s="13" t="s">
        <v>266</v>
      </c>
      <c r="BF30" s="13" t="s">
        <v>297</v>
      </c>
      <c r="BG30" s="13">
        <v>1550</v>
      </c>
      <c r="BH30" s="13">
        <f t="shared" si="0"/>
        <v>1635.3430000000001</v>
      </c>
      <c r="BI30" s="61">
        <f t="shared" si="1"/>
        <v>1654.5868431539536</v>
      </c>
      <c r="BJ30" s="13">
        <v>1</v>
      </c>
      <c r="BK30" s="13">
        <f t="shared" si="2"/>
        <v>1654.5868431539536</v>
      </c>
    </row>
    <row r="31" spans="14:63" x14ac:dyDescent="0.2">
      <c r="BE31" s="13" t="s">
        <v>266</v>
      </c>
      <c r="BF31" s="13" t="s">
        <v>250</v>
      </c>
      <c r="BG31" s="13">
        <v>205</v>
      </c>
      <c r="BH31" s="13">
        <f t="shared" si="0"/>
        <v>216.28730000000002</v>
      </c>
      <c r="BI31" s="61">
        <f t="shared" si="1"/>
        <v>218.83245344939388</v>
      </c>
      <c r="BJ31" s="13">
        <v>1</v>
      </c>
      <c r="BK31" s="13">
        <f t="shared" si="2"/>
        <v>218.83245344939388</v>
      </c>
    </row>
    <row r="32" spans="14:63" x14ac:dyDescent="0.2">
      <c r="BE32" s="13" t="s">
        <v>266</v>
      </c>
      <c r="BF32" s="13" t="s">
        <v>298</v>
      </c>
      <c r="BG32" s="13">
        <v>76</v>
      </c>
      <c r="BH32" s="13">
        <f t="shared" si="0"/>
        <v>80.184560000000005</v>
      </c>
      <c r="BI32" s="61">
        <f t="shared" si="1"/>
        <v>81.128129083677734</v>
      </c>
      <c r="BJ32" s="13">
        <v>1</v>
      </c>
      <c r="BK32" s="13">
        <f t="shared" si="2"/>
        <v>81.128129083677734</v>
      </c>
    </row>
    <row r="33" spans="5:76" x14ac:dyDescent="0.2">
      <c r="S33" s="4"/>
      <c r="T33" s="4"/>
      <c r="U33" s="4"/>
      <c r="BE33" s="13" t="s">
        <v>266</v>
      </c>
      <c r="BF33" s="13" t="s">
        <v>299</v>
      </c>
      <c r="BG33" s="13">
        <v>38</v>
      </c>
      <c r="BH33" s="13">
        <f t="shared" si="0"/>
        <v>40.092280000000002</v>
      </c>
      <c r="BI33" s="61">
        <f t="shared" si="1"/>
        <v>40.564064541838867</v>
      </c>
      <c r="BJ33" s="13">
        <v>1</v>
      </c>
      <c r="BK33" s="13">
        <f t="shared" si="2"/>
        <v>40.564064541838867</v>
      </c>
    </row>
    <row r="34" spans="5:76" x14ac:dyDescent="0.2">
      <c r="BE34" s="13" t="s">
        <v>266</v>
      </c>
      <c r="BF34" s="13" t="s">
        <v>300</v>
      </c>
      <c r="BG34" s="13">
        <v>19</v>
      </c>
      <c r="BH34" s="13">
        <f t="shared" si="0"/>
        <v>20.046140000000001</v>
      </c>
      <c r="BI34" s="61">
        <f t="shared" si="1"/>
        <v>20.282032270919434</v>
      </c>
      <c r="BJ34" s="13">
        <v>1</v>
      </c>
      <c r="BK34" s="13">
        <f t="shared" si="2"/>
        <v>20.282032270919434</v>
      </c>
    </row>
    <row r="35" spans="5:76" x14ac:dyDescent="0.2">
      <c r="BE35" s="13"/>
      <c r="BF35" s="13" t="s">
        <v>19</v>
      </c>
      <c r="BG35" s="13">
        <f>SUM(BF28:BF34)</f>
        <v>0</v>
      </c>
      <c r="BH35" s="13">
        <f>SUM(BG28:BG34)</f>
        <v>11828</v>
      </c>
      <c r="BI35" s="13">
        <f>SUM(BH28:BH34)</f>
        <v>12479.249680000003</v>
      </c>
      <c r="BJ35" s="13"/>
      <c r="BK35" s="13">
        <f>SUM(BK28:BK34)</f>
        <v>12626.098826338684</v>
      </c>
    </row>
    <row r="39" spans="5:76" ht="16" thickBot="1" x14ac:dyDescent="0.25"/>
    <row r="40" spans="5:76" x14ac:dyDescent="0.2">
      <c r="T40" s="63" t="s">
        <v>1</v>
      </c>
      <c r="U40" s="58" t="s">
        <v>0</v>
      </c>
      <c r="AL40" s="63" t="s">
        <v>1</v>
      </c>
      <c r="AM40" s="58" t="s">
        <v>0</v>
      </c>
      <c r="BD40" s="63" t="s">
        <v>1</v>
      </c>
      <c r="BE40" s="58" t="s">
        <v>0</v>
      </c>
      <c r="BV40" s="63" t="s">
        <v>1</v>
      </c>
      <c r="BW40" s="58" t="s">
        <v>0</v>
      </c>
    </row>
    <row r="41" spans="5:76" ht="18" x14ac:dyDescent="0.25">
      <c r="J41" s="4"/>
      <c r="K41" s="4"/>
      <c r="N41" s="4"/>
      <c r="P41" s="272"/>
      <c r="Q41" s="272"/>
      <c r="R41" s="4"/>
      <c r="S41" s="4"/>
      <c r="T41" s="65" t="s">
        <v>90</v>
      </c>
      <c r="U41" s="64" t="s">
        <v>94</v>
      </c>
      <c r="V41" s="4"/>
      <c r="W41" s="4"/>
      <c r="X41" s="4" t="s">
        <v>176</v>
      </c>
      <c r="Y41" s="4"/>
      <c r="Z41" s="4"/>
      <c r="AA41" s="4"/>
      <c r="AB41" s="4"/>
      <c r="AC41" s="4"/>
      <c r="AF41" s="4"/>
      <c r="AG41" s="4"/>
      <c r="AH41" s="4"/>
      <c r="AI41" s="4"/>
      <c r="AJ41" s="4"/>
      <c r="AK41" s="4"/>
      <c r="AL41" s="65" t="s">
        <v>90</v>
      </c>
      <c r="AM41" s="64" t="s">
        <v>94</v>
      </c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65" t="s">
        <v>90</v>
      </c>
      <c r="BE41" s="64" t="s">
        <v>94</v>
      </c>
      <c r="BF41" s="4"/>
      <c r="BV41" s="65" t="s">
        <v>90</v>
      </c>
      <c r="BW41" s="64" t="s">
        <v>94</v>
      </c>
    </row>
    <row r="42" spans="5:76" ht="16" customHeight="1" thickBot="1" x14ac:dyDescent="0.25">
      <c r="E42" s="339" t="s">
        <v>425</v>
      </c>
      <c r="F42" s="339"/>
      <c r="G42" s="339"/>
      <c r="H42" s="339"/>
      <c r="J42" s="4"/>
      <c r="K42" s="4"/>
      <c r="L42" s="4"/>
      <c r="M42" s="4"/>
      <c r="N42" s="4"/>
      <c r="O42" s="272"/>
      <c r="P42" s="272" t="s">
        <v>426</v>
      </c>
      <c r="Q42" s="272"/>
      <c r="R42" s="4"/>
      <c r="S42" s="4"/>
      <c r="T42" s="50">
        <f>K52</f>
        <v>1011.7674660019052</v>
      </c>
      <c r="U42" s="48">
        <f>U52</f>
        <v>109233.7126431732</v>
      </c>
      <c r="V42" s="324" t="s">
        <v>418</v>
      </c>
      <c r="W42" s="324"/>
      <c r="X42" s="324"/>
      <c r="Y42" s="324"/>
      <c r="Z42" s="324"/>
      <c r="AA42" s="4"/>
      <c r="AB42" s="4"/>
      <c r="AC42" s="4"/>
      <c r="AD42" s="4"/>
      <c r="AE42" s="4"/>
      <c r="AF42" s="4"/>
      <c r="AG42" s="98"/>
      <c r="AH42" s="4" t="s">
        <v>570</v>
      </c>
      <c r="AI42" s="4"/>
      <c r="AJ42" s="4"/>
      <c r="AK42" s="4"/>
      <c r="AL42" s="50">
        <f>AC52</f>
        <v>1011.7674660019052</v>
      </c>
      <c r="AM42" s="48">
        <f>AM52</f>
        <v>109233.7126431732</v>
      </c>
      <c r="AN42" s="324" t="s">
        <v>584</v>
      </c>
      <c r="AO42" s="324"/>
      <c r="AP42" s="324"/>
      <c r="AQ42" s="324"/>
      <c r="AR42" s="324"/>
      <c r="AT42" s="4"/>
      <c r="AU42" s="4"/>
      <c r="AV42" s="4"/>
      <c r="AW42" s="4"/>
      <c r="AX42" s="4"/>
      <c r="AY42" s="4"/>
      <c r="AZ42" s="4" t="s">
        <v>569</v>
      </c>
      <c r="BA42" s="4"/>
      <c r="BB42" s="4"/>
      <c r="BC42" s="4"/>
      <c r="BD42" s="50">
        <f>AU52</f>
        <v>1011.7674660019052</v>
      </c>
      <c r="BE42" s="48">
        <f>BE52</f>
        <v>109233.7126431732</v>
      </c>
      <c r="BF42" s="324" t="s">
        <v>447</v>
      </c>
      <c r="BG42" s="324"/>
      <c r="BH42" s="324"/>
      <c r="BI42" s="324"/>
      <c r="BJ42" s="324"/>
      <c r="BR42" s="3" t="s">
        <v>567</v>
      </c>
      <c r="BV42" s="50">
        <f>BM48</f>
        <v>1000.0000000000001</v>
      </c>
      <c r="BW42" s="48">
        <f>BW48</f>
        <v>88965.799815334409</v>
      </c>
    </row>
    <row r="43" spans="5:76" ht="16" customHeight="1" thickBot="1" x14ac:dyDescent="0.25">
      <c r="E43" s="339"/>
      <c r="F43" s="339"/>
      <c r="G43" s="339"/>
      <c r="H43" s="339"/>
      <c r="J43" s="4"/>
      <c r="K43" s="4"/>
      <c r="L43" s="4"/>
      <c r="M43" s="4"/>
      <c r="N43" s="4"/>
      <c r="O43" s="4"/>
      <c r="P43" s="4"/>
      <c r="Q43" s="4"/>
      <c r="R43" s="4"/>
      <c r="V43" s="332"/>
      <c r="W43" s="332"/>
      <c r="X43" s="332"/>
      <c r="Y43" s="332"/>
      <c r="Z43" s="332"/>
      <c r="AA43" s="4"/>
      <c r="AB43" s="4"/>
      <c r="AC43" s="4"/>
      <c r="AD43" s="4"/>
      <c r="AE43" s="4"/>
      <c r="AF43" s="4"/>
      <c r="AG43" s="4"/>
      <c r="AH43" s="4"/>
      <c r="AI43" s="4"/>
      <c r="AJ43" s="4"/>
      <c r="AN43" s="324"/>
      <c r="AO43" s="324"/>
      <c r="AP43" s="324"/>
      <c r="AQ43" s="324"/>
      <c r="AR43" s="32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324"/>
      <c r="BG43" s="324"/>
      <c r="BH43" s="324"/>
      <c r="BI43" s="324"/>
      <c r="BJ43" s="324"/>
    </row>
    <row r="44" spans="5:76" ht="19.25" customHeight="1" x14ac:dyDescent="0.25">
      <c r="J44" s="4"/>
      <c r="K44" s="1" t="s">
        <v>577</v>
      </c>
      <c r="L44" s="1" t="s">
        <v>578</v>
      </c>
      <c r="M44" s="1" t="s">
        <v>580</v>
      </c>
      <c r="N44" s="1" t="s">
        <v>86</v>
      </c>
      <c r="O44" s="1" t="s">
        <v>6</v>
      </c>
      <c r="P44" s="1" t="s">
        <v>7</v>
      </c>
      <c r="Q44" s="1" t="s">
        <v>8</v>
      </c>
      <c r="R44" s="1" t="s">
        <v>9</v>
      </c>
      <c r="S44" s="1" t="s">
        <v>49</v>
      </c>
      <c r="T44" s="1" t="s">
        <v>579</v>
      </c>
      <c r="U44" s="1" t="s">
        <v>50</v>
      </c>
      <c r="V44" s="22" t="s">
        <v>434</v>
      </c>
      <c r="W44" s="101" t="s">
        <v>489</v>
      </c>
      <c r="X44" s="193" t="s">
        <v>338</v>
      </c>
      <c r="Y44" s="328" t="s">
        <v>345</v>
      </c>
      <c r="Z44" s="139" t="s">
        <v>318</v>
      </c>
      <c r="AA44" s="4"/>
      <c r="AB44" s="4"/>
      <c r="AC44" s="1" t="s">
        <v>577</v>
      </c>
      <c r="AD44" s="1" t="s">
        <v>578</v>
      </c>
      <c r="AE44" s="1" t="s">
        <v>580</v>
      </c>
      <c r="AF44" s="1" t="s">
        <v>86</v>
      </c>
      <c r="AG44" s="1" t="s">
        <v>6</v>
      </c>
      <c r="AH44" s="1" t="s">
        <v>7</v>
      </c>
      <c r="AI44" s="1" t="s">
        <v>8</v>
      </c>
      <c r="AJ44" s="1" t="s">
        <v>9</v>
      </c>
      <c r="AK44" s="1" t="s">
        <v>49</v>
      </c>
      <c r="AL44" s="1" t="s">
        <v>579</v>
      </c>
      <c r="AM44" s="1" t="s">
        <v>50</v>
      </c>
      <c r="AN44" s="22" t="s">
        <v>434</v>
      </c>
      <c r="AO44" s="22" t="s">
        <v>489</v>
      </c>
      <c r="AP44" s="162" t="s">
        <v>338</v>
      </c>
      <c r="AQ44" s="321" t="s">
        <v>345</v>
      </c>
      <c r="AR44" s="139" t="s">
        <v>318</v>
      </c>
      <c r="AS44" s="4"/>
      <c r="AT44" s="4"/>
      <c r="AU44" s="1" t="s">
        <v>577</v>
      </c>
      <c r="AV44" s="1" t="s">
        <v>578</v>
      </c>
      <c r="AW44" s="1" t="s">
        <v>580</v>
      </c>
      <c r="AX44" s="1" t="s">
        <v>86</v>
      </c>
      <c r="AY44" s="1" t="s">
        <v>6</v>
      </c>
      <c r="AZ44" s="1" t="s">
        <v>7</v>
      </c>
      <c r="BA44" s="1" t="s">
        <v>8</v>
      </c>
      <c r="BB44" s="1" t="s">
        <v>9</v>
      </c>
      <c r="BC44" s="1" t="s">
        <v>49</v>
      </c>
      <c r="BD44" s="1" t="s">
        <v>579</v>
      </c>
      <c r="BE44" s="1" t="s">
        <v>50</v>
      </c>
      <c r="BF44" s="22" t="s">
        <v>434</v>
      </c>
      <c r="BG44" s="22" t="s">
        <v>489</v>
      </c>
      <c r="BH44" s="193" t="s">
        <v>338</v>
      </c>
      <c r="BI44" s="321" t="s">
        <v>345</v>
      </c>
      <c r="BJ44" s="139" t="s">
        <v>318</v>
      </c>
      <c r="BK44" s="1"/>
      <c r="BL44" s="4"/>
      <c r="BM44" s="1" t="s">
        <v>577</v>
      </c>
      <c r="BN44" s="1" t="s">
        <v>578</v>
      </c>
      <c r="BO44" s="1" t="s">
        <v>580</v>
      </c>
      <c r="BP44" s="1" t="s">
        <v>86</v>
      </c>
      <c r="BQ44" s="1" t="s">
        <v>6</v>
      </c>
      <c r="BR44" s="1" t="s">
        <v>7</v>
      </c>
      <c r="BS44" s="1" t="s">
        <v>8</v>
      </c>
      <c r="BT44" s="1" t="s">
        <v>9</v>
      </c>
      <c r="BU44" s="1" t="s">
        <v>49</v>
      </c>
      <c r="BV44" s="1" t="s">
        <v>579</v>
      </c>
      <c r="BW44" s="1" t="s">
        <v>50</v>
      </c>
      <c r="BX44" s="1"/>
    </row>
    <row r="45" spans="5:76" ht="18" x14ac:dyDescent="0.25">
      <c r="J45" s="4"/>
      <c r="K45" s="1" t="s">
        <v>89</v>
      </c>
      <c r="L45" s="4" t="s">
        <v>284</v>
      </c>
      <c r="M45" s="1" t="s">
        <v>91</v>
      </c>
      <c r="N45" s="1" t="s">
        <v>87</v>
      </c>
      <c r="O45" s="1" t="s">
        <v>96</v>
      </c>
      <c r="P45" s="1" t="s">
        <v>25</v>
      </c>
      <c r="Q45" s="1" t="s">
        <v>99</v>
      </c>
      <c r="R45" s="1" t="s">
        <v>96</v>
      </c>
      <c r="S45" s="1" t="s">
        <v>96</v>
      </c>
      <c r="T45" s="1" t="s">
        <v>95</v>
      </c>
      <c r="U45" s="1" t="s">
        <v>93</v>
      </c>
      <c r="V45" s="214" t="s">
        <v>48</v>
      </c>
      <c r="W45" s="75" t="s">
        <v>48</v>
      </c>
      <c r="X45" s="194" t="s">
        <v>90</v>
      </c>
      <c r="Y45" s="329"/>
      <c r="Z45" s="137" t="s">
        <v>83</v>
      </c>
      <c r="AA45" s="4"/>
      <c r="AB45" s="4"/>
      <c r="AC45" s="1" t="s">
        <v>89</v>
      </c>
      <c r="AD45" s="4" t="s">
        <v>284</v>
      </c>
      <c r="AE45" s="1" t="s">
        <v>91</v>
      </c>
      <c r="AF45" s="1" t="s">
        <v>87</v>
      </c>
      <c r="AG45" s="1" t="s">
        <v>96</v>
      </c>
      <c r="AH45" s="1" t="s">
        <v>25</v>
      </c>
      <c r="AI45" s="1" t="s">
        <v>99</v>
      </c>
      <c r="AJ45" s="1" t="s">
        <v>96</v>
      </c>
      <c r="AK45" s="1" t="s">
        <v>96</v>
      </c>
      <c r="AL45" s="1" t="s">
        <v>95</v>
      </c>
      <c r="AM45" s="1" t="s">
        <v>93</v>
      </c>
      <c r="AN45" s="214" t="s">
        <v>48</v>
      </c>
      <c r="AO45" s="9" t="s">
        <v>48</v>
      </c>
      <c r="AP45" s="1" t="s">
        <v>90</v>
      </c>
      <c r="AQ45" s="322"/>
      <c r="AR45" s="137" t="s">
        <v>83</v>
      </c>
      <c r="AS45" s="4"/>
      <c r="AT45" s="4"/>
      <c r="AU45" s="1" t="s">
        <v>89</v>
      </c>
      <c r="AV45" s="4" t="s">
        <v>284</v>
      </c>
      <c r="AW45" s="1" t="s">
        <v>91</v>
      </c>
      <c r="AX45" s="1" t="s">
        <v>87</v>
      </c>
      <c r="AY45" s="1" t="s">
        <v>96</v>
      </c>
      <c r="AZ45" s="1" t="s">
        <v>25</v>
      </c>
      <c r="BA45" s="1" t="s">
        <v>99</v>
      </c>
      <c r="BB45" s="1" t="s">
        <v>96</v>
      </c>
      <c r="BC45" s="1" t="s">
        <v>96</v>
      </c>
      <c r="BD45" s="1" t="s">
        <v>95</v>
      </c>
      <c r="BE45" s="1" t="s">
        <v>93</v>
      </c>
      <c r="BF45" s="214" t="s">
        <v>48</v>
      </c>
      <c r="BG45" s="9" t="s">
        <v>48</v>
      </c>
      <c r="BH45" s="9" t="s">
        <v>90</v>
      </c>
      <c r="BI45" s="322"/>
      <c r="BJ45" s="137" t="s">
        <v>83</v>
      </c>
      <c r="BK45" s="4"/>
      <c r="BL45" s="4" t="s">
        <v>41</v>
      </c>
      <c r="BM45" s="1" t="s">
        <v>89</v>
      </c>
      <c r="BN45" s="4" t="s">
        <v>284</v>
      </c>
      <c r="BO45" s="2" t="s">
        <v>91</v>
      </c>
      <c r="BP45" s="2" t="s">
        <v>87</v>
      </c>
      <c r="BQ45" s="2" t="s">
        <v>96</v>
      </c>
      <c r="BR45" s="2" t="s">
        <v>25</v>
      </c>
      <c r="BS45" s="2" t="s">
        <v>99</v>
      </c>
      <c r="BT45" s="2" t="s">
        <v>96</v>
      </c>
      <c r="BU45" s="2" t="s">
        <v>96</v>
      </c>
      <c r="BV45" s="2" t="s">
        <v>95</v>
      </c>
      <c r="BW45" s="2" t="s">
        <v>93</v>
      </c>
      <c r="BX45" s="1"/>
    </row>
    <row r="46" spans="5:76" ht="19" customHeight="1" thickBot="1" x14ac:dyDescent="0.3">
      <c r="I46" s="318" t="s">
        <v>426</v>
      </c>
      <c r="J46" s="8" t="s">
        <v>15</v>
      </c>
      <c r="K46" s="62">
        <f>AC46</f>
        <v>881.06000000000006</v>
      </c>
      <c r="L46" s="62">
        <f>K46/$K$52</f>
        <v>0.87081274068002201</v>
      </c>
      <c r="M46" s="62">
        <f>MW_Fe2O3</f>
        <v>0.1596882</v>
      </c>
      <c r="N46" s="62">
        <f>K46/M46</f>
        <v>5517.3769884061567</v>
      </c>
      <c r="O46" s="62">
        <f>b_ch_Fe2O3</f>
        <v>17.358400000000074</v>
      </c>
      <c r="P46" s="62">
        <f t="shared" ref="P46:P51" si="3">N46/$AX$52</f>
        <v>0.72360528709446914</v>
      </c>
      <c r="Q46" s="62">
        <f>LN(P46)</f>
        <v>-0.3235092188341952</v>
      </c>
      <c r="R46" s="62">
        <f t="shared" ref="R46:R51" si="4">RT0*Q46</f>
        <v>-0.73467943953759529</v>
      </c>
      <c r="S46" s="62">
        <f>R46+O46</f>
        <v>16.62372056046248</v>
      </c>
      <c r="T46" s="62">
        <f>P46*S46</f>
        <v>12.029012088731683</v>
      </c>
      <c r="U46" s="62">
        <f t="shared" ref="U46:U51" si="5">T46*$AX$52</f>
        <v>91719.333281989995</v>
      </c>
      <c r="V46" s="105">
        <f>AM63</f>
        <v>2396.1586162428257</v>
      </c>
      <c r="W46" s="102">
        <f>SUM(U42,U59,U72) -AM63-AM42</f>
        <v>85349.672751740902</v>
      </c>
      <c r="X46" s="195">
        <f>T42+T59+T72-AL42-AL63</f>
        <v>0</v>
      </c>
      <c r="Y46" s="192" t="s">
        <v>342</v>
      </c>
      <c r="Z46" s="137">
        <f>(($AF$46*($AL$46-$T$46))/U59)</f>
        <v>0</v>
      </c>
      <c r="AA46" s="318" t="s">
        <v>570</v>
      </c>
      <c r="AB46" s="8" t="s">
        <v>15</v>
      </c>
      <c r="AC46" s="62">
        <f>AU46</f>
        <v>881.06000000000006</v>
      </c>
      <c r="AD46" s="62">
        <f t="shared" ref="AD46:AD51" si="6">AC46/$AU$52</f>
        <v>0.87081274068002201</v>
      </c>
      <c r="AE46" s="62">
        <f>MW_Fe2O3</f>
        <v>0.1596882</v>
      </c>
      <c r="AF46" s="62">
        <f>AC46/AE46</f>
        <v>5517.3769884061567</v>
      </c>
      <c r="AG46" s="62">
        <f>b_ch_Fe2O3</f>
        <v>17.358400000000074</v>
      </c>
      <c r="AH46" s="62">
        <f t="shared" ref="AH46:AH51" si="7">AF46/$AX$52</f>
        <v>0.72360528709446914</v>
      </c>
      <c r="AI46" s="62">
        <f>LN(AH46)</f>
        <v>-0.3235092188341952</v>
      </c>
      <c r="AJ46" s="62">
        <f t="shared" ref="AJ46:AJ51" si="8">RT0*AI46</f>
        <v>-0.73467943953759529</v>
      </c>
      <c r="AK46" s="62">
        <f>AJ46+AG46</f>
        <v>16.62372056046248</v>
      </c>
      <c r="AL46" s="62">
        <f>AH46*AK46</f>
        <v>12.029012088731683</v>
      </c>
      <c r="AM46" s="62">
        <f t="shared" ref="AM46:AM51" si="9">AL46*$AX$52</f>
        <v>91719.333281989995</v>
      </c>
      <c r="AN46" s="105">
        <f>0</f>
        <v>0</v>
      </c>
      <c r="AO46" s="100">
        <f>(AM42+AS28)-BE42</f>
        <v>609792.2517593482</v>
      </c>
      <c r="AP46" s="142">
        <f>BD42-AL42</f>
        <v>0</v>
      </c>
      <c r="AQ46" s="140" t="s">
        <v>342</v>
      </c>
      <c r="AR46" s="137">
        <f>((AX46*(BD46-AL46))/AS28)</f>
        <v>0</v>
      </c>
      <c r="AS46" s="318" t="s">
        <v>569</v>
      </c>
      <c r="AT46" s="8" t="s">
        <v>15</v>
      </c>
      <c r="AU46" s="62">
        <f>BM46</f>
        <v>881.06000000000006</v>
      </c>
      <c r="AV46" s="62">
        <f t="shared" ref="AV46:AV51" si="10">AU46/$AU$52</f>
        <v>0.87081274068002201</v>
      </c>
      <c r="AW46" s="62">
        <f>MW_Fe2O3</f>
        <v>0.1596882</v>
      </c>
      <c r="AX46" s="62">
        <f>AU46/AW46</f>
        <v>5517.3769884061567</v>
      </c>
      <c r="AY46" s="62">
        <f>b_ch_Fe2O3</f>
        <v>17.358400000000074</v>
      </c>
      <c r="AZ46" s="62">
        <f t="shared" ref="AZ46:AZ51" si="11">AX46/$AX$52</f>
        <v>0.72360528709446914</v>
      </c>
      <c r="BA46" s="62">
        <f>LN(AZ46)</f>
        <v>-0.3235092188341952</v>
      </c>
      <c r="BB46" s="62">
        <f t="shared" ref="BB46:BB51" si="12">RT0*BA46</f>
        <v>-0.73467943953759529</v>
      </c>
      <c r="BC46" s="62">
        <f>BB46+AY46</f>
        <v>16.62372056046248</v>
      </c>
      <c r="BD46" s="62">
        <f>AZ46*BC46</f>
        <v>12.029012088731683</v>
      </c>
      <c r="BE46" s="62">
        <f t="shared" ref="BE46:BE51" si="13">BD46*$AX$52</f>
        <v>91719.333281989995</v>
      </c>
      <c r="BF46" s="105">
        <f>BW55</f>
        <v>21743.416787545681</v>
      </c>
      <c r="BG46" s="105">
        <f>BE42+BK35-BW42-BW55</f>
        <v>11150.594866631796</v>
      </c>
      <c r="BH46" s="195">
        <f>BV42+BV55-BD42</f>
        <v>0</v>
      </c>
      <c r="BI46" s="140" t="s">
        <v>342</v>
      </c>
      <c r="BJ46" s="137">
        <f>((BP46*(BV46-BD46))/BK35)</f>
        <v>0.10204303400670409</v>
      </c>
      <c r="BK46" s="318" t="s">
        <v>567</v>
      </c>
      <c r="BL46" s="1" t="s">
        <v>15</v>
      </c>
      <c r="BM46" s="17">
        <f>DW130</f>
        <v>881.06000000000006</v>
      </c>
      <c r="BN46" s="17">
        <f>BM46/$BM$48</f>
        <v>0.88105999999999995</v>
      </c>
      <c r="BO46" s="3">
        <f>MW_Fe2O3</f>
        <v>0.1596882</v>
      </c>
      <c r="BP46" s="3">
        <f>BM46/BO46</f>
        <v>5517.3769884061567</v>
      </c>
      <c r="BQ46" s="3">
        <f>b_ch_Fe2O3</f>
        <v>17.358400000000074</v>
      </c>
      <c r="BR46" s="3">
        <f>BP46/$BP$48</f>
        <v>0.73595160775903645</v>
      </c>
      <c r="BS46" s="3">
        <f>LN(BR46)</f>
        <v>-0.30659091274230449</v>
      </c>
      <c r="BT46" s="3">
        <f>RT0*BS46</f>
        <v>-0.69625848917856969</v>
      </c>
      <c r="BU46" s="3">
        <f>BT46+BQ46</f>
        <v>16.662141510821506</v>
      </c>
      <c r="BV46" s="3">
        <f>BU46*BR46</f>
        <v>12.262529833597668</v>
      </c>
      <c r="BW46" s="3">
        <f>BV46*$BP$48</f>
        <v>91931.316149373568</v>
      </c>
    </row>
    <row r="47" spans="5:76" ht="18" x14ac:dyDescent="0.25">
      <c r="I47" s="318"/>
      <c r="J47" s="1" t="s">
        <v>17</v>
      </c>
      <c r="K47" s="4">
        <f t="shared" ref="K47:K51" si="14">AC47</f>
        <v>118.94000000000001</v>
      </c>
      <c r="L47" s="4">
        <f t="shared" ref="L47:L51" si="15">K47/$K$52</f>
        <v>0.11755665604667312</v>
      </c>
      <c r="M47" s="4">
        <f>MW_SIO2</f>
        <v>6.00843E-2</v>
      </c>
      <c r="N47" s="4">
        <f t="shared" ref="N47:N51" si="16">K47/M47</f>
        <v>1979.5520626852608</v>
      </c>
      <c r="O47" s="4">
        <f>b_ch_SiO2</f>
        <v>1.5260000000000673</v>
      </c>
      <c r="P47" s="4">
        <f t="shared" si="3"/>
        <v>0.25961871767105915</v>
      </c>
      <c r="Q47" s="4">
        <f t="shared" ref="Q47:Q51" si="17">LN(P47)</f>
        <v>-1.3485411947827832</v>
      </c>
      <c r="R47" s="4">
        <f t="shared" si="4"/>
        <v>-3.0624953834287818</v>
      </c>
      <c r="S47" s="4">
        <f t="shared" ref="S47:S51" si="18">R47+O47</f>
        <v>-1.5364953834287145</v>
      </c>
      <c r="T47" s="4">
        <f t="shared" ref="T47:T51" si="19">P47*S47</f>
        <v>-0.39890296115326523</v>
      </c>
      <c r="U47" s="4">
        <f t="shared" si="5"/>
        <v>-3041.5726055726927</v>
      </c>
      <c r="W47" s="4"/>
      <c r="X47" s="4"/>
      <c r="Y47" s="140" t="s">
        <v>343</v>
      </c>
      <c r="Z47" s="137">
        <f>($AM$42+AM63)/(U59+U72+$U$42)</f>
        <v>0.56670793822679022</v>
      </c>
      <c r="AA47" s="318"/>
      <c r="AB47" s="1" t="s">
        <v>17</v>
      </c>
      <c r="AC47" s="4">
        <f>AU47</f>
        <v>118.94000000000001</v>
      </c>
      <c r="AD47" s="4">
        <f t="shared" si="6"/>
        <v>0.11755665604667312</v>
      </c>
      <c r="AE47" s="4">
        <f>MW_SIO2</f>
        <v>6.00843E-2</v>
      </c>
      <c r="AF47" s="4">
        <f t="shared" ref="AF47:AF51" si="20">AC47/AE47</f>
        <v>1979.5520626852608</v>
      </c>
      <c r="AG47" s="4">
        <f>b_ch_SiO2</f>
        <v>1.5260000000000673</v>
      </c>
      <c r="AH47" s="4">
        <f t="shared" si="7"/>
        <v>0.25961871767105915</v>
      </c>
      <c r="AI47" s="4">
        <f t="shared" ref="AI47:AI51" si="21">LN(AH47)</f>
        <v>-1.3485411947827832</v>
      </c>
      <c r="AJ47" s="4">
        <f t="shared" si="8"/>
        <v>-3.0624953834287818</v>
      </c>
      <c r="AK47" s="4">
        <f t="shared" ref="AK47:AK51" si="22">AJ47+AG47</f>
        <v>-1.5364953834287145</v>
      </c>
      <c r="AL47" s="4">
        <f t="shared" ref="AL47:AL51" si="23">AH47*AK47</f>
        <v>-0.39890296115326523</v>
      </c>
      <c r="AM47" s="4">
        <f t="shared" si="9"/>
        <v>-3041.5726055726927</v>
      </c>
      <c r="AN47" s="4"/>
      <c r="AO47" s="4"/>
      <c r="AP47" s="4"/>
      <c r="AQ47" s="140" t="s">
        <v>343</v>
      </c>
      <c r="AR47" s="137">
        <f>BE42/(AS28+AM42)</f>
        <v>0.15191900995389168</v>
      </c>
      <c r="AS47" s="318"/>
      <c r="AT47" s="1" t="s">
        <v>17</v>
      </c>
      <c r="AU47" s="4">
        <f>BM47</f>
        <v>118.94000000000001</v>
      </c>
      <c r="AV47" s="4">
        <f t="shared" si="10"/>
        <v>0.11755665604667312</v>
      </c>
      <c r="AW47" s="4">
        <f>MW_SIO2</f>
        <v>6.00843E-2</v>
      </c>
      <c r="AX47" s="4">
        <f t="shared" ref="AX47:AX51" si="24">AU47/AW47</f>
        <v>1979.5520626852608</v>
      </c>
      <c r="AY47" s="4">
        <f>b_ch_SiO2</f>
        <v>1.5260000000000673</v>
      </c>
      <c r="AZ47" s="4">
        <f t="shared" si="11"/>
        <v>0.25961871767105915</v>
      </c>
      <c r="BA47" s="4">
        <f t="shared" ref="BA47:BA51" si="25">LN(AZ47)</f>
        <v>-1.3485411947827832</v>
      </c>
      <c r="BB47" s="4">
        <f t="shared" si="12"/>
        <v>-3.0624953834287818</v>
      </c>
      <c r="BC47" s="4">
        <f t="shared" ref="BC47:BC51" si="26">BB47+AY47</f>
        <v>-1.5364953834287145</v>
      </c>
      <c r="BD47" s="4">
        <f t="shared" ref="BD47:BD51" si="27">AZ47*BC47</f>
        <v>-0.39890296115326523</v>
      </c>
      <c r="BE47" s="4">
        <f t="shared" si="13"/>
        <v>-3041.5726055726927</v>
      </c>
      <c r="BF47" s="4"/>
      <c r="BI47" s="140" t="s">
        <v>343</v>
      </c>
      <c r="BJ47" s="137">
        <f>(BW42+BW55)/(BK35+BE42)</f>
        <v>0.9084965360427989</v>
      </c>
      <c r="BK47" s="318"/>
      <c r="BL47" s="1" t="s">
        <v>17</v>
      </c>
      <c r="BM47" s="28">
        <f>DW131</f>
        <v>118.94000000000001</v>
      </c>
      <c r="BN47" s="28">
        <f>BM47/$BM$48</f>
        <v>0.11894</v>
      </c>
      <c r="BO47" s="28">
        <f>MW_SIO2</f>
        <v>6.00843E-2</v>
      </c>
      <c r="BP47" s="28">
        <f>BM47/BO47</f>
        <v>1979.5520626852608</v>
      </c>
      <c r="BQ47" s="28">
        <f>b_ch_SiO2</f>
        <v>1.5260000000000673</v>
      </c>
      <c r="BR47" s="28">
        <f>BP47/$BP$48</f>
        <v>0.26404839224096349</v>
      </c>
      <c r="BS47" s="28">
        <f>LN(BR47)</f>
        <v>-1.3316228886908923</v>
      </c>
      <c r="BT47" s="28">
        <f>RT0*BS47</f>
        <v>-3.0240744330697558</v>
      </c>
      <c r="BU47" s="28">
        <f>BT47+BQ47</f>
        <v>-1.4980744330696885</v>
      </c>
      <c r="BV47" s="28">
        <f>BU47*BR47</f>
        <v>-0.3955641455093441</v>
      </c>
      <c r="BW47" s="28">
        <f>BV47*$BP$48</f>
        <v>-2965.5163340391546</v>
      </c>
    </row>
    <row r="48" spans="5:76" ht="18" customHeight="1" thickBot="1" x14ac:dyDescent="0.3">
      <c r="I48" s="318" t="s">
        <v>572</v>
      </c>
      <c r="J48" s="4" t="s">
        <v>316</v>
      </c>
      <c r="K48" s="4">
        <f t="shared" si="14"/>
        <v>1.249958452402667</v>
      </c>
      <c r="L48" s="4">
        <f t="shared" si="15"/>
        <v>1.2354206815346574E-3</v>
      </c>
      <c r="M48" s="4">
        <f>MW_K2O</f>
        <v>9.4196000000000002E-2</v>
      </c>
      <c r="N48" s="4">
        <f t="shared" si="16"/>
        <v>13.269761480345949</v>
      </c>
      <c r="O48" s="4">
        <f>b_ch_K2O</f>
        <v>412.83199999999999</v>
      </c>
      <c r="P48" s="4">
        <f t="shared" si="3"/>
        <v>1.7403323328889792E-3</v>
      </c>
      <c r="Q48" s="4">
        <f t="shared" si="17"/>
        <v>-6.35367918807989</v>
      </c>
      <c r="R48" s="4">
        <f t="shared" si="4"/>
        <v>-14.429009107442518</v>
      </c>
      <c r="S48" s="4">
        <f t="shared" si="18"/>
        <v>398.40299089255745</v>
      </c>
      <c r="T48" s="4">
        <f t="shared" si="19"/>
        <v>0.69335360656999123</v>
      </c>
      <c r="U48" s="4">
        <f t="shared" si="5"/>
        <v>5286.7126622006763</v>
      </c>
      <c r="W48" s="4"/>
      <c r="X48" s="4"/>
      <c r="Y48" s="141" t="s">
        <v>409</v>
      </c>
      <c r="Z48" s="138">
        <f>$AM$46/(U59+U72+$U$42)</f>
        <v>0.46562872171536246</v>
      </c>
      <c r="AA48" s="318" t="s">
        <v>571</v>
      </c>
      <c r="AB48" s="4" t="s">
        <v>316</v>
      </c>
      <c r="AC48" s="4">
        <v>1.249958452402667</v>
      </c>
      <c r="AD48" s="4">
        <f t="shared" si="6"/>
        <v>1.2354206815346574E-3</v>
      </c>
      <c r="AE48" s="4">
        <f>MW_K2O</f>
        <v>9.4196000000000002E-2</v>
      </c>
      <c r="AF48" s="4">
        <f t="shared" si="20"/>
        <v>13.269761480345949</v>
      </c>
      <c r="AG48" s="4">
        <f>b_ch_K2O</f>
        <v>412.83199999999999</v>
      </c>
      <c r="AH48" s="4">
        <f t="shared" si="7"/>
        <v>1.7403323328889792E-3</v>
      </c>
      <c r="AI48" s="4">
        <f t="shared" si="21"/>
        <v>-6.35367918807989</v>
      </c>
      <c r="AJ48" s="4">
        <f t="shared" si="8"/>
        <v>-14.429009107442518</v>
      </c>
      <c r="AK48" s="4">
        <f t="shared" si="22"/>
        <v>398.40299089255745</v>
      </c>
      <c r="AL48" s="4">
        <f t="shared" si="23"/>
        <v>0.69335360656999123</v>
      </c>
      <c r="AM48" s="4">
        <f t="shared" si="9"/>
        <v>5286.7126622006763</v>
      </c>
      <c r="AN48" s="4"/>
      <c r="AO48" s="4"/>
      <c r="AP48" s="4"/>
      <c r="AQ48" s="141" t="s">
        <v>409</v>
      </c>
      <c r="AR48" s="138">
        <f>BE46/(AS28+AM42)</f>
        <v>0.12756053024900801</v>
      </c>
      <c r="AS48" s="318" t="s">
        <v>568</v>
      </c>
      <c r="AT48" s="4" t="s">
        <v>316</v>
      </c>
      <c r="AU48" s="4">
        <f>AC48</f>
        <v>1.249958452402667</v>
      </c>
      <c r="AV48" s="4">
        <f t="shared" si="10"/>
        <v>1.2354206815346574E-3</v>
      </c>
      <c r="AW48" s="4">
        <f>MW_K2O</f>
        <v>9.4196000000000002E-2</v>
      </c>
      <c r="AX48" s="4">
        <f t="shared" si="24"/>
        <v>13.269761480345949</v>
      </c>
      <c r="AY48" s="4">
        <f>b_ch_K2O</f>
        <v>412.83199999999999</v>
      </c>
      <c r="AZ48" s="4">
        <f t="shared" si="11"/>
        <v>1.7403323328889792E-3</v>
      </c>
      <c r="BA48" s="4">
        <f t="shared" si="25"/>
        <v>-6.35367918807989</v>
      </c>
      <c r="BB48" s="4">
        <f t="shared" si="12"/>
        <v>-14.429009107442518</v>
      </c>
      <c r="BC48" s="4">
        <f t="shared" si="26"/>
        <v>398.40299089255745</v>
      </c>
      <c r="BD48" s="4">
        <f t="shared" si="27"/>
        <v>0.69335360656999123</v>
      </c>
      <c r="BE48" s="4">
        <f t="shared" si="13"/>
        <v>5286.7126622006763</v>
      </c>
      <c r="BF48" s="4"/>
      <c r="BI48" s="141" t="s">
        <v>409</v>
      </c>
      <c r="BJ48" s="138">
        <f>BW46/(BK35+BE42)</f>
        <v>0.75440225157720575</v>
      </c>
      <c r="BK48" s="4"/>
      <c r="BL48" s="17"/>
      <c r="BM48" s="3">
        <f>SUM(BM46:BM47)</f>
        <v>1000.0000000000001</v>
      </c>
      <c r="BO48" s="3">
        <f>SUM(BO46:BO47)</f>
        <v>0.21977250000000001</v>
      </c>
      <c r="BP48" s="3">
        <f>SUM(BP46:BP47)</f>
        <v>7496.9290510914179</v>
      </c>
      <c r="BV48" s="3">
        <f>SUM(BV46:BV47)</f>
        <v>11.866965688088325</v>
      </c>
      <c r="BW48" s="3">
        <f>SUM(BW46:BW47)</f>
        <v>88965.799815334409</v>
      </c>
    </row>
    <row r="49" spans="2:82" ht="18" x14ac:dyDescent="0.25">
      <c r="I49" s="318"/>
      <c r="J49" s="4" t="s">
        <v>308</v>
      </c>
      <c r="K49" s="4">
        <f t="shared" si="14"/>
        <v>9.9996676192213361</v>
      </c>
      <c r="L49" s="4">
        <f t="shared" si="15"/>
        <v>9.8833654522772589E-3</v>
      </c>
      <c r="M49" s="4">
        <f>MW_Al2O3</f>
        <v>0.10196127799999999</v>
      </c>
      <c r="N49" s="4">
        <f t="shared" si="16"/>
        <v>98.073188325683176</v>
      </c>
      <c r="O49" s="4">
        <f>b_ch_Al2O3</f>
        <v>31.875999999999976</v>
      </c>
      <c r="P49" s="4">
        <f t="shared" si="3"/>
        <v>1.2862321669119157E-2</v>
      </c>
      <c r="Q49" s="4">
        <f t="shared" si="17"/>
        <v>-4.3534530423208677</v>
      </c>
      <c r="R49" s="4">
        <f t="shared" si="4"/>
        <v>-9.8865573374116824</v>
      </c>
      <c r="S49" s="4">
        <f t="shared" si="18"/>
        <v>21.989442662588296</v>
      </c>
      <c r="T49" s="4">
        <f t="shared" si="19"/>
        <v>0.28283528485086268</v>
      </c>
      <c r="U49" s="4">
        <f t="shared" si="5"/>
        <v>2156.5747514248337</v>
      </c>
      <c r="W49" s="4"/>
      <c r="X49" s="4"/>
      <c r="Y49" s="4"/>
      <c r="Z49" s="4"/>
      <c r="AA49" s="318"/>
      <c r="AB49" s="4" t="s">
        <v>308</v>
      </c>
      <c r="AC49" s="4">
        <v>9.9996676192213361</v>
      </c>
      <c r="AD49" s="4">
        <f t="shared" si="6"/>
        <v>9.8833654522772589E-3</v>
      </c>
      <c r="AE49" s="4">
        <f>MW_Al2O3</f>
        <v>0.10196127799999999</v>
      </c>
      <c r="AF49" s="4">
        <f t="shared" si="20"/>
        <v>98.073188325683176</v>
      </c>
      <c r="AG49" s="4">
        <f>b_ch_Al2O3</f>
        <v>31.875999999999976</v>
      </c>
      <c r="AH49" s="4">
        <f t="shared" si="7"/>
        <v>1.2862321669119157E-2</v>
      </c>
      <c r="AI49" s="4">
        <f t="shared" si="21"/>
        <v>-4.3534530423208677</v>
      </c>
      <c r="AJ49" s="4">
        <f t="shared" si="8"/>
        <v>-9.8865573374116824</v>
      </c>
      <c r="AK49" s="4">
        <f t="shared" si="22"/>
        <v>21.989442662588296</v>
      </c>
      <c r="AL49" s="4">
        <f t="shared" si="23"/>
        <v>0.28283528485086268</v>
      </c>
      <c r="AM49" s="4">
        <f t="shared" si="9"/>
        <v>2156.5747514248337</v>
      </c>
      <c r="AN49" s="4"/>
      <c r="AO49" s="4"/>
      <c r="AP49" s="4"/>
      <c r="AQ49" s="4"/>
      <c r="AR49" s="4"/>
      <c r="AS49" s="318"/>
      <c r="AT49" s="4" t="s">
        <v>308</v>
      </c>
      <c r="AU49" s="4">
        <f>AC49</f>
        <v>9.9996676192213361</v>
      </c>
      <c r="AV49" s="4">
        <f t="shared" si="10"/>
        <v>9.8833654522772589E-3</v>
      </c>
      <c r="AW49" s="4">
        <f>MW_Al2O3</f>
        <v>0.10196127799999999</v>
      </c>
      <c r="AX49" s="4">
        <f t="shared" si="24"/>
        <v>98.073188325683176</v>
      </c>
      <c r="AY49" s="4">
        <f>b_ch_Al2O3</f>
        <v>31.875999999999976</v>
      </c>
      <c r="AZ49" s="4">
        <f t="shared" si="11"/>
        <v>1.2862321669119157E-2</v>
      </c>
      <c r="BA49" s="4">
        <f t="shared" si="25"/>
        <v>-4.3534530423208677</v>
      </c>
      <c r="BB49" s="4">
        <f t="shared" si="12"/>
        <v>-9.8865573374116824</v>
      </c>
      <c r="BC49" s="4">
        <f t="shared" si="26"/>
        <v>21.989442662588296</v>
      </c>
      <c r="BD49" s="4">
        <f t="shared" si="27"/>
        <v>0.28283528485086268</v>
      </c>
      <c r="BE49" s="4">
        <f t="shared" si="13"/>
        <v>2156.5747514248337</v>
      </c>
      <c r="BF49" s="4"/>
      <c r="BM49" s="1" t="s">
        <v>90</v>
      </c>
      <c r="BO49" s="3" t="s">
        <v>92</v>
      </c>
      <c r="BP49" s="3" t="s">
        <v>88</v>
      </c>
      <c r="BQ49" s="4"/>
      <c r="BR49" s="4"/>
      <c r="BV49" s="3" t="s">
        <v>97</v>
      </c>
      <c r="BW49" s="1" t="s">
        <v>94</v>
      </c>
    </row>
    <row r="50" spans="2:82" x14ac:dyDescent="0.2">
      <c r="I50" s="318"/>
      <c r="J50" s="4" t="s">
        <v>182</v>
      </c>
      <c r="K50" s="4">
        <f t="shared" si="14"/>
        <v>0.38391581038081912</v>
      </c>
      <c r="L50" s="4">
        <f t="shared" si="15"/>
        <v>3.7945063789993045E-4</v>
      </c>
      <c r="M50" s="4">
        <f>MW_P</f>
        <v>3.0973762000000002E-2</v>
      </c>
      <c r="N50" s="4">
        <f t="shared" si="16"/>
        <v>12.394871839617645</v>
      </c>
      <c r="O50" s="4">
        <f>b_ch_P</f>
        <v>873.60807999999997</v>
      </c>
      <c r="P50" s="4">
        <f t="shared" si="3"/>
        <v>1.6255903511491995E-3</v>
      </c>
      <c r="Q50" s="4">
        <f t="shared" si="17"/>
        <v>-6.4218842361604729</v>
      </c>
      <c r="R50" s="4">
        <f t="shared" si="4"/>
        <v>-14.583900664097536</v>
      </c>
      <c r="S50" s="4">
        <f t="shared" si="18"/>
        <v>859.02417933590243</v>
      </c>
      <c r="T50" s="4">
        <f t="shared" si="19"/>
        <v>1.3964214173323026</v>
      </c>
      <c r="U50" s="4">
        <f t="shared" si="5"/>
        <v>10647.494610001237</v>
      </c>
      <c r="W50" s="4"/>
      <c r="X50" s="4"/>
      <c r="Y50" s="4"/>
      <c r="Z50" s="4"/>
      <c r="AA50" s="318"/>
      <c r="AB50" s="4" t="s">
        <v>182</v>
      </c>
      <c r="AC50" s="4">
        <v>0.38391581038081912</v>
      </c>
      <c r="AD50" s="4">
        <f t="shared" si="6"/>
        <v>3.7945063789993045E-4</v>
      </c>
      <c r="AE50" s="4">
        <f>MW_P</f>
        <v>3.0973762000000002E-2</v>
      </c>
      <c r="AF50" s="4">
        <f t="shared" si="20"/>
        <v>12.394871839617645</v>
      </c>
      <c r="AG50" s="4">
        <f>b_ch_P</f>
        <v>873.60807999999997</v>
      </c>
      <c r="AH50" s="4">
        <f t="shared" si="7"/>
        <v>1.6255903511491995E-3</v>
      </c>
      <c r="AI50" s="4">
        <f t="shared" si="21"/>
        <v>-6.4218842361604729</v>
      </c>
      <c r="AJ50" s="4">
        <f t="shared" si="8"/>
        <v>-14.583900664097536</v>
      </c>
      <c r="AK50" s="4">
        <f t="shared" si="22"/>
        <v>859.02417933590243</v>
      </c>
      <c r="AL50" s="4">
        <f t="shared" si="23"/>
        <v>1.3964214173323026</v>
      </c>
      <c r="AM50" s="4">
        <f t="shared" si="9"/>
        <v>10647.494610001237</v>
      </c>
      <c r="AN50" s="4"/>
      <c r="AO50" s="4"/>
      <c r="AP50" s="4"/>
      <c r="AQ50" s="4"/>
      <c r="AR50" s="4"/>
      <c r="AS50" s="318"/>
      <c r="AT50" s="4" t="s">
        <v>182</v>
      </c>
      <c r="AU50" s="4">
        <f>AC50</f>
        <v>0.38391581038081912</v>
      </c>
      <c r="AV50" s="4">
        <f t="shared" si="10"/>
        <v>3.7945063789993045E-4</v>
      </c>
      <c r="AW50" s="4">
        <f>MW_P</f>
        <v>3.0973762000000002E-2</v>
      </c>
      <c r="AX50" s="4">
        <f t="shared" si="24"/>
        <v>12.394871839617645</v>
      </c>
      <c r="AY50" s="4">
        <f>b_ch_P</f>
        <v>873.60807999999997</v>
      </c>
      <c r="AZ50" s="4">
        <f t="shared" si="11"/>
        <v>1.6255903511491995E-3</v>
      </c>
      <c r="BA50" s="4">
        <f t="shared" si="25"/>
        <v>-6.4218842361604729</v>
      </c>
      <c r="BB50" s="4">
        <f t="shared" si="12"/>
        <v>-14.583900664097536</v>
      </c>
      <c r="BC50" s="4">
        <f t="shared" si="26"/>
        <v>859.02417933590243</v>
      </c>
      <c r="BD50" s="4">
        <f t="shared" si="27"/>
        <v>1.3964214173323026</v>
      </c>
      <c r="BE50" s="4">
        <f t="shared" si="13"/>
        <v>10647.494610001237</v>
      </c>
      <c r="BF50" s="4"/>
    </row>
    <row r="51" spans="2:82" x14ac:dyDescent="0.2">
      <c r="I51" s="318"/>
      <c r="J51" s="4" t="s">
        <v>181</v>
      </c>
      <c r="K51" s="4">
        <f t="shared" si="14"/>
        <v>0.13392411990028574</v>
      </c>
      <c r="L51" s="4">
        <f t="shared" si="15"/>
        <v>1.3236650159299899E-4</v>
      </c>
      <c r="M51" s="4">
        <f>MW_S</f>
        <v>3.2066000000000004E-2</v>
      </c>
      <c r="N51" s="4">
        <f t="shared" si="16"/>
        <v>4.1765146853454036</v>
      </c>
      <c r="O51" s="4">
        <f>b_ch_S</f>
        <v>607.29999999999995</v>
      </c>
      <c r="P51" s="4">
        <f t="shared" si="3"/>
        <v>5.4775088131446613E-4</v>
      </c>
      <c r="Q51" s="4">
        <f t="shared" si="17"/>
        <v>-7.5096899705178952</v>
      </c>
      <c r="R51" s="4">
        <f t="shared" si="4"/>
        <v>-17.054273873626048</v>
      </c>
      <c r="S51" s="4">
        <f t="shared" si="18"/>
        <v>590.24572612637394</v>
      </c>
      <c r="T51" s="4">
        <f t="shared" si="19"/>
        <v>0.32330761667781832</v>
      </c>
      <c r="U51" s="4">
        <f t="shared" si="5"/>
        <v>2465.1699431291622</v>
      </c>
      <c r="W51" s="4"/>
      <c r="X51" s="4"/>
      <c r="Y51" s="4"/>
      <c r="Z51" s="4"/>
      <c r="AA51" s="318"/>
      <c r="AB51" s="4" t="s">
        <v>181</v>
      </c>
      <c r="AC51" s="4">
        <v>0.13392411990028574</v>
      </c>
      <c r="AD51" s="4">
        <f t="shared" si="6"/>
        <v>1.3236650159299899E-4</v>
      </c>
      <c r="AE51" s="4">
        <f>MW_S</f>
        <v>3.2066000000000004E-2</v>
      </c>
      <c r="AF51" s="4">
        <f t="shared" si="20"/>
        <v>4.1765146853454036</v>
      </c>
      <c r="AG51" s="4">
        <f>b_ch_S</f>
        <v>607.29999999999995</v>
      </c>
      <c r="AH51" s="4">
        <f t="shared" si="7"/>
        <v>5.4775088131446613E-4</v>
      </c>
      <c r="AI51" s="4">
        <f t="shared" si="21"/>
        <v>-7.5096899705178952</v>
      </c>
      <c r="AJ51" s="4">
        <f t="shared" si="8"/>
        <v>-17.054273873626048</v>
      </c>
      <c r="AK51" s="4">
        <f t="shared" si="22"/>
        <v>590.24572612637394</v>
      </c>
      <c r="AL51" s="4">
        <f t="shared" si="23"/>
        <v>0.32330761667781832</v>
      </c>
      <c r="AM51" s="4">
        <f t="shared" si="9"/>
        <v>2465.1699431291622</v>
      </c>
      <c r="AN51" s="4"/>
      <c r="AO51" s="4"/>
      <c r="AP51" s="4"/>
      <c r="AQ51" s="4"/>
      <c r="AR51" s="4"/>
      <c r="AS51" s="318"/>
      <c r="AT51" s="4" t="s">
        <v>181</v>
      </c>
      <c r="AU51" s="4">
        <f>AC51</f>
        <v>0.13392411990028574</v>
      </c>
      <c r="AV51" s="4">
        <f t="shared" si="10"/>
        <v>1.3236650159299899E-4</v>
      </c>
      <c r="AW51" s="4">
        <f>MW_S</f>
        <v>3.2066000000000004E-2</v>
      </c>
      <c r="AX51" s="4">
        <f t="shared" si="24"/>
        <v>4.1765146853454036</v>
      </c>
      <c r="AY51" s="4">
        <f>b_ch_S</f>
        <v>607.29999999999995</v>
      </c>
      <c r="AZ51" s="4">
        <f t="shared" si="11"/>
        <v>5.4775088131446613E-4</v>
      </c>
      <c r="BA51" s="4">
        <f t="shared" si="25"/>
        <v>-7.5096899705178952</v>
      </c>
      <c r="BB51" s="4">
        <f t="shared" si="12"/>
        <v>-17.054273873626048</v>
      </c>
      <c r="BC51" s="4">
        <f t="shared" si="26"/>
        <v>590.24572612637394</v>
      </c>
      <c r="BD51" s="4">
        <f t="shared" si="27"/>
        <v>0.32330761667781832</v>
      </c>
      <c r="BE51" s="4">
        <f t="shared" si="13"/>
        <v>2465.1699431291622</v>
      </c>
      <c r="BF51" s="4"/>
    </row>
    <row r="52" spans="2:82" ht="16" thickBot="1" x14ac:dyDescent="0.25">
      <c r="J52" s="62" t="s">
        <v>19</v>
      </c>
      <c r="K52" s="62">
        <f>SUM(K46:K51)</f>
        <v>1011.7674660019052</v>
      </c>
      <c r="L52" s="62">
        <f>SUM(L46:L51)</f>
        <v>1</v>
      </c>
      <c r="M52" s="62">
        <f>SUM(M46:M51)</f>
        <v>0.47896953999999997</v>
      </c>
      <c r="N52" s="62">
        <f>SUM(N46:N51)</f>
        <v>7624.8433874224093</v>
      </c>
      <c r="O52" s="62"/>
      <c r="P52" s="62"/>
      <c r="Q52" s="62"/>
      <c r="R52" s="62"/>
      <c r="S52" s="62"/>
      <c r="T52" s="62">
        <f>SUM(T46:T51)</f>
        <v>14.326027053009392</v>
      </c>
      <c r="U52" s="62">
        <f>SUM(U46:U51)</f>
        <v>109233.7126431732</v>
      </c>
      <c r="W52" s="4"/>
      <c r="X52" s="4"/>
      <c r="Y52" s="4"/>
      <c r="Z52" s="4"/>
      <c r="AA52" s="4"/>
      <c r="AB52" s="62" t="s">
        <v>19</v>
      </c>
      <c r="AC52" s="62">
        <f>SUM(AC46:AC51)</f>
        <v>1011.7674660019052</v>
      </c>
      <c r="AD52" s="62">
        <f>SUM(AD46:AD51)</f>
        <v>1</v>
      </c>
      <c r="AE52" s="62">
        <f>SUM(AE46:AE51)</f>
        <v>0.47896953999999997</v>
      </c>
      <c r="AF52" s="62">
        <f>SUM(AF46:AF51)</f>
        <v>7624.8433874224093</v>
      </c>
      <c r="AG52" s="62"/>
      <c r="AH52" s="62"/>
      <c r="AI52" s="62"/>
      <c r="AJ52" s="62"/>
      <c r="AK52" s="62"/>
      <c r="AL52" s="62">
        <f>SUM(AL46:AL51)</f>
        <v>14.326027053009392</v>
      </c>
      <c r="AM52" s="62">
        <f>SUM(AM46:AM51)</f>
        <v>109233.7126431732</v>
      </c>
      <c r="AN52" s="4"/>
      <c r="AO52" s="4"/>
      <c r="AP52" s="4"/>
      <c r="AQ52" s="4"/>
      <c r="AR52" s="4"/>
      <c r="AS52" s="4"/>
      <c r="AT52" s="62" t="s">
        <v>19</v>
      </c>
      <c r="AU52" s="62">
        <f>SUM(AU46:AU51)</f>
        <v>1011.7674660019052</v>
      </c>
      <c r="AV52" s="62">
        <f>SUM(AV46:AV51)</f>
        <v>1</v>
      </c>
      <c r="AW52" s="62">
        <f>SUM(AW46:AW51)</f>
        <v>0.47896953999999997</v>
      </c>
      <c r="AX52" s="62">
        <f>SUM(AX46:AX51)</f>
        <v>7624.8433874224093</v>
      </c>
      <c r="AY52" s="62"/>
      <c r="AZ52" s="62"/>
      <c r="BA52" s="62"/>
      <c r="BB52" s="62"/>
      <c r="BC52" s="62"/>
      <c r="BD52" s="62">
        <f>SUM(BD46:BD51)</f>
        <v>14.326027053009392</v>
      </c>
      <c r="BE52" s="62">
        <f>SUM(BE46:BE51)</f>
        <v>109233.7126431732</v>
      </c>
      <c r="BF52" s="4"/>
    </row>
    <row r="53" spans="2:82" ht="18" x14ac:dyDescent="0.25">
      <c r="J53" s="4"/>
      <c r="K53" s="1" t="s">
        <v>90</v>
      </c>
      <c r="L53" s="4"/>
      <c r="M53" s="3" t="s">
        <v>92</v>
      </c>
      <c r="N53" s="3" t="s">
        <v>88</v>
      </c>
      <c r="O53" s="4"/>
      <c r="P53" s="4"/>
      <c r="Q53" s="4"/>
      <c r="R53" s="4"/>
      <c r="S53" s="4"/>
      <c r="T53" s="3" t="s">
        <v>97</v>
      </c>
      <c r="U53" s="1" t="s">
        <v>94</v>
      </c>
      <c r="W53" s="4"/>
      <c r="X53" s="4"/>
      <c r="Y53" s="4"/>
      <c r="Z53" s="4"/>
      <c r="AA53" s="4"/>
      <c r="AB53" s="4"/>
      <c r="AC53" s="1" t="s">
        <v>90</v>
      </c>
      <c r="AD53" s="4"/>
      <c r="AE53" s="3" t="s">
        <v>92</v>
      </c>
      <c r="AF53" s="3" t="s">
        <v>88</v>
      </c>
      <c r="AG53" s="4"/>
      <c r="AH53" s="4"/>
      <c r="AI53" s="4"/>
      <c r="AJ53" s="4"/>
      <c r="AK53" s="4"/>
      <c r="AL53" s="3" t="s">
        <v>97</v>
      </c>
      <c r="AM53" s="1" t="s">
        <v>94</v>
      </c>
      <c r="AN53" s="4"/>
      <c r="AO53" s="4"/>
      <c r="AP53" s="4"/>
      <c r="AQ53" s="4"/>
      <c r="AR53" s="4"/>
      <c r="AS53" s="4"/>
      <c r="AT53" s="4"/>
      <c r="AU53" s="1" t="s">
        <v>90</v>
      </c>
      <c r="AV53" s="4"/>
      <c r="AW53" s="3" t="s">
        <v>92</v>
      </c>
      <c r="AX53" s="3" t="s">
        <v>88</v>
      </c>
      <c r="AY53" s="4"/>
      <c r="AZ53" s="4"/>
      <c r="BA53" s="4"/>
      <c r="BB53" s="4"/>
      <c r="BC53" s="4"/>
      <c r="BD53" s="3" t="s">
        <v>97</v>
      </c>
      <c r="BE53" s="1" t="s">
        <v>94</v>
      </c>
      <c r="BF53" s="4"/>
      <c r="BV53" s="63" t="s">
        <v>1</v>
      </c>
      <c r="BW53" s="58" t="s">
        <v>0</v>
      </c>
    </row>
    <row r="54" spans="2:82" ht="18" x14ac:dyDescent="0.25">
      <c r="S54" s="4"/>
      <c r="W54" s="4"/>
      <c r="X54" s="4"/>
      <c r="Y54" s="4"/>
      <c r="Z54" s="4"/>
      <c r="AA54" s="4"/>
      <c r="AB54" s="4"/>
      <c r="AC54" s="1"/>
      <c r="AD54" s="4"/>
      <c r="AG54" s="4"/>
      <c r="AH54" s="4"/>
      <c r="AI54" s="4"/>
      <c r="AJ54" s="4"/>
      <c r="AK54" s="4"/>
      <c r="AM54" s="1"/>
      <c r="AN54" s="4"/>
      <c r="AO54" s="4"/>
      <c r="AP54" s="4"/>
      <c r="AQ54" s="4"/>
      <c r="AR54" s="4"/>
      <c r="AS54" s="4"/>
      <c r="AT54" s="4"/>
      <c r="AU54" s="1"/>
      <c r="AV54" s="4"/>
      <c r="AY54" s="4"/>
      <c r="AZ54" s="4"/>
      <c r="BA54" s="4"/>
      <c r="BB54" s="4"/>
      <c r="BC54" s="4"/>
      <c r="BE54" s="1"/>
      <c r="BF54" s="4"/>
      <c r="BV54" s="65" t="s">
        <v>90</v>
      </c>
      <c r="BW54" s="64" t="s">
        <v>94</v>
      </c>
    </row>
    <row r="55" spans="2:82" ht="17" thickBot="1" x14ac:dyDescent="0.25">
      <c r="S55" s="4"/>
      <c r="W55" s="4"/>
      <c r="X55" s="4"/>
      <c r="Y55" s="4"/>
      <c r="Z55" s="4"/>
      <c r="AA55" s="4"/>
      <c r="AB55" s="4"/>
      <c r="AC55" s="1"/>
      <c r="AD55" s="4"/>
      <c r="AG55" s="4"/>
      <c r="AH55" s="4"/>
      <c r="AI55" s="4"/>
      <c r="AJ55" s="4"/>
      <c r="AK55" s="4"/>
      <c r="AM55" s="1"/>
      <c r="AN55" s="4"/>
      <c r="AO55" s="4"/>
      <c r="AP55" s="4"/>
      <c r="AQ55" s="4"/>
      <c r="AR55" s="4"/>
      <c r="AS55" s="4"/>
      <c r="AT55" s="4"/>
      <c r="AU55" s="1"/>
      <c r="AV55" s="4"/>
      <c r="AY55" s="4"/>
      <c r="AZ55" s="4"/>
      <c r="BA55" s="4"/>
      <c r="BB55" s="4"/>
      <c r="BC55" s="4"/>
      <c r="BE55" s="1"/>
      <c r="BF55" s="4"/>
      <c r="BR55" s="3" t="s">
        <v>566</v>
      </c>
      <c r="BV55" s="50">
        <f>BM63</f>
        <v>11.767466001905108</v>
      </c>
      <c r="BW55" s="48">
        <f>BW63</f>
        <v>21743.416787545681</v>
      </c>
    </row>
    <row r="56" spans="2:82" ht="17" thickBot="1" x14ac:dyDescent="0.25">
      <c r="S56" s="4"/>
      <c r="W56" s="4"/>
      <c r="X56" s="4"/>
      <c r="Y56" s="4"/>
      <c r="Z56" s="4"/>
      <c r="AA56" s="4"/>
      <c r="AB56" s="4"/>
      <c r="AC56" s="1"/>
      <c r="AD56" s="4"/>
      <c r="AG56" s="4"/>
      <c r="AH56" s="4"/>
      <c r="AI56" s="4"/>
      <c r="AJ56" s="4"/>
      <c r="AK56" s="4"/>
      <c r="AM56" s="1"/>
      <c r="AN56" s="4"/>
      <c r="AO56" s="4"/>
      <c r="AP56" s="4"/>
      <c r="AQ56" s="4"/>
      <c r="AR56" s="4"/>
      <c r="AS56" s="4"/>
      <c r="AT56" s="4"/>
      <c r="AU56" s="1"/>
      <c r="AV56" s="4"/>
      <c r="AY56" s="4"/>
      <c r="AZ56" s="4"/>
      <c r="BA56" s="4"/>
      <c r="BB56" s="4"/>
      <c r="BC56" s="4"/>
      <c r="BE56" s="1"/>
      <c r="BF56" s="4"/>
    </row>
    <row r="57" spans="2:82" ht="18" x14ac:dyDescent="0.25">
      <c r="J57" s="4"/>
      <c r="K57" s="4"/>
      <c r="L57" s="4"/>
      <c r="M57" s="4"/>
      <c r="N57" s="4"/>
      <c r="O57" s="4"/>
      <c r="P57" s="4"/>
      <c r="Q57" s="4"/>
      <c r="R57" s="4"/>
      <c r="S57" s="4"/>
      <c r="T57" s="63" t="s">
        <v>1</v>
      </c>
      <c r="U57" s="58" t="s">
        <v>0</v>
      </c>
      <c r="W57" s="4"/>
      <c r="X57" s="4"/>
      <c r="Y57" s="4"/>
      <c r="Z57" s="4"/>
      <c r="AA57" s="4"/>
      <c r="AB57" s="4"/>
      <c r="AC57" s="1"/>
      <c r="AD57" s="4"/>
      <c r="AG57" s="4"/>
      <c r="AH57" s="4"/>
      <c r="AI57" s="4"/>
      <c r="AJ57" s="4"/>
      <c r="AK57" s="4"/>
      <c r="AM57" s="1"/>
      <c r="AN57" s="4"/>
      <c r="AO57" s="4"/>
      <c r="AP57" s="4"/>
      <c r="AQ57" s="4"/>
      <c r="AR57" s="4"/>
      <c r="AS57" s="4"/>
      <c r="AT57" s="4"/>
      <c r="AU57" s="1"/>
      <c r="AV57" s="4"/>
      <c r="AY57" s="4"/>
      <c r="AZ57" s="4"/>
      <c r="BA57" s="4"/>
      <c r="BB57" s="4"/>
      <c r="BC57" s="4"/>
      <c r="BD57" s="4"/>
      <c r="BE57" s="1"/>
      <c r="BF57" s="4"/>
      <c r="BL57" s="4"/>
      <c r="BM57" s="1" t="s">
        <v>577</v>
      </c>
      <c r="BN57" s="1" t="s">
        <v>578</v>
      </c>
      <c r="BO57" s="1" t="s">
        <v>580</v>
      </c>
      <c r="BP57" s="1" t="s">
        <v>86</v>
      </c>
      <c r="BQ57" s="1" t="s">
        <v>6</v>
      </c>
      <c r="BR57" s="1" t="s">
        <v>7</v>
      </c>
      <c r="BS57" s="1" t="s">
        <v>8</v>
      </c>
      <c r="BT57" s="1" t="s">
        <v>9</v>
      </c>
      <c r="BU57" s="1" t="s">
        <v>49</v>
      </c>
      <c r="BV57" s="1" t="s">
        <v>579</v>
      </c>
      <c r="BW57" s="1" t="s">
        <v>50</v>
      </c>
      <c r="CC57" s="133"/>
      <c r="CD57" s="133"/>
    </row>
    <row r="58" spans="2:82" ht="18" customHeight="1" x14ac:dyDescent="0.25">
      <c r="J58" s="4"/>
      <c r="K58" s="4"/>
      <c r="L58" s="4"/>
      <c r="M58" s="4"/>
      <c r="N58" s="4"/>
      <c r="O58" s="4"/>
      <c r="P58" s="4"/>
      <c r="Q58" s="4"/>
      <c r="R58" s="4"/>
      <c r="S58" s="4"/>
      <c r="T58" s="65" t="s">
        <v>90</v>
      </c>
      <c r="U58" s="64" t="s">
        <v>94</v>
      </c>
      <c r="W58" s="4"/>
      <c r="X58" s="4"/>
      <c r="Y58" s="4"/>
      <c r="Z58" s="4"/>
      <c r="AA58" s="4"/>
      <c r="AB58" s="4"/>
      <c r="AC58" s="1"/>
      <c r="AD58" s="4"/>
      <c r="AG58" s="4"/>
      <c r="AH58" s="4"/>
      <c r="AI58" s="4"/>
      <c r="AJ58" s="4"/>
      <c r="AK58" s="4"/>
      <c r="AM58" s="1"/>
      <c r="AN58" s="4"/>
      <c r="AO58" s="4"/>
      <c r="AP58" s="4"/>
      <c r="AQ58" s="4"/>
      <c r="AR58" s="4"/>
      <c r="AS58" s="4"/>
      <c r="AT58" s="4"/>
      <c r="AU58" s="1"/>
      <c r="AV58" s="4"/>
      <c r="AY58" s="4"/>
      <c r="AZ58" s="4"/>
      <c r="BA58" s="4"/>
      <c r="BB58" s="4"/>
      <c r="BC58" s="4"/>
      <c r="BD58" s="4"/>
      <c r="BE58" s="1"/>
      <c r="BF58" s="4"/>
      <c r="BK58" s="252"/>
      <c r="BL58" s="4" t="s">
        <v>41</v>
      </c>
      <c r="BM58" s="1" t="s">
        <v>89</v>
      </c>
      <c r="BN58" s="4" t="s">
        <v>284</v>
      </c>
      <c r="BO58" s="2" t="s">
        <v>91</v>
      </c>
      <c r="BP58" s="2" t="s">
        <v>87</v>
      </c>
      <c r="BQ58" s="2" t="s">
        <v>96</v>
      </c>
      <c r="BR58" s="2" t="s">
        <v>25</v>
      </c>
      <c r="BS58" s="2" t="s">
        <v>99</v>
      </c>
      <c r="BT58" s="2" t="s">
        <v>96</v>
      </c>
      <c r="BU58" s="2" t="s">
        <v>96</v>
      </c>
      <c r="BV58" s="2" t="s">
        <v>95</v>
      </c>
      <c r="BW58" s="2" t="s">
        <v>93</v>
      </c>
    </row>
    <row r="59" spans="2:82" ht="24" customHeight="1" thickBot="1" x14ac:dyDescent="0.3">
      <c r="D59" s="16" t="s">
        <v>192</v>
      </c>
      <c r="E59" s="3" t="s">
        <v>190</v>
      </c>
      <c r="F59" s="3" t="s">
        <v>197</v>
      </c>
      <c r="G59" s="3" t="s">
        <v>191</v>
      </c>
      <c r="J59" s="4"/>
      <c r="K59" s="4"/>
      <c r="L59" s="4"/>
      <c r="M59" s="4"/>
      <c r="N59" s="4"/>
      <c r="O59" s="4"/>
      <c r="P59" s="4" t="s">
        <v>531</v>
      </c>
      <c r="Q59" s="4"/>
      <c r="R59" s="4"/>
      <c r="S59" s="4"/>
      <c r="T59" s="50">
        <f>L64</f>
        <v>2.05024783499473</v>
      </c>
      <c r="U59" s="48">
        <f>U64</f>
        <v>87512.008023532893</v>
      </c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J59" s="4"/>
      <c r="BK59" s="318" t="s">
        <v>566</v>
      </c>
      <c r="BL59" s="62" t="s">
        <v>316</v>
      </c>
      <c r="BM59" s="62">
        <f>AU48</f>
        <v>1.249958452402667</v>
      </c>
      <c r="BN59" s="62">
        <f>BM59/$BM$63</f>
        <v>0.10622154779969652</v>
      </c>
      <c r="BO59" s="4">
        <f>MW_K2O</f>
        <v>9.4196000000000002E-2</v>
      </c>
      <c r="BP59" s="4">
        <f>BM59/BO59</f>
        <v>13.269761480345949</v>
      </c>
      <c r="BQ59" s="4">
        <f>b_ch_K2O</f>
        <v>412.83199999999999</v>
      </c>
      <c r="BR59" s="4">
        <f>BP59/$BP$63</f>
        <v>0.10373943891644018</v>
      </c>
      <c r="BS59" s="4">
        <f t="shared" ref="BS59:BS62" si="28">LN(BR59)</f>
        <v>-2.2658729186291273</v>
      </c>
      <c r="BT59" s="4">
        <f t="shared" ref="BT59:BT62" si="29">RT0*BS59</f>
        <v>-5.1457273827335621</v>
      </c>
      <c r="BU59" s="4">
        <f t="shared" ref="BU59:BU62" si="30">BT59+BQ59</f>
        <v>407.68627261726641</v>
      </c>
      <c r="BV59" s="4">
        <f>BR59*BU59</f>
        <v>42.293145175250089</v>
      </c>
      <c r="BW59" s="4">
        <f>BV59*$BP$63</f>
        <v>5409.8995964424194</v>
      </c>
    </row>
    <row r="60" spans="2:82" ht="18" thickBot="1" x14ac:dyDescent="0.3">
      <c r="E60" s="3" t="s">
        <v>320</v>
      </c>
      <c r="F60" s="3" t="s">
        <v>321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318"/>
      <c r="BL60" s="4" t="s">
        <v>308</v>
      </c>
      <c r="BM60" s="4">
        <f>AU49</f>
        <v>9.9996676192213361</v>
      </c>
      <c r="BN60" s="4">
        <f>BM60/$BM$63</f>
        <v>0.84977238239757213</v>
      </c>
      <c r="BO60" s="4">
        <f>MW_Al2O3</f>
        <v>0.10196127799999999</v>
      </c>
      <c r="BP60" s="4">
        <f t="shared" ref="BP60:BP62" si="31">BM60/BO60</f>
        <v>98.073188325683176</v>
      </c>
      <c r="BQ60" s="4">
        <f>b_ch_Al2O3</f>
        <v>31.875999999999976</v>
      </c>
      <c r="BR60" s="4">
        <f>BP60/$BP$63</f>
        <v>0.7667099024139733</v>
      </c>
      <c r="BS60" s="4">
        <f t="shared" si="28"/>
        <v>-0.26564677287010441</v>
      </c>
      <c r="BT60" s="4">
        <f t="shared" si="29"/>
        <v>-0.60327561270272534</v>
      </c>
      <c r="BU60" s="4">
        <f t="shared" si="30"/>
        <v>31.272724387297252</v>
      </c>
      <c r="BV60" s="4">
        <f t="shared" ref="BV60:BV62" si="32">BR60*BU60</f>
        <v>23.977107463203758</v>
      </c>
      <c r="BW60" s="4">
        <f>BV60*$BP$63</f>
        <v>3067.0157882925882</v>
      </c>
    </row>
    <row r="61" spans="2:82" ht="18" x14ac:dyDescent="0.25">
      <c r="B61" s="312" t="s">
        <v>499</v>
      </c>
      <c r="C61" s="312"/>
      <c r="D61" s="312"/>
      <c r="E61" s="312"/>
      <c r="F61" s="312"/>
      <c r="G61" s="312"/>
      <c r="H61" s="312"/>
      <c r="J61" s="4"/>
      <c r="K61" s="3" t="s">
        <v>583</v>
      </c>
      <c r="L61" s="1" t="s">
        <v>577</v>
      </c>
      <c r="M61" s="1" t="s">
        <v>580</v>
      </c>
      <c r="N61" s="1" t="s">
        <v>86</v>
      </c>
      <c r="O61" s="1" t="s">
        <v>6</v>
      </c>
      <c r="P61" s="1" t="s">
        <v>7</v>
      </c>
      <c r="Q61" s="1" t="s">
        <v>8</v>
      </c>
      <c r="R61" s="1" t="s">
        <v>9</v>
      </c>
      <c r="S61" s="1" t="s">
        <v>49</v>
      </c>
      <c r="T61" s="1" t="s">
        <v>579</v>
      </c>
      <c r="U61" s="1" t="s">
        <v>50</v>
      </c>
      <c r="W61" s="4"/>
      <c r="X61" s="4"/>
      <c r="Y61" s="4"/>
      <c r="Z61" s="4"/>
      <c r="AC61" s="4"/>
      <c r="AD61" s="4"/>
      <c r="AL61" s="63" t="s">
        <v>1</v>
      </c>
      <c r="AM61" s="58" t="s">
        <v>0</v>
      </c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318"/>
      <c r="BL61" s="4" t="s">
        <v>182</v>
      </c>
      <c r="BM61" s="4">
        <f>AU50</f>
        <v>0.38391581038081912</v>
      </c>
      <c r="BN61" s="4">
        <f>BM61/$BM$63</f>
        <v>3.2625189681335355E-2</v>
      </c>
      <c r="BO61" s="4">
        <f>MW_P</f>
        <v>3.0973762000000002E-2</v>
      </c>
      <c r="BP61" s="4">
        <f t="shared" si="31"/>
        <v>12.394871839617645</v>
      </c>
      <c r="BQ61" s="4">
        <f>b_ch_P</f>
        <v>873.60807999999997</v>
      </c>
      <c r="BR61" s="4">
        <f>BP61/$BP$63</f>
        <v>9.6899786178341829E-2</v>
      </c>
      <c r="BS61" s="4">
        <f t="shared" si="28"/>
        <v>-2.3340779667097102</v>
      </c>
      <c r="BT61" s="4">
        <f t="shared" si="29"/>
        <v>-5.3006189393885803</v>
      </c>
      <c r="BU61" s="4">
        <f t="shared" si="30"/>
        <v>868.30746106061144</v>
      </c>
      <c r="BV61" s="4">
        <f t="shared" si="32"/>
        <v>84.138807313832118</v>
      </c>
      <c r="BW61" s="4">
        <f>BV61*$BP$63</f>
        <v>10762.559697230066</v>
      </c>
    </row>
    <row r="62" spans="2:82" ht="18" x14ac:dyDescent="0.25">
      <c r="B62" s="313"/>
      <c r="C62" s="313"/>
      <c r="D62" s="313"/>
      <c r="E62" s="313"/>
      <c r="F62" s="313"/>
      <c r="G62" s="313"/>
      <c r="H62" s="313"/>
      <c r="J62" s="4" t="s">
        <v>41</v>
      </c>
      <c r="K62" s="3" t="s">
        <v>582</v>
      </c>
      <c r="L62" s="1" t="s">
        <v>89</v>
      </c>
      <c r="M62" s="1" t="s">
        <v>91</v>
      </c>
      <c r="N62" s="1" t="s">
        <v>87</v>
      </c>
      <c r="O62" s="1" t="s">
        <v>96</v>
      </c>
      <c r="P62" s="1" t="s">
        <v>25</v>
      </c>
      <c r="Q62" s="1" t="s">
        <v>99</v>
      </c>
      <c r="R62" s="1" t="s">
        <v>96</v>
      </c>
      <c r="S62" s="1" t="s">
        <v>96</v>
      </c>
      <c r="T62" s="1" t="s">
        <v>95</v>
      </c>
      <c r="U62" s="1" t="s">
        <v>93</v>
      </c>
      <c r="W62" s="4"/>
      <c r="X62" s="4"/>
      <c r="Y62" s="4"/>
      <c r="Z62" s="4"/>
      <c r="AC62" s="4"/>
      <c r="AD62" s="4"/>
      <c r="AL62" s="65" t="s">
        <v>90</v>
      </c>
      <c r="AM62" s="64" t="s">
        <v>94</v>
      </c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318"/>
      <c r="BL62" s="4" t="s">
        <v>181</v>
      </c>
      <c r="BM62" s="4">
        <f>AU51</f>
        <v>0.13392411990028574</v>
      </c>
      <c r="BN62" s="4">
        <f>BM62/$BM$63</f>
        <v>1.1380880121396054E-2</v>
      </c>
      <c r="BO62" s="4">
        <f>MW_S</f>
        <v>3.2066000000000004E-2</v>
      </c>
      <c r="BP62" s="4">
        <f t="shared" si="31"/>
        <v>4.1765146853454036</v>
      </c>
      <c r="BQ62" s="4">
        <f>b_ch_S</f>
        <v>607.29999999999995</v>
      </c>
      <c r="BR62" s="4">
        <f>BP62/$BP$63</f>
        <v>3.2650872491244612E-2</v>
      </c>
      <c r="BS62" s="4">
        <f t="shared" si="28"/>
        <v>-3.4218837010671326</v>
      </c>
      <c r="BT62" s="4">
        <f t="shared" si="29"/>
        <v>-7.7709921489170943</v>
      </c>
      <c r="BU62" s="4">
        <f t="shared" si="30"/>
        <v>599.52900785108284</v>
      </c>
      <c r="BV62" s="4">
        <f t="shared" si="32"/>
        <v>19.575145190148096</v>
      </c>
      <c r="BW62" s="4">
        <f>BV62*$BP$63</f>
        <v>2503.9417055806075</v>
      </c>
    </row>
    <row r="63" spans="2:82" ht="18" thickBot="1" x14ac:dyDescent="0.3">
      <c r="B63" s="13" t="s">
        <v>265</v>
      </c>
      <c r="C63" s="13" t="s">
        <v>267</v>
      </c>
      <c r="D63" s="13" t="s">
        <v>236</v>
      </c>
      <c r="E63" s="13" t="s">
        <v>236</v>
      </c>
      <c r="F63" s="13" t="s">
        <v>236</v>
      </c>
      <c r="G63" s="106" t="s">
        <v>323</v>
      </c>
      <c r="H63" s="13" t="s">
        <v>317</v>
      </c>
      <c r="I63" s="223" t="s">
        <v>531</v>
      </c>
      <c r="J63" s="62" t="s">
        <v>502</v>
      </c>
      <c r="K63" s="17">
        <f>F72</f>
        <v>88160.656904773379</v>
      </c>
      <c r="L63" s="17">
        <f>K63/LHV_Diesel</f>
        <v>2.05024783499473</v>
      </c>
      <c r="M63" s="17">
        <f>MW_C12H23</f>
        <v>0.16731462</v>
      </c>
      <c r="N63" s="17">
        <f>L63/M63</f>
        <v>12.253847482035521</v>
      </c>
      <c r="O63" s="17">
        <f>b_ch_C12H23</f>
        <v>7141.5943565339712</v>
      </c>
      <c r="P63" s="17">
        <f>N63/N64</f>
        <v>1</v>
      </c>
      <c r="Q63" s="17">
        <f>LN(P63)</f>
        <v>0</v>
      </c>
      <c r="R63" s="17">
        <f>RT0*Q63</f>
        <v>0</v>
      </c>
      <c r="S63" s="17">
        <f>R63+O63</f>
        <v>7141.5943565339712</v>
      </c>
      <c r="T63" s="17">
        <f>P63*S63</f>
        <v>7141.5943565339712</v>
      </c>
      <c r="U63" s="17">
        <f>T63*N64</f>
        <v>87512.008023532893</v>
      </c>
      <c r="W63" s="4"/>
      <c r="X63" s="4"/>
      <c r="Y63" s="4"/>
      <c r="Z63" s="4"/>
      <c r="AA63" s="1"/>
      <c r="AB63" s="1"/>
      <c r="AC63" s="1"/>
      <c r="AF63" s="4"/>
      <c r="AG63" s="4"/>
      <c r="AH63" s="3" t="s">
        <v>533</v>
      </c>
      <c r="AL63" s="50">
        <f>AC70</f>
        <v>31.920206302076174</v>
      </c>
      <c r="AM63" s="48">
        <f>AM70</f>
        <v>2396.1586162428257</v>
      </c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252"/>
      <c r="BL63" s="62" t="s">
        <v>19</v>
      </c>
      <c r="BM63" s="62">
        <f>SUM(BM57:BM62)</f>
        <v>11.767466001905108</v>
      </c>
      <c r="BN63" s="62">
        <f>SUM(BN57:BN62)</f>
        <v>1</v>
      </c>
      <c r="BO63" s="62">
        <f>SUM(BO57:BO62)</f>
        <v>0.25919703999999999</v>
      </c>
      <c r="BP63" s="62">
        <f>SUM(BP57:BP62)</f>
        <v>127.91433633099219</v>
      </c>
      <c r="BQ63" s="62"/>
      <c r="BR63" s="62"/>
      <c r="BS63" s="62"/>
      <c r="BT63" s="62"/>
      <c r="BU63" s="62"/>
      <c r="BV63" s="62">
        <f>SUM(BV57:BV62)</f>
        <v>169.98420514243409</v>
      </c>
      <c r="BW63" s="62">
        <f>SUM(BW57:BW62)</f>
        <v>21743.416787545681</v>
      </c>
    </row>
    <row r="64" spans="2:82" ht="18" x14ac:dyDescent="0.25">
      <c r="B64" s="13" t="s">
        <v>99</v>
      </c>
      <c r="C64" s="13" t="s">
        <v>99</v>
      </c>
      <c r="D64" s="13" t="s">
        <v>232</v>
      </c>
      <c r="E64" s="13" t="s">
        <v>235</v>
      </c>
      <c r="F64" s="13" t="s">
        <v>48</v>
      </c>
      <c r="G64" s="34" t="s">
        <v>99</v>
      </c>
      <c r="H64" s="13" t="s">
        <v>48</v>
      </c>
      <c r="J64" s="17" t="s">
        <v>19</v>
      </c>
      <c r="K64" s="17">
        <f>SUM(K63)</f>
        <v>88160.656904773379</v>
      </c>
      <c r="L64" s="17">
        <f>SUM(L63)</f>
        <v>2.05024783499473</v>
      </c>
      <c r="M64" s="17">
        <f>SUM(M63)</f>
        <v>0.16731462</v>
      </c>
      <c r="N64" s="17">
        <f>SUM(N63)</f>
        <v>12.253847482035521</v>
      </c>
      <c r="O64" s="17"/>
      <c r="P64" s="17"/>
      <c r="Q64" s="17"/>
      <c r="R64" s="17"/>
      <c r="S64" s="17"/>
      <c r="T64" s="17">
        <f>SUM(T63)</f>
        <v>7141.5943565339712</v>
      </c>
      <c r="U64" s="17">
        <f>SUM(U63)</f>
        <v>87512.008023532893</v>
      </c>
      <c r="W64" s="4"/>
      <c r="X64" s="4"/>
      <c r="Y64" s="4"/>
      <c r="Z64" s="4"/>
      <c r="AB64" s="1"/>
      <c r="AC64" s="1"/>
      <c r="AD64" s="4"/>
      <c r="AE64" s="4"/>
      <c r="AF64" s="4"/>
      <c r="AG64" s="4"/>
      <c r="AH64" s="4"/>
      <c r="AI64" s="4"/>
      <c r="AJ64" s="4"/>
      <c r="AK64" s="4"/>
      <c r="AL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1" t="s">
        <v>90</v>
      </c>
      <c r="BN64" s="4"/>
      <c r="BO64" s="3" t="s">
        <v>92</v>
      </c>
      <c r="BP64" s="3" t="s">
        <v>88</v>
      </c>
      <c r="BQ64" s="4"/>
      <c r="BR64" s="4"/>
      <c r="BS64" s="4"/>
      <c r="BT64" s="4"/>
      <c r="BU64" s="4"/>
      <c r="BV64" s="3" t="s">
        <v>97</v>
      </c>
      <c r="BW64" s="1" t="s">
        <v>94</v>
      </c>
    </row>
    <row r="65" spans="2:74" ht="18" x14ac:dyDescent="0.25">
      <c r="B65" s="13" t="s">
        <v>279</v>
      </c>
      <c r="C65" s="61" t="s">
        <v>253</v>
      </c>
      <c r="D65" s="61">
        <f>22700+23200+793+793+2420</f>
        <v>49906</v>
      </c>
      <c r="E65" s="61">
        <f t="shared" ref="E65:E71" si="33">D65*Btu_to_kJ</f>
        <v>52653.824360000006</v>
      </c>
      <c r="F65" s="61">
        <f>E65*($AC$52/1000)</f>
        <v>53273.426448026592</v>
      </c>
      <c r="G65" s="3">
        <v>1.06</v>
      </c>
      <c r="H65" s="13">
        <f>F65*G65</f>
        <v>56469.832034908191</v>
      </c>
      <c r="K65" s="3" t="s">
        <v>48</v>
      </c>
      <c r="L65" s="1" t="s">
        <v>90</v>
      </c>
      <c r="M65" s="3" t="s">
        <v>92</v>
      </c>
      <c r="N65" s="3" t="s">
        <v>88</v>
      </c>
      <c r="O65" s="4"/>
      <c r="P65" s="4"/>
      <c r="T65" s="3" t="s">
        <v>97</v>
      </c>
      <c r="U65" s="1" t="s">
        <v>94</v>
      </c>
      <c r="W65" s="4"/>
      <c r="X65" s="4"/>
      <c r="Y65" s="4"/>
      <c r="Z65" s="4"/>
      <c r="AB65" s="1"/>
      <c r="AC65" s="1" t="s">
        <v>577</v>
      </c>
      <c r="AD65" s="1" t="s">
        <v>578</v>
      </c>
      <c r="AE65" s="1" t="s">
        <v>580</v>
      </c>
      <c r="AF65" s="1" t="s">
        <v>86</v>
      </c>
      <c r="AG65" s="1" t="s">
        <v>6</v>
      </c>
      <c r="AH65" s="1" t="s">
        <v>7</v>
      </c>
      <c r="AI65" s="1" t="s">
        <v>8</v>
      </c>
      <c r="AJ65" s="1" t="s">
        <v>9</v>
      </c>
      <c r="AK65" s="1" t="s">
        <v>49</v>
      </c>
      <c r="AL65" s="1" t="s">
        <v>579</v>
      </c>
      <c r="AM65" s="1" t="s">
        <v>50</v>
      </c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</row>
    <row r="66" spans="2:74" ht="18" x14ac:dyDescent="0.25">
      <c r="B66" s="13" t="s">
        <v>279</v>
      </c>
      <c r="C66" s="61" t="s">
        <v>273</v>
      </c>
      <c r="D66" s="61">
        <v>19100</v>
      </c>
      <c r="E66" s="61">
        <f t="shared" si="33"/>
        <v>20151.646000000001</v>
      </c>
      <c r="F66" s="61">
        <f t="shared" ref="F66:F71" si="34">E66*($AC$52/1000)</f>
        <v>20388.779809187428</v>
      </c>
      <c r="G66" s="107">
        <v>1.06</v>
      </c>
      <c r="H66" s="13">
        <f t="shared" ref="H66:H71" si="35">F66*G66</f>
        <v>21612.106597738675</v>
      </c>
      <c r="L66" s="1"/>
      <c r="O66" s="4"/>
      <c r="P66" s="4"/>
      <c r="U66" s="1"/>
      <c r="W66" s="4"/>
      <c r="X66" s="4"/>
      <c r="Y66" s="4"/>
      <c r="Z66" s="4"/>
      <c r="AB66" s="2" t="s">
        <v>41</v>
      </c>
      <c r="AC66" s="2" t="s">
        <v>11</v>
      </c>
      <c r="AD66" s="4" t="s">
        <v>284</v>
      </c>
      <c r="AE66" s="2" t="s">
        <v>12</v>
      </c>
      <c r="AF66" s="2" t="s">
        <v>13</v>
      </c>
      <c r="AG66" s="2" t="s">
        <v>14</v>
      </c>
      <c r="AH66" s="2" t="s">
        <v>25</v>
      </c>
      <c r="AI66" s="2" t="s">
        <v>25</v>
      </c>
      <c r="AJ66" s="2" t="s">
        <v>14</v>
      </c>
      <c r="AK66" s="2" t="s">
        <v>14</v>
      </c>
      <c r="AL66" s="2" t="s">
        <v>26</v>
      </c>
      <c r="AM66" s="1" t="s">
        <v>48</v>
      </c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</row>
    <row r="67" spans="2:74" ht="17" x14ac:dyDescent="0.25">
      <c r="B67" s="13" t="s">
        <v>279</v>
      </c>
      <c r="C67" s="61" t="s">
        <v>254</v>
      </c>
      <c r="D67" s="61">
        <v>5800</v>
      </c>
      <c r="E67" s="61">
        <f t="shared" si="33"/>
        <v>6119.3480000000009</v>
      </c>
      <c r="F67" s="61">
        <f t="shared" si="34"/>
        <v>6191.3572195438273</v>
      </c>
      <c r="G67" s="107">
        <v>1.06</v>
      </c>
      <c r="H67" s="13">
        <f t="shared" si="35"/>
        <v>6562.8386527164575</v>
      </c>
      <c r="L67" s="1"/>
      <c r="O67" s="4"/>
      <c r="P67" s="4"/>
      <c r="U67" s="1"/>
      <c r="W67" s="4"/>
      <c r="X67" s="4"/>
      <c r="Y67" s="4"/>
      <c r="Z67" s="4"/>
      <c r="AA67" s="318" t="s">
        <v>533</v>
      </c>
      <c r="AB67" s="3" t="s">
        <v>23</v>
      </c>
      <c r="AC67" s="1">
        <f>AE67*AF67</f>
        <v>6.4714725229786421</v>
      </c>
      <c r="AD67" s="8">
        <f>AC67/AC70</f>
        <v>0.20273905693891836</v>
      </c>
      <c r="AE67" s="1">
        <f>MW_CO2</f>
        <v>4.4009800000000002E-2</v>
      </c>
      <c r="AF67" s="1">
        <f>CO2_molcoeff*N63</f>
        <v>147.04616978442624</v>
      </c>
      <c r="AG67" s="1">
        <f>b_ch_CO2</f>
        <v>19.900000000000034</v>
      </c>
      <c r="AH67" s="1">
        <f>AF67/AF70</f>
        <v>0.13297872340425532</v>
      </c>
      <c r="AI67" s="1">
        <f>LN(AH67)</f>
        <v>-2.0175661379617487</v>
      </c>
      <c r="AJ67" s="1">
        <f>RT0*AI67</f>
        <v>-4.5818303565174681</v>
      </c>
      <c r="AK67" s="1">
        <f>AG67+AJ67</f>
        <v>15.318169643482566</v>
      </c>
      <c r="AL67" s="1">
        <f>AK67*AH67</f>
        <v>2.0369906440801286</v>
      </c>
      <c r="AM67" s="8">
        <f>AF70*AL67</f>
        <v>2252.4781741821816</v>
      </c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</row>
    <row r="68" spans="2:74" ht="17" customHeight="1" x14ac:dyDescent="0.25">
      <c r="B68" s="13" t="s">
        <v>279</v>
      </c>
      <c r="C68" s="61" t="s">
        <v>291</v>
      </c>
      <c r="D68" s="61">
        <v>5530</v>
      </c>
      <c r="E68" s="61">
        <f t="shared" si="33"/>
        <v>5834.4818000000005</v>
      </c>
      <c r="F68" s="61">
        <f t="shared" si="34"/>
        <v>5903.1388662202344</v>
      </c>
      <c r="G68" s="107">
        <v>1.06</v>
      </c>
      <c r="H68" s="13">
        <f t="shared" si="35"/>
        <v>6257.3271981934486</v>
      </c>
      <c r="L68" s="1"/>
      <c r="O68" s="4"/>
      <c r="P68" s="4"/>
      <c r="U68" s="1"/>
      <c r="W68" s="4"/>
      <c r="X68" s="4"/>
      <c r="Y68" s="4"/>
      <c r="Z68" s="4"/>
      <c r="AA68" s="318"/>
      <c r="AB68" s="3" t="s">
        <v>68</v>
      </c>
      <c r="AC68" s="1">
        <f t="shared" ref="AC68:AC69" si="36">AE68*AF68</f>
        <v>2.5386996748608963</v>
      </c>
      <c r="AD68" s="1">
        <f>AC68/AC70</f>
        <v>7.9532683806488202E-2</v>
      </c>
      <c r="AE68" s="6">
        <f>MW_H2O</f>
        <v>1.8015280000000002E-2</v>
      </c>
      <c r="AF68" s="1">
        <f>H2O_molcoeff*N63</f>
        <v>140.91924604340849</v>
      </c>
      <c r="AG68" s="6">
        <f>b_ch_H2O</f>
        <v>9.5113440000000082</v>
      </c>
      <c r="AH68" s="1">
        <f>AF68/AF70</f>
        <v>0.12743794326241137</v>
      </c>
      <c r="AI68" s="1">
        <f t="shared" ref="AI68:AI69" si="37">LN(AH68)</f>
        <v>-2.0601257523805443</v>
      </c>
      <c r="AJ68" s="1">
        <f>RT0*AI68</f>
        <v>-4.6784819257704671</v>
      </c>
      <c r="AK68" s="1">
        <f t="shared" ref="AK68:AK69" si="38">AG68+AJ68</f>
        <v>4.8328620742295412</v>
      </c>
      <c r="AL68" s="1">
        <f>AK68*AH68</f>
        <v>0.61589000281072404</v>
      </c>
      <c r="AM68" s="1">
        <f>AF70*AL68</f>
        <v>681.04327973221029</v>
      </c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</row>
    <row r="69" spans="2:74" ht="19" thickBot="1" x14ac:dyDescent="0.3">
      <c r="B69" s="13" t="s">
        <v>279</v>
      </c>
      <c r="C69" s="61" t="s">
        <v>292</v>
      </c>
      <c r="D69" s="61">
        <v>213</v>
      </c>
      <c r="E69" s="61">
        <f t="shared" si="33"/>
        <v>224.72778000000002</v>
      </c>
      <c r="F69" s="61">
        <f t="shared" si="34"/>
        <v>227.37225651083364</v>
      </c>
      <c r="G69" s="107">
        <v>1.06</v>
      </c>
      <c r="H69" s="13">
        <f t="shared" si="35"/>
        <v>241.01459190148367</v>
      </c>
      <c r="L69" s="1"/>
      <c r="O69" s="4"/>
      <c r="P69" s="4"/>
      <c r="U69" s="1"/>
      <c r="W69" s="4"/>
      <c r="X69" s="4"/>
      <c r="Y69" s="4"/>
      <c r="Z69" s="4"/>
      <c r="AA69" s="318"/>
      <c r="AB69" s="7" t="s">
        <v>67</v>
      </c>
      <c r="AC69" s="1">
        <f t="shared" si="36"/>
        <v>22.910034104236637</v>
      </c>
      <c r="AD69" s="1">
        <f>AC69/AC70</f>
        <v>0.71772825925459349</v>
      </c>
      <c r="AE69" s="6">
        <f>MW_N2</f>
        <v>2.801348E-2</v>
      </c>
      <c r="AF69" s="1">
        <f>N77</f>
        <v>817.82178095105064</v>
      </c>
      <c r="AG69" s="6">
        <f>MW_N2</f>
        <v>2.801348E-2</v>
      </c>
      <c r="AH69" s="1">
        <f>AF69/AF70</f>
        <v>0.73958333333333337</v>
      </c>
      <c r="AI69" s="1">
        <f t="shared" si="37"/>
        <v>-0.30166831442652076</v>
      </c>
      <c r="AJ69" s="1">
        <f>RT0*AI69</f>
        <v>-0.68507942051171278</v>
      </c>
      <c r="AK69" s="1">
        <f t="shared" si="38"/>
        <v>-0.65706594051171274</v>
      </c>
      <c r="AL69" s="1">
        <f t="shared" ref="AL69" si="39">AK69*AH69</f>
        <v>-0.48595501850345424</v>
      </c>
      <c r="AM69" s="1">
        <f>AF70*AL69</f>
        <v>-537.36283767156601</v>
      </c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</row>
    <row r="70" spans="2:74" ht="16" x14ac:dyDescent="0.2">
      <c r="B70" s="13" t="s">
        <v>279</v>
      </c>
      <c r="C70" s="61" t="s">
        <v>293</v>
      </c>
      <c r="D70" s="61">
        <v>1200</v>
      </c>
      <c r="E70" s="61">
        <f t="shared" si="33"/>
        <v>1266.0720000000001</v>
      </c>
      <c r="F70" s="61">
        <f t="shared" si="34"/>
        <v>1280.9704592159642</v>
      </c>
      <c r="G70" s="107">
        <v>1.06</v>
      </c>
      <c r="H70" s="13">
        <f t="shared" si="35"/>
        <v>1357.8286867689221</v>
      </c>
      <c r="T70" s="63" t="s">
        <v>1</v>
      </c>
      <c r="U70" s="58" t="s">
        <v>0</v>
      </c>
      <c r="W70" s="4"/>
      <c r="X70" s="4"/>
      <c r="Y70" s="4"/>
      <c r="Z70" s="4"/>
      <c r="AA70" s="318"/>
      <c r="AB70" s="17" t="s">
        <v>19</v>
      </c>
      <c r="AC70" s="8">
        <f>SUM(AC67:AC69)</f>
        <v>31.920206302076174</v>
      </c>
      <c r="AD70" s="8">
        <f>SUM(AD67:AD69)</f>
        <v>1</v>
      </c>
      <c r="AE70" s="8">
        <f>SUM(AE67:AE69)</f>
        <v>9.0038560000000004E-2</v>
      </c>
      <c r="AF70" s="8">
        <f>SUM(AF67:AF69)</f>
        <v>1105.7871967788853</v>
      </c>
      <c r="AG70" s="62"/>
      <c r="AH70" s="8">
        <f>SUM(AH67:AH69)</f>
        <v>1</v>
      </c>
      <c r="AI70" s="17"/>
      <c r="AJ70" s="17"/>
      <c r="AK70" s="17"/>
      <c r="AL70" s="8">
        <f>SUM(AL67:AL69)</f>
        <v>2.1669256283873981</v>
      </c>
      <c r="AM70" s="8">
        <f>SUM(AM67:AM69)</f>
        <v>2396.1586162428257</v>
      </c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</row>
    <row r="71" spans="2:74" ht="18" x14ac:dyDescent="0.25">
      <c r="B71" s="13" t="s">
        <v>279</v>
      </c>
      <c r="C71" s="61" t="s">
        <v>277</v>
      </c>
      <c r="D71" s="61">
        <v>839</v>
      </c>
      <c r="E71" s="61">
        <f t="shared" si="33"/>
        <v>885.1953400000001</v>
      </c>
      <c r="F71" s="61">
        <f t="shared" si="34"/>
        <v>895.61184606849497</v>
      </c>
      <c r="G71" s="107">
        <v>1.06</v>
      </c>
      <c r="H71" s="13">
        <f t="shared" si="35"/>
        <v>949.34855683260469</v>
      </c>
      <c r="T71" s="65" t="s">
        <v>90</v>
      </c>
      <c r="U71" s="64" t="s">
        <v>94</v>
      </c>
      <c r="W71" s="4"/>
      <c r="X71" s="4"/>
      <c r="Y71" s="4"/>
      <c r="Z71" s="4"/>
      <c r="AC71" s="1" t="s">
        <v>90</v>
      </c>
      <c r="AD71" s="1"/>
      <c r="AE71" s="3" t="s">
        <v>92</v>
      </c>
      <c r="AF71" s="3" t="s">
        <v>88</v>
      </c>
      <c r="AG71" s="4"/>
      <c r="AH71" s="4"/>
      <c r="AL71" s="3" t="s">
        <v>97</v>
      </c>
      <c r="AM71" s="1" t="s">
        <v>94</v>
      </c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</row>
    <row r="72" spans="2:74" ht="16" thickBot="1" x14ac:dyDescent="0.25">
      <c r="B72" s="13"/>
      <c r="C72" s="61" t="s">
        <v>19</v>
      </c>
      <c r="D72" s="13">
        <f>SUM(D65:D71)</f>
        <v>82588</v>
      </c>
      <c r="E72" s="13">
        <f>SUM(E65:E71)</f>
        <v>87135.295280000006</v>
      </c>
      <c r="F72" s="13">
        <f>SUM(F65:F71)</f>
        <v>88160.656904773379</v>
      </c>
      <c r="G72" s="34"/>
      <c r="H72" s="13">
        <f>SUM(H65:H71)</f>
        <v>93450.29631905978</v>
      </c>
      <c r="P72" s="3" t="s">
        <v>544</v>
      </c>
      <c r="T72" s="50">
        <f>K78</f>
        <v>29.869958467081446</v>
      </c>
      <c r="U72" s="48">
        <f>U78</f>
        <v>233.82334445083558</v>
      </c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</row>
    <row r="73" spans="2:74" x14ac:dyDescent="0.2"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</row>
    <row r="74" spans="2:74" ht="18" x14ac:dyDescent="0.25">
      <c r="E74" s="312" t="s">
        <v>538</v>
      </c>
      <c r="F74" s="312"/>
      <c r="G74" s="312"/>
      <c r="H74" s="312"/>
      <c r="K74" s="1" t="s">
        <v>577</v>
      </c>
      <c r="L74" s="1" t="s">
        <v>578</v>
      </c>
      <c r="M74" s="1" t="s">
        <v>580</v>
      </c>
      <c r="N74" s="1" t="s">
        <v>86</v>
      </c>
      <c r="O74" s="1" t="s">
        <v>6</v>
      </c>
      <c r="P74" s="1" t="s">
        <v>7</v>
      </c>
      <c r="Q74" s="1" t="s">
        <v>8</v>
      </c>
      <c r="R74" s="1" t="s">
        <v>9</v>
      </c>
      <c r="S74" s="1" t="s">
        <v>49</v>
      </c>
      <c r="T74" s="1" t="s">
        <v>579</v>
      </c>
      <c r="U74" s="1" t="s">
        <v>50</v>
      </c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</row>
    <row r="75" spans="2:74" ht="18" x14ac:dyDescent="0.25">
      <c r="E75" s="312"/>
      <c r="F75" s="312"/>
      <c r="G75" s="312"/>
      <c r="H75" s="312"/>
      <c r="J75" s="95" t="s">
        <v>41</v>
      </c>
      <c r="K75" s="3" t="s">
        <v>11</v>
      </c>
      <c r="L75" s="3" t="s">
        <v>241</v>
      </c>
      <c r="M75" s="2" t="s">
        <v>91</v>
      </c>
      <c r="N75" s="2" t="s">
        <v>87</v>
      </c>
      <c r="O75" s="2" t="s">
        <v>96</v>
      </c>
      <c r="P75" s="2" t="s">
        <v>25</v>
      </c>
      <c r="Q75" s="2" t="s">
        <v>99</v>
      </c>
      <c r="R75" s="2" t="s">
        <v>96</v>
      </c>
      <c r="S75" s="2" t="s">
        <v>96</v>
      </c>
      <c r="T75" s="2" t="s">
        <v>95</v>
      </c>
      <c r="U75" s="2" t="s">
        <v>93</v>
      </c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</row>
    <row r="76" spans="2:74" ht="18" x14ac:dyDescent="0.25">
      <c r="I76" s="318" t="s">
        <v>544</v>
      </c>
      <c r="J76" s="1" t="s">
        <v>304</v>
      </c>
      <c r="K76" s="17">
        <f>M76*N76</f>
        <v>6.9599243628448084</v>
      </c>
      <c r="L76" s="17">
        <f>K76/K78</f>
        <v>0.23300750051310176</v>
      </c>
      <c r="M76" s="3">
        <f>MW_O2</f>
        <v>3.1998800000000001E-2</v>
      </c>
      <c r="N76" s="3">
        <f>O2_molcoeff*N63</f>
        <v>217.5057928061305</v>
      </c>
      <c r="O76" s="3">
        <f>b_ch_O2</f>
        <v>4</v>
      </c>
      <c r="P76" s="3">
        <f>N76/N78</f>
        <v>0.21008403361344538</v>
      </c>
      <c r="Q76" s="1">
        <f>LN(P76)</f>
        <v>-1.5602476682433286</v>
      </c>
      <c r="R76" s="1">
        <f>RT0*Q76</f>
        <v>-3.5432742429276503</v>
      </c>
      <c r="S76" s="1">
        <f>O76+R76</f>
        <v>0.45672575707234975</v>
      </c>
      <c r="T76" s="1">
        <f>S76*P76</f>
        <v>9.5950789300913816E-2</v>
      </c>
      <c r="U76" s="1">
        <f>N78*T76</f>
        <v>99.340497887001604</v>
      </c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</row>
    <row r="77" spans="2:74" ht="18" x14ac:dyDescent="0.25">
      <c r="I77" s="318"/>
      <c r="J77" s="60" t="s">
        <v>67</v>
      </c>
      <c r="K77" s="17">
        <f>M77*N77</f>
        <v>22.910034104236637</v>
      </c>
      <c r="L77" s="3">
        <f>K77/K78</f>
        <v>0.76699249948689818</v>
      </c>
      <c r="M77" s="28">
        <f>MW_N2</f>
        <v>2.801348E-2</v>
      </c>
      <c r="N77" s="28">
        <f>N2_molcoeff*N76</f>
        <v>817.82178095105064</v>
      </c>
      <c r="O77" s="28">
        <f>b_ch_N2</f>
        <v>0.7</v>
      </c>
      <c r="P77" s="28">
        <f>N77/N78</f>
        <v>0.78991596638655459</v>
      </c>
      <c r="Q77" s="2">
        <f>LN(P77)</f>
        <v>-0.23582871084152554</v>
      </c>
      <c r="R77" s="2">
        <f>RT0*Q77</f>
        <v>-0.53555971521393941</v>
      </c>
      <c r="S77" s="2">
        <f>O77+R77</f>
        <v>0.16444028478606054</v>
      </c>
      <c r="T77" s="2">
        <f>S77*P77</f>
        <v>0.12989400646966126</v>
      </c>
      <c r="U77" s="2">
        <f>N78*T77</f>
        <v>134.48284656383399</v>
      </c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</row>
    <row r="78" spans="2:74" ht="16" x14ac:dyDescent="0.2">
      <c r="J78" s="3" t="s">
        <v>19</v>
      </c>
      <c r="K78" s="17">
        <f>SUM(K76:K77)</f>
        <v>29.869958467081446</v>
      </c>
      <c r="L78" s="17">
        <f>SUM(L76:L77)</f>
        <v>1</v>
      </c>
      <c r="M78" s="3">
        <f>SUM(M76:M77)</f>
        <v>6.0012280000000001E-2</v>
      </c>
      <c r="N78" s="3">
        <f>SUM(N76:N77)</f>
        <v>1035.3275737571812</v>
      </c>
      <c r="T78" s="3">
        <f>SUM(T76:T77)</f>
        <v>0.22584479577057509</v>
      </c>
      <c r="U78" s="3">
        <f>SUM(U76:U77)</f>
        <v>233.82334445083558</v>
      </c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1"/>
      <c r="BM78" s="4"/>
      <c r="BP78" s="4"/>
      <c r="BQ78" s="4"/>
      <c r="BR78" s="4"/>
      <c r="BS78" s="4"/>
      <c r="BT78" s="4"/>
      <c r="BV78" s="1"/>
    </row>
    <row r="79" spans="2:74" ht="18" x14ac:dyDescent="0.25">
      <c r="K79" s="1" t="s">
        <v>90</v>
      </c>
      <c r="L79" s="1"/>
      <c r="M79" s="3" t="s">
        <v>92</v>
      </c>
      <c r="N79" s="3" t="s">
        <v>88</v>
      </c>
      <c r="O79" s="4"/>
      <c r="P79" s="4"/>
      <c r="T79" s="3" t="s">
        <v>97</v>
      </c>
      <c r="U79" s="1" t="s">
        <v>94</v>
      </c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S79" s="4"/>
      <c r="BT79" s="4"/>
    </row>
    <row r="80" spans="2:74" x14ac:dyDescent="0.2"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T80" s="4"/>
      <c r="BU80" s="4"/>
    </row>
    <row r="81" spans="8:100" ht="16" thickBot="1" x14ac:dyDescent="0.25">
      <c r="H81" s="99"/>
      <c r="I81" s="99"/>
      <c r="J81" s="99"/>
      <c r="K81" s="99"/>
      <c r="L81" s="99"/>
      <c r="M81" s="99"/>
      <c r="N81" s="99"/>
      <c r="O81" s="99"/>
      <c r="P81" s="99"/>
      <c r="Q81" s="99"/>
      <c r="R81" s="99"/>
      <c r="S81" s="91"/>
      <c r="T81" s="91"/>
      <c r="U81" s="91"/>
      <c r="V81" s="91"/>
      <c r="W81" s="91"/>
      <c r="X81" s="91"/>
      <c r="Y81" s="91"/>
      <c r="Z81" s="91"/>
      <c r="AA81" s="91"/>
      <c r="AB81" s="91"/>
      <c r="AC81" s="91"/>
      <c r="AD81" s="91"/>
      <c r="AE81" s="91"/>
      <c r="AF81" s="91"/>
      <c r="AG81" s="91"/>
      <c r="AH81" s="91"/>
      <c r="AI81" s="91"/>
      <c r="AJ81" s="91"/>
      <c r="AK81" s="91"/>
      <c r="AL81" s="91"/>
      <c r="AM81" s="91"/>
      <c r="AN81" s="91"/>
      <c r="AO81" s="91"/>
      <c r="AP81" s="91"/>
      <c r="AQ81" s="91"/>
      <c r="AR81" s="91"/>
      <c r="AS81" s="91"/>
      <c r="AT81" s="91"/>
      <c r="AU81" s="91"/>
      <c r="AV81" s="91"/>
      <c r="AW81" s="91"/>
      <c r="AX81" s="91"/>
      <c r="AY81" s="91"/>
      <c r="AZ81" s="91"/>
      <c r="BA81" s="91"/>
      <c r="BB81" s="91"/>
      <c r="BC81" s="91"/>
      <c r="BD81" s="91"/>
      <c r="BE81" s="91"/>
      <c r="BF81" s="91"/>
      <c r="BG81" s="91"/>
      <c r="BH81" s="91"/>
      <c r="BI81" s="91"/>
      <c r="BJ81" s="91"/>
      <c r="BK81" s="91"/>
      <c r="BL81" s="91"/>
      <c r="BM81" s="91"/>
      <c r="BN81" s="91"/>
      <c r="BO81" s="91"/>
      <c r="BP81" s="91"/>
      <c r="BQ81" s="99"/>
      <c r="BR81" s="99"/>
      <c r="BS81" s="91"/>
      <c r="BT81" s="91"/>
      <c r="BU81" s="99"/>
      <c r="BV81" s="99"/>
      <c r="BW81" s="99"/>
      <c r="BX81" s="99"/>
      <c r="BY81" s="99"/>
      <c r="BZ81" s="99"/>
      <c r="CA81" s="99"/>
      <c r="CB81" s="99"/>
      <c r="CC81" s="99"/>
      <c r="CD81" s="99"/>
      <c r="CE81" s="99"/>
      <c r="CF81" s="99"/>
      <c r="CG81" s="99"/>
      <c r="CH81" s="99"/>
      <c r="CI81" s="99"/>
      <c r="CJ81" s="99"/>
      <c r="CK81" s="99"/>
      <c r="CL81" s="99"/>
      <c r="CM81" s="99"/>
      <c r="CN81" s="99"/>
      <c r="CO81" s="99"/>
      <c r="CP81" s="99"/>
      <c r="CQ81" s="99"/>
      <c r="CR81" s="99"/>
      <c r="CS81" s="99"/>
      <c r="CT81" s="99"/>
      <c r="CU81" s="99"/>
      <c r="CV81" s="99"/>
    </row>
    <row r="82" spans="8:100" x14ac:dyDescent="0.2"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S82" s="4"/>
      <c r="BT82" s="4"/>
    </row>
    <row r="83" spans="8:100" x14ac:dyDescent="0.2"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S83" s="4" t="s">
        <v>340</v>
      </c>
      <c r="BT83" s="4"/>
    </row>
    <row r="84" spans="8:100" x14ac:dyDescent="0.2"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S84" s="4"/>
      <c r="BT84" s="4"/>
    </row>
    <row r="85" spans="8:100" x14ac:dyDescent="0.2"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S85" s="4"/>
      <c r="BT85" s="4"/>
    </row>
    <row r="86" spans="8:100" x14ac:dyDescent="0.2"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S86" s="4"/>
      <c r="BT86" s="4"/>
    </row>
    <row r="87" spans="8:100" x14ac:dyDescent="0.2"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S87" s="4"/>
      <c r="BT87" s="4"/>
    </row>
    <row r="88" spans="8:100" x14ac:dyDescent="0.2"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S88" s="4"/>
      <c r="BT88" s="4"/>
    </row>
    <row r="89" spans="8:100" x14ac:dyDescent="0.2"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S89" s="4"/>
      <c r="BT89" s="4"/>
    </row>
    <row r="90" spans="8:100" x14ac:dyDescent="0.2"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S90" s="4"/>
      <c r="BT90" s="4"/>
    </row>
    <row r="91" spans="8:100" x14ac:dyDescent="0.2"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S91" s="4"/>
      <c r="BT91" s="4"/>
    </row>
    <row r="92" spans="8:100" x14ac:dyDescent="0.2"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S92" s="4"/>
      <c r="BT92" s="4"/>
    </row>
    <row r="93" spans="8:100" ht="19.75" customHeight="1" x14ac:dyDescent="0.2"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S93" s="4"/>
      <c r="BT93" s="4"/>
    </row>
    <row r="94" spans="8:100" x14ac:dyDescent="0.2"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S94" s="4"/>
      <c r="BT94" s="4"/>
    </row>
    <row r="95" spans="8:100" x14ac:dyDescent="0.2"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S95" s="4"/>
      <c r="BT95" s="4"/>
    </row>
    <row r="96" spans="8:100" ht="19.25" customHeight="1" x14ac:dyDescent="0.2"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S96" s="4"/>
      <c r="BT96" s="4"/>
    </row>
    <row r="97" spans="14:162" x14ac:dyDescent="0.2"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S97" s="4"/>
      <c r="BT97" s="4"/>
    </row>
    <row r="98" spans="14:162" ht="19.25" customHeight="1" thickBot="1" x14ac:dyDescent="0.25"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S98" s="4"/>
      <c r="BT98" s="4"/>
    </row>
    <row r="99" spans="14:162" x14ac:dyDescent="0.2"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S99" s="4"/>
      <c r="BT99" s="4"/>
      <c r="BV99" s="3" t="s">
        <v>406</v>
      </c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63" t="s">
        <v>1</v>
      </c>
      <c r="EG99" s="58" t="s">
        <v>0</v>
      </c>
    </row>
    <row r="100" spans="14:162" ht="18" x14ac:dyDescent="0.25"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S100" s="4"/>
      <c r="BT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65" t="s">
        <v>90</v>
      </c>
      <c r="EG100" s="64" t="s">
        <v>94</v>
      </c>
    </row>
    <row r="101" spans="14:162" ht="19.25" customHeight="1" thickBot="1" x14ac:dyDescent="0.25"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S101" s="4"/>
      <c r="BT101" s="4"/>
      <c r="DV101" s="4"/>
      <c r="DW101" s="4"/>
      <c r="DX101" s="4"/>
      <c r="DY101" s="4"/>
      <c r="DZ101" s="4"/>
      <c r="EA101" s="4"/>
      <c r="EB101" s="4" t="s">
        <v>535</v>
      </c>
      <c r="EC101" s="4"/>
      <c r="ED101" s="4"/>
      <c r="EE101" s="4"/>
      <c r="EF101" s="50">
        <f>DX106</f>
        <v>4.8979947555174279</v>
      </c>
      <c r="EG101" s="48">
        <f>EG106</f>
        <v>203313.0005430537</v>
      </c>
    </row>
    <row r="102" spans="14:162" ht="39" x14ac:dyDescent="0.45"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191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V102" s="1"/>
      <c r="EW102" s="1"/>
      <c r="EX102" s="1"/>
      <c r="EY102" s="1"/>
      <c r="EZ102" s="1"/>
      <c r="FA102" s="1"/>
      <c r="FE102" s="63" t="s">
        <v>1</v>
      </c>
      <c r="FF102" s="58" t="s">
        <v>0</v>
      </c>
    </row>
    <row r="103" spans="14:162" ht="18" x14ac:dyDescent="0.25"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DO103" s="312" t="s">
        <v>534</v>
      </c>
      <c r="DP103" s="312"/>
      <c r="DQ103" s="312"/>
      <c r="DR103" s="312"/>
      <c r="DS103" s="312"/>
      <c r="DT103" s="312"/>
      <c r="DV103" s="4"/>
      <c r="DW103" s="3" t="s">
        <v>583</v>
      </c>
      <c r="DX103" s="1" t="s">
        <v>577</v>
      </c>
      <c r="DY103" s="3" t="s">
        <v>5</v>
      </c>
      <c r="DZ103" s="1" t="s">
        <v>86</v>
      </c>
      <c r="EA103" s="1" t="s">
        <v>6</v>
      </c>
      <c r="EB103" s="1" t="s">
        <v>7</v>
      </c>
      <c r="EC103" s="1" t="s">
        <v>8</v>
      </c>
      <c r="ED103" s="1" t="s">
        <v>9</v>
      </c>
      <c r="EE103" s="1" t="s">
        <v>49</v>
      </c>
      <c r="EF103" s="1" t="s">
        <v>579</v>
      </c>
      <c r="EG103" s="1" t="s">
        <v>50</v>
      </c>
      <c r="EU103" s="1"/>
      <c r="EV103" s="1"/>
      <c r="EW103" s="1"/>
      <c r="EX103" s="1"/>
      <c r="EY103" s="1"/>
      <c r="EZ103" s="1"/>
      <c r="FE103" s="65" t="s">
        <v>90</v>
      </c>
      <c r="FF103" s="64" t="s">
        <v>94</v>
      </c>
    </row>
    <row r="104" spans="14:162" ht="19" thickBot="1" x14ac:dyDescent="0.3"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16" t="s">
        <v>280</v>
      </c>
      <c r="BG104" s="4" t="s">
        <v>285</v>
      </c>
      <c r="BH104" s="4"/>
      <c r="BI104" s="4" t="s">
        <v>286</v>
      </c>
      <c r="BJ104" s="4"/>
      <c r="BK104" s="4"/>
      <c r="BL104" s="4"/>
      <c r="BM104" s="4"/>
      <c r="BN104" s="4"/>
      <c r="BO104" s="4"/>
      <c r="BP104" s="4"/>
      <c r="DO104" s="313"/>
      <c r="DP104" s="313"/>
      <c r="DQ104" s="313"/>
      <c r="DR104" s="313"/>
      <c r="DS104" s="313"/>
      <c r="DT104" s="313"/>
      <c r="DV104" s="4" t="s">
        <v>41</v>
      </c>
      <c r="DW104" s="3" t="s">
        <v>582</v>
      </c>
      <c r="DX104" s="1" t="s">
        <v>89</v>
      </c>
      <c r="DY104" s="1" t="s">
        <v>91</v>
      </c>
      <c r="DZ104" s="1" t="s">
        <v>87</v>
      </c>
      <c r="EA104" s="1" t="s">
        <v>96</v>
      </c>
      <c r="EB104" s="1" t="s">
        <v>25</v>
      </c>
      <c r="EC104" s="1" t="s">
        <v>99</v>
      </c>
      <c r="ED104" s="1" t="s">
        <v>96</v>
      </c>
      <c r="EE104" s="1" t="s">
        <v>96</v>
      </c>
      <c r="EF104" s="1" t="s">
        <v>95</v>
      </c>
      <c r="EG104" s="1" t="s">
        <v>93</v>
      </c>
      <c r="ET104" s="1"/>
      <c r="EU104" s="1"/>
      <c r="EV104" s="1"/>
      <c r="EW104" s="1"/>
      <c r="EX104" s="1"/>
      <c r="EY104" s="1"/>
      <c r="EZ104" s="3" t="s">
        <v>586</v>
      </c>
      <c r="FE104" s="50">
        <f>EV109</f>
        <v>229.94813284002646</v>
      </c>
      <c r="FF104" s="48">
        <f>FF109</f>
        <v>67875.356217847453</v>
      </c>
    </row>
    <row r="105" spans="14:162" ht="18.5" customHeight="1" x14ac:dyDescent="0.25"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DO105" s="15" t="s">
        <v>265</v>
      </c>
      <c r="DP105" s="115" t="s">
        <v>236</v>
      </c>
      <c r="DQ105" s="115" t="s">
        <v>236</v>
      </c>
      <c r="DR105" s="115" t="s">
        <v>236</v>
      </c>
      <c r="DS105" s="116" t="s">
        <v>323</v>
      </c>
      <c r="DT105" s="115" t="s">
        <v>317</v>
      </c>
      <c r="DU105" s="223" t="s">
        <v>535</v>
      </c>
      <c r="DV105" s="97" t="s">
        <v>526</v>
      </c>
      <c r="DW105" s="17">
        <f>DR107</f>
        <v>193470.79284293839</v>
      </c>
      <c r="DX105" s="17">
        <f>DW105/LHV_Oil</f>
        <v>4.8979947555174279</v>
      </c>
      <c r="DY105" s="17">
        <f>MW_Oil</f>
        <v>0.1402688</v>
      </c>
      <c r="DZ105" s="17">
        <f>DX105/DY105</f>
        <v>34.918633049669118</v>
      </c>
      <c r="EA105" s="17">
        <f>b_ch_oil</f>
        <v>5822.4787967460325</v>
      </c>
      <c r="EB105" s="17">
        <f>DZ105/DZ106</f>
        <v>1</v>
      </c>
      <c r="EC105" s="17">
        <f>LN(EB105)</f>
        <v>0</v>
      </c>
      <c r="ED105" s="17">
        <f>RT0*EC105</f>
        <v>0</v>
      </c>
      <c r="EE105" s="17">
        <f>ED105+EA105</f>
        <v>5822.4787967460325</v>
      </c>
      <c r="EF105" s="17">
        <f>EB105*EE105</f>
        <v>5822.4787967460325</v>
      </c>
      <c r="EG105" s="17">
        <f>EF105*DZ106</f>
        <v>203313.0005430537</v>
      </c>
      <c r="ET105" s="1"/>
      <c r="EU105" s="1"/>
      <c r="EV105" s="1"/>
      <c r="EW105" s="1"/>
      <c r="EX105" s="1"/>
      <c r="EY105" s="1"/>
    </row>
    <row r="106" spans="14:162" ht="18" customHeight="1" x14ac:dyDescent="0.25"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DO106" s="15" t="s">
        <v>99</v>
      </c>
      <c r="DP106" s="115" t="s">
        <v>231</v>
      </c>
      <c r="DQ106" s="115" t="s">
        <v>330</v>
      </c>
      <c r="DR106" s="115" t="s">
        <v>48</v>
      </c>
      <c r="DS106" s="116" t="s">
        <v>99</v>
      </c>
      <c r="DT106" s="115" t="s">
        <v>48</v>
      </c>
      <c r="DV106" s="3" t="s">
        <v>19</v>
      </c>
      <c r="DW106" s="17">
        <f>SUM(DW105)</f>
        <v>193470.79284293839</v>
      </c>
      <c r="DX106" s="17">
        <f>SUM(DX105)</f>
        <v>4.8979947555174279</v>
      </c>
      <c r="DY106" s="17">
        <f>SUM(DY105)</f>
        <v>0.1402688</v>
      </c>
      <c r="DZ106" s="17">
        <f>SUM(DZ105)</f>
        <v>34.918633049669118</v>
      </c>
      <c r="EA106" s="17"/>
      <c r="EB106" s="17"/>
      <c r="EC106" s="17"/>
      <c r="ED106" s="17"/>
      <c r="EE106" s="17"/>
      <c r="EF106" s="17">
        <f>SUM(EF105)</f>
        <v>5822.4787967460325</v>
      </c>
      <c r="EG106" s="17">
        <f>SUM(EG105)</f>
        <v>203313.0005430537</v>
      </c>
      <c r="EU106" s="1"/>
      <c r="EV106" s="1" t="s">
        <v>1</v>
      </c>
      <c r="EW106" s="1" t="s">
        <v>578</v>
      </c>
      <c r="EX106" s="1" t="s">
        <v>5</v>
      </c>
      <c r="EY106" s="1" t="s">
        <v>86</v>
      </c>
      <c r="EZ106" s="1" t="s">
        <v>6</v>
      </c>
      <c r="FA106" s="1" t="s">
        <v>7</v>
      </c>
      <c r="FB106" s="1" t="s">
        <v>8</v>
      </c>
      <c r="FC106" s="1" t="s">
        <v>9</v>
      </c>
      <c r="FD106" s="1" t="s">
        <v>49</v>
      </c>
      <c r="FE106" s="1" t="s">
        <v>579</v>
      </c>
      <c r="FF106" s="1" t="s">
        <v>50</v>
      </c>
    </row>
    <row r="107" spans="14:162" ht="19.25" customHeight="1" x14ac:dyDescent="0.25">
      <c r="S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16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DO107" s="15" t="s">
        <v>576</v>
      </c>
      <c r="DP107" s="115">
        <f>0.14*10^6</f>
        <v>140000</v>
      </c>
      <c r="DQ107" s="15">
        <f>DP107*Btu_to_kJ</f>
        <v>147708.40000000002</v>
      </c>
      <c r="DR107" s="15">
        <f>DQ107*($EF$126/1000)</f>
        <v>193470.79284293839</v>
      </c>
      <c r="DS107" s="15">
        <v>1.06</v>
      </c>
      <c r="DT107" s="270">
        <f>DR107*DS107</f>
        <v>205079.04041351471</v>
      </c>
      <c r="DW107" s="3" t="s">
        <v>48</v>
      </c>
      <c r="DX107" s="1" t="s">
        <v>90</v>
      </c>
      <c r="DY107" s="3" t="s">
        <v>92</v>
      </c>
      <c r="DZ107" s="3" t="s">
        <v>88</v>
      </c>
      <c r="EA107" s="4"/>
      <c r="EB107" s="4"/>
      <c r="EF107" s="3" t="s">
        <v>97</v>
      </c>
      <c r="EG107" s="1" t="s">
        <v>94</v>
      </c>
      <c r="EU107" s="2" t="s">
        <v>41</v>
      </c>
      <c r="EV107" s="2" t="s">
        <v>11</v>
      </c>
      <c r="EW107" s="1" t="s">
        <v>581</v>
      </c>
      <c r="EX107" s="2" t="s">
        <v>12</v>
      </c>
      <c r="EY107" s="2" t="s">
        <v>13</v>
      </c>
      <c r="EZ107" s="2" t="s">
        <v>14</v>
      </c>
      <c r="FA107" s="2" t="s">
        <v>25</v>
      </c>
      <c r="FB107" s="2" t="s">
        <v>25</v>
      </c>
      <c r="FC107" s="2" t="s">
        <v>14</v>
      </c>
      <c r="FD107" s="2" t="s">
        <v>14</v>
      </c>
      <c r="FE107" s="2" t="s">
        <v>26</v>
      </c>
      <c r="FF107" s="1" t="s">
        <v>48</v>
      </c>
    </row>
    <row r="108" spans="14:162" ht="18" x14ac:dyDescent="0.25">
      <c r="S108" s="4"/>
      <c r="T108" s="4"/>
      <c r="U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ET108" s="223" t="s">
        <v>586</v>
      </c>
      <c r="EU108" s="1" t="s">
        <v>22</v>
      </c>
      <c r="EV108" s="1">
        <f>Slag_BF_out</f>
        <v>229.94813284002646</v>
      </c>
      <c r="EW108" s="42">
        <f>EV108/EV109</f>
        <v>1</v>
      </c>
      <c r="EX108" s="6">
        <f>MW_CaSiO3</f>
        <v>0.11616169999999999</v>
      </c>
      <c r="EY108" s="6">
        <f>EV108/EX108</f>
        <v>1979.552062685261</v>
      </c>
      <c r="EZ108" s="7">
        <f>b_ch_CaSiO3</f>
        <v>34.288240000000087</v>
      </c>
      <c r="FA108" s="6">
        <f>EY108/EY108</f>
        <v>1</v>
      </c>
      <c r="FB108" s="1">
        <f>LN(FA108)</f>
        <v>0</v>
      </c>
      <c r="FC108" s="1">
        <f>RT0*FB108</f>
        <v>0</v>
      </c>
      <c r="FD108" s="1">
        <f>EZ108+FC108</f>
        <v>34.288240000000087</v>
      </c>
      <c r="FE108" s="1">
        <f>FD108*FA108</f>
        <v>34.288240000000087</v>
      </c>
      <c r="FF108" s="8">
        <f>$EY$109*FE108</f>
        <v>67875.356217847453</v>
      </c>
    </row>
    <row r="109" spans="14:162" ht="16" x14ac:dyDescent="0.2">
      <c r="S109" s="16"/>
      <c r="T109" s="4"/>
      <c r="U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S109" s="4"/>
      <c r="EU109" s="8" t="s">
        <v>19</v>
      </c>
      <c r="EV109" s="27">
        <f>SUM(EV108)</f>
        <v>229.94813284002646</v>
      </c>
      <c r="EW109" s="27"/>
      <c r="EX109" s="27">
        <f>SUM(EX108)</f>
        <v>0.11616169999999999</v>
      </c>
      <c r="EY109" s="27">
        <f>SUM(EY108)</f>
        <v>1979.552062685261</v>
      </c>
      <c r="EZ109" s="27">
        <f>SUM(EZ108)</f>
        <v>34.288240000000087</v>
      </c>
      <c r="FA109" s="27">
        <f>SUM(FA108)</f>
        <v>1</v>
      </c>
      <c r="FB109" s="27"/>
      <c r="FC109" s="27"/>
      <c r="FD109" s="27">
        <f>SUM(FD108)</f>
        <v>34.288240000000087</v>
      </c>
      <c r="FE109" s="27">
        <f>SUM(FE108)</f>
        <v>34.288240000000087</v>
      </c>
      <c r="FF109" s="27">
        <f>SUM(FF108)</f>
        <v>67875.356217847453</v>
      </c>
    </row>
    <row r="110" spans="14:162" ht="19.25" customHeight="1" x14ac:dyDescent="0.25">
      <c r="S110" s="4"/>
      <c r="AC110" s="6"/>
      <c r="AD110" s="6"/>
      <c r="AE110" s="114"/>
      <c r="AF110" s="114"/>
      <c r="AG110" s="114"/>
      <c r="AH110" s="114"/>
      <c r="AI110" s="6"/>
      <c r="AJ110" s="6"/>
      <c r="AK110" s="6"/>
      <c r="AL110" s="6"/>
      <c r="AM110" s="325" t="s">
        <v>442</v>
      </c>
      <c r="AN110" s="311"/>
      <c r="AO110" s="311"/>
      <c r="AP110" s="311"/>
      <c r="AQ110" s="311"/>
      <c r="AR110" s="311"/>
      <c r="AS110" s="311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311" t="s">
        <v>446</v>
      </c>
      <c r="BE110" s="311"/>
      <c r="BF110" s="311"/>
      <c r="BG110" s="311"/>
      <c r="BH110" s="311"/>
      <c r="BI110" s="311"/>
      <c r="BJ110" s="311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CF110" s="6"/>
      <c r="CG110" s="6"/>
      <c r="CH110" s="6"/>
      <c r="CI110" s="6"/>
      <c r="CJ110" s="6"/>
      <c r="CK110" s="6"/>
      <c r="CL110" s="6"/>
      <c r="CM110" s="6"/>
      <c r="CN110" s="6"/>
      <c r="CO110" s="6"/>
      <c r="CP110" s="4"/>
      <c r="CQ110" s="4"/>
      <c r="CR110" s="4"/>
      <c r="CS110" s="4"/>
      <c r="CT110" s="4"/>
      <c r="CW110" s="4"/>
      <c r="CX110" s="4"/>
      <c r="EN110" s="16" t="s">
        <v>350</v>
      </c>
      <c r="EU110" s="1"/>
      <c r="EV110" s="1" t="s">
        <v>90</v>
      </c>
      <c r="EW110" s="1"/>
      <c r="EX110" s="3" t="s">
        <v>92</v>
      </c>
      <c r="EY110" s="3" t="s">
        <v>88</v>
      </c>
      <c r="EZ110" s="4"/>
      <c r="FA110" s="4"/>
      <c r="FE110" s="3" t="s">
        <v>97</v>
      </c>
      <c r="FF110" s="1" t="s">
        <v>94</v>
      </c>
    </row>
    <row r="111" spans="14:162" ht="20" customHeight="1" thickBot="1" x14ac:dyDescent="0.25">
      <c r="N111" s="326" t="s">
        <v>365</v>
      </c>
      <c r="O111" s="326"/>
      <c r="P111" s="326"/>
      <c r="S111" s="4"/>
      <c r="T111" s="4"/>
      <c r="U111" s="4"/>
      <c r="AC111" s="6"/>
      <c r="AD111" s="6"/>
      <c r="AE111" s="6"/>
      <c r="AF111" s="6"/>
      <c r="AG111" s="6"/>
      <c r="AH111" s="6"/>
      <c r="AI111" s="114"/>
      <c r="AJ111" s="114"/>
      <c r="AK111" s="114"/>
      <c r="AL111" s="114"/>
      <c r="AM111" s="15" t="s">
        <v>265</v>
      </c>
      <c r="AN111" s="115" t="s">
        <v>264</v>
      </c>
      <c r="AO111" s="115" t="s">
        <v>236</v>
      </c>
      <c r="AP111" s="115" t="s">
        <v>36</v>
      </c>
      <c r="AQ111" s="115" t="s">
        <v>236</v>
      </c>
      <c r="AR111" s="116" t="s">
        <v>323</v>
      </c>
      <c r="AS111" s="115" t="s">
        <v>317</v>
      </c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15" t="s">
        <v>265</v>
      </c>
      <c r="BE111" s="115" t="s">
        <v>264</v>
      </c>
      <c r="BF111" s="115" t="s">
        <v>236</v>
      </c>
      <c r="BG111" s="115" t="s">
        <v>236</v>
      </c>
      <c r="BH111" s="115" t="s">
        <v>236</v>
      </c>
      <c r="BI111" s="116" t="s">
        <v>323</v>
      </c>
      <c r="BJ111" s="115" t="s">
        <v>317</v>
      </c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CF111" s="6"/>
      <c r="CG111" s="6"/>
      <c r="CH111" s="6"/>
      <c r="CI111" s="6"/>
      <c r="CJ111" s="6"/>
      <c r="CK111" s="6"/>
      <c r="CL111" s="6"/>
      <c r="CM111" s="6"/>
      <c r="CN111" s="6"/>
      <c r="CO111" s="4"/>
      <c r="CP111" s="4"/>
      <c r="CQ111" s="4"/>
      <c r="CR111" s="4"/>
      <c r="CU111" s="4"/>
      <c r="CV111" s="4"/>
      <c r="EP111" s="1"/>
      <c r="EQ111" s="1"/>
      <c r="ER111" s="1"/>
      <c r="ES111" s="1"/>
      <c r="ET111" s="1"/>
    </row>
    <row r="112" spans="14:162" ht="19" thickBot="1" x14ac:dyDescent="0.3">
      <c r="N112" s="327"/>
      <c r="O112" s="327"/>
      <c r="P112" s="327"/>
      <c r="S112" s="4"/>
      <c r="T112" s="4"/>
      <c r="U112" s="4"/>
      <c r="AC112" s="6"/>
      <c r="AD112" s="6"/>
      <c r="AE112" s="6"/>
      <c r="AF112" s="6"/>
      <c r="AG112" s="6"/>
      <c r="AH112" s="6"/>
      <c r="AI112" s="114"/>
      <c r="AJ112" s="114"/>
      <c r="AK112" s="114"/>
      <c r="AL112" s="114"/>
      <c r="AM112" s="15" t="s">
        <v>99</v>
      </c>
      <c r="AN112" s="15" t="s">
        <v>99</v>
      </c>
      <c r="AO112" s="115" t="s">
        <v>238</v>
      </c>
      <c r="AP112" s="115" t="s">
        <v>237</v>
      </c>
      <c r="AQ112" s="115" t="s">
        <v>48</v>
      </c>
      <c r="AR112" s="116" t="s">
        <v>99</v>
      </c>
      <c r="AS112" s="115" t="s">
        <v>48</v>
      </c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15" t="s">
        <v>99</v>
      </c>
      <c r="BE112" s="15" t="s">
        <v>99</v>
      </c>
      <c r="BF112" s="115" t="s">
        <v>231</v>
      </c>
      <c r="BG112" s="115" t="s">
        <v>330</v>
      </c>
      <c r="BH112" s="115" t="s">
        <v>48</v>
      </c>
      <c r="BI112" s="116" t="s">
        <v>99</v>
      </c>
      <c r="BJ112" s="115" t="s">
        <v>48</v>
      </c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CE112" s="6"/>
      <c r="CF112" s="6"/>
      <c r="CG112" s="6"/>
      <c r="CH112" s="6"/>
      <c r="CI112" s="6"/>
      <c r="CJ112" s="6"/>
      <c r="CK112" s="114"/>
      <c r="CL112" s="114"/>
      <c r="CM112" s="114"/>
      <c r="CN112" s="114"/>
      <c r="CO112" s="114"/>
      <c r="CP112" s="6"/>
      <c r="CQ112" s="119" t="s">
        <v>1</v>
      </c>
      <c r="CR112" s="120" t="s">
        <v>0</v>
      </c>
      <c r="CS112" s="199"/>
      <c r="CT112" s="4"/>
      <c r="CU112" s="4"/>
      <c r="CV112" s="4"/>
      <c r="CY112" s="4"/>
      <c r="CZ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63" t="s">
        <v>1</v>
      </c>
      <c r="EG112" s="58" t="s">
        <v>0</v>
      </c>
    </row>
    <row r="113" spans="5:169" ht="18" x14ac:dyDescent="0.25">
      <c r="N113" s="110" t="s">
        <v>489</v>
      </c>
      <c r="O113" s="321" t="s">
        <v>345</v>
      </c>
      <c r="P113" s="139" t="s">
        <v>318</v>
      </c>
      <c r="S113" s="4"/>
      <c r="T113" s="4"/>
      <c r="U113" s="4"/>
      <c r="AC113" s="6"/>
      <c r="AD113" s="6"/>
      <c r="AE113" s="6"/>
      <c r="AF113" s="6"/>
      <c r="AG113" s="6"/>
      <c r="AH113" s="6"/>
      <c r="AI113" s="114"/>
      <c r="AJ113" s="114"/>
      <c r="AK113" s="114"/>
      <c r="AL113" s="114"/>
      <c r="AM113" s="115" t="s">
        <v>266</v>
      </c>
      <c r="AN113" s="115" t="s">
        <v>303</v>
      </c>
      <c r="AO113" s="115">
        <v>700</v>
      </c>
      <c r="AP113" s="115">
        <v>387</v>
      </c>
      <c r="AQ113" s="15">
        <f>AP113*AO113*(AD131/1000)</f>
        <v>2824.8856477449194</v>
      </c>
      <c r="AR113" s="15">
        <v>1</v>
      </c>
      <c r="AS113" s="15">
        <f>AQ113*AR113</f>
        <v>2824.8856477449194</v>
      </c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15" t="s">
        <v>266</v>
      </c>
      <c r="BE113" s="115" t="s">
        <v>178</v>
      </c>
      <c r="BF113" s="115">
        <f>1660+995</f>
        <v>2655</v>
      </c>
      <c r="BG113" s="15">
        <f>BF113*Btu_to_kJ</f>
        <v>2801.1843000000003</v>
      </c>
      <c r="BH113" s="15">
        <f>BG113*($AV$131/1000)</f>
        <v>29.210134092869691</v>
      </c>
      <c r="BI113" s="15">
        <v>1</v>
      </c>
      <c r="BJ113" s="15">
        <f>BH113*BI113</f>
        <v>29.210134092869691</v>
      </c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CE113" s="6"/>
      <c r="CF113" s="6"/>
      <c r="CG113" s="6"/>
      <c r="CH113" s="6"/>
      <c r="CI113" s="6"/>
      <c r="CJ113" s="6"/>
      <c r="CK113" s="6"/>
      <c r="CL113" s="6"/>
      <c r="CM113" s="114"/>
      <c r="CN113" s="114"/>
      <c r="CO113" s="114"/>
      <c r="CP113" s="6"/>
      <c r="CQ113" s="108" t="s">
        <v>325</v>
      </c>
      <c r="CR113" s="109" t="s">
        <v>326</v>
      </c>
      <c r="CS113" s="6"/>
      <c r="CT113" s="4"/>
      <c r="CU113" s="4"/>
      <c r="CV113" s="4"/>
      <c r="CY113" s="4"/>
      <c r="CZ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65" t="s">
        <v>90</v>
      </c>
      <c r="EG113" s="64" t="s">
        <v>94</v>
      </c>
    </row>
    <row r="114" spans="5:169" ht="17" thickBot="1" x14ac:dyDescent="0.25">
      <c r="N114" s="112" t="s">
        <v>48</v>
      </c>
      <c r="O114" s="322"/>
      <c r="P114" s="137" t="s">
        <v>48</v>
      </c>
      <c r="S114" s="4"/>
      <c r="T114" s="4"/>
      <c r="U114" s="4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15" t="s">
        <v>266</v>
      </c>
      <c r="BE114" s="115" t="s">
        <v>250</v>
      </c>
      <c r="BF114" s="115">
        <v>332</v>
      </c>
      <c r="BG114" s="15">
        <f>BF114*Btu_to_kJ</f>
        <v>350.27992000000006</v>
      </c>
      <c r="BH114" s="15">
        <f>BG114*($AV$131/1000)</f>
        <v>3.6526420033268314</v>
      </c>
      <c r="BI114" s="15">
        <v>1</v>
      </c>
      <c r="BJ114" s="15">
        <f t="shared" ref="BJ114:BJ115" si="40">BH114*BI114</f>
        <v>3.6526420033268314</v>
      </c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CE114" s="6"/>
      <c r="CF114" s="6"/>
      <c r="CG114" s="6"/>
      <c r="CH114" s="6"/>
      <c r="CI114" s="6"/>
      <c r="CJ114" s="6"/>
      <c r="CK114" s="6"/>
      <c r="CL114" s="6"/>
      <c r="CM114" s="114" t="s">
        <v>552</v>
      </c>
      <c r="CN114" s="114"/>
      <c r="CO114" s="114"/>
      <c r="CP114" s="6"/>
      <c r="CQ114" s="123">
        <f>CH119</f>
        <v>4.9847525450981189</v>
      </c>
      <c r="CR114" s="124">
        <f>CR119</f>
        <v>7739.2511800711582</v>
      </c>
      <c r="CS114" s="114"/>
      <c r="CT114" s="4"/>
      <c r="CU114" s="4"/>
      <c r="CX114" s="4"/>
      <c r="CY114" s="4"/>
      <c r="DV114" s="4"/>
      <c r="DW114" s="4"/>
      <c r="DX114" s="4"/>
      <c r="DY114" s="4"/>
      <c r="DZ114" s="4"/>
      <c r="EA114" s="4"/>
      <c r="EB114" s="4" t="s">
        <v>487</v>
      </c>
      <c r="EC114" s="4"/>
      <c r="ED114" s="4"/>
      <c r="EE114" s="4"/>
      <c r="EF114" s="50">
        <f>DX119</f>
        <v>44.774669200794314</v>
      </c>
      <c r="EG114" s="48">
        <f>EG119</f>
        <v>2321518.855933811</v>
      </c>
      <c r="EJ114" s="311" t="s">
        <v>448</v>
      </c>
      <c r="EK114" s="311"/>
      <c r="EL114" s="311"/>
      <c r="EM114" s="311"/>
      <c r="EN114" s="311"/>
      <c r="EO114" s="311"/>
    </row>
    <row r="115" spans="5:169" ht="17" thickBot="1" x14ac:dyDescent="0.25">
      <c r="N115" s="125">
        <f>0-U126</f>
        <v>-25394.240916408646</v>
      </c>
      <c r="O115" s="140" t="s">
        <v>342</v>
      </c>
      <c r="P115" s="137">
        <f>(($N$130*($T$130-0)))</f>
        <v>20716.65209277975</v>
      </c>
      <c r="S115" s="4"/>
      <c r="T115" s="4"/>
      <c r="U115" s="4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15" t="s">
        <v>266</v>
      </c>
      <c r="BE115" s="115" t="s">
        <v>260</v>
      </c>
      <c r="BF115" s="115">
        <v>165</v>
      </c>
      <c r="BG115" s="15">
        <f>BF115*Btu_to_kJ</f>
        <v>174.0849</v>
      </c>
      <c r="BH115" s="15">
        <f>BG115*($AV$131/1000)</f>
        <v>1.8153190679184552</v>
      </c>
      <c r="BI115" s="15">
        <v>1</v>
      </c>
      <c r="BJ115" s="15">
        <f t="shared" si="40"/>
        <v>1.8153190679184552</v>
      </c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CE115" s="6"/>
      <c r="CF115" s="6"/>
      <c r="CG115" s="6"/>
      <c r="CH115" s="6"/>
      <c r="CI115" s="6"/>
      <c r="CJ115" s="6"/>
      <c r="CK115" s="6"/>
      <c r="CL115" s="6"/>
      <c r="CM115" s="114"/>
      <c r="CN115" s="114"/>
      <c r="CO115" s="6"/>
      <c r="CP115" s="6"/>
      <c r="CQ115" s="114"/>
      <c r="CR115" s="4"/>
      <c r="CS115" s="4"/>
      <c r="CT115" s="4"/>
      <c r="CW115" s="4"/>
      <c r="CX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J115" s="15" t="s">
        <v>265</v>
      </c>
      <c r="EK115" s="115" t="s">
        <v>236</v>
      </c>
      <c r="EL115" s="115" t="s">
        <v>236</v>
      </c>
      <c r="EM115" s="115" t="s">
        <v>236</v>
      </c>
      <c r="EN115" s="116" t="s">
        <v>323</v>
      </c>
      <c r="EO115" s="115" t="s">
        <v>317</v>
      </c>
    </row>
    <row r="116" spans="5:169" ht="19.25" customHeight="1" thickBot="1" x14ac:dyDescent="0.3">
      <c r="N116" s="6"/>
      <c r="O116" s="140" t="s">
        <v>343</v>
      </c>
      <c r="P116" s="137">
        <f>U126</f>
        <v>25394.240916408646</v>
      </c>
      <c r="S116" s="4"/>
      <c r="T116" s="4"/>
      <c r="U116" s="4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15"/>
      <c r="BE116" s="115" t="s">
        <v>19</v>
      </c>
      <c r="BF116" s="115">
        <f>SUM(BF113:BF115)</f>
        <v>3152</v>
      </c>
      <c r="BG116" s="115">
        <f>SUM(BG113:BG115)</f>
        <v>3325.5491200000001</v>
      </c>
      <c r="BH116" s="115">
        <f>SUM(BH113:BH115)</f>
        <v>34.678095164114971</v>
      </c>
      <c r="BI116" s="115"/>
      <c r="BJ116" s="115">
        <f>SUM(BJ113:BJ115)</f>
        <v>34.678095164114971</v>
      </c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CE116" s="6"/>
      <c r="CF116" s="6"/>
      <c r="CG116" s="4"/>
      <c r="CH116" s="1" t="s">
        <v>577</v>
      </c>
      <c r="CI116" s="1" t="s">
        <v>578</v>
      </c>
      <c r="CJ116" s="1" t="s">
        <v>580</v>
      </c>
      <c r="CK116" s="1" t="s">
        <v>86</v>
      </c>
      <c r="CL116" s="1" t="s">
        <v>6</v>
      </c>
      <c r="CM116" s="1" t="s">
        <v>7</v>
      </c>
      <c r="CN116" s="1" t="s">
        <v>8</v>
      </c>
      <c r="CO116" s="1" t="s">
        <v>9</v>
      </c>
      <c r="CP116" s="1" t="s">
        <v>49</v>
      </c>
      <c r="CQ116" s="1" t="s">
        <v>579</v>
      </c>
      <c r="CR116" s="1" t="s">
        <v>50</v>
      </c>
      <c r="CS116" s="6"/>
      <c r="CT116" s="4"/>
      <c r="CW116" s="4"/>
      <c r="CX116" s="4"/>
      <c r="DO116" s="312" t="s">
        <v>486</v>
      </c>
      <c r="DP116" s="312"/>
      <c r="DQ116" s="312"/>
      <c r="DR116" s="312"/>
      <c r="DS116" s="312"/>
      <c r="DT116" s="312"/>
      <c r="DV116" s="4"/>
      <c r="DW116" s="3" t="s">
        <v>583</v>
      </c>
      <c r="DX116" s="1" t="s">
        <v>577</v>
      </c>
      <c r="DY116" s="3" t="s">
        <v>5</v>
      </c>
      <c r="DZ116" s="1" t="s">
        <v>86</v>
      </c>
      <c r="EA116" s="1" t="s">
        <v>6</v>
      </c>
      <c r="EB116" s="1" t="s">
        <v>7</v>
      </c>
      <c r="EC116" s="1" t="s">
        <v>8</v>
      </c>
      <c r="ED116" s="1" t="s">
        <v>9</v>
      </c>
      <c r="EE116" s="1" t="s">
        <v>49</v>
      </c>
      <c r="EF116" s="1" t="s">
        <v>579</v>
      </c>
      <c r="EG116" s="1" t="s">
        <v>50</v>
      </c>
      <c r="EJ116" s="15" t="s">
        <v>99</v>
      </c>
      <c r="EK116" s="115" t="s">
        <v>231</v>
      </c>
      <c r="EL116" s="115" t="s">
        <v>330</v>
      </c>
      <c r="EM116" s="115" t="s">
        <v>48</v>
      </c>
      <c r="EN116" s="116" t="s">
        <v>99</v>
      </c>
      <c r="EO116" s="115" t="s">
        <v>48</v>
      </c>
    </row>
    <row r="117" spans="5:169" ht="19" thickBot="1" x14ac:dyDescent="0.3">
      <c r="N117" s="6"/>
      <c r="O117" s="141" t="s">
        <v>344</v>
      </c>
      <c r="P117" s="138">
        <f>U130</f>
        <v>22010.978428607345</v>
      </c>
      <c r="S117" s="4"/>
      <c r="T117" s="4"/>
      <c r="U117" s="4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CE117" s="6"/>
      <c r="CF117" s="6"/>
      <c r="CG117" s="4" t="s">
        <v>41</v>
      </c>
      <c r="CH117" s="1" t="s">
        <v>89</v>
      </c>
      <c r="CI117" s="4" t="s">
        <v>284</v>
      </c>
      <c r="CJ117" s="2" t="s">
        <v>91</v>
      </c>
      <c r="CK117" s="2" t="s">
        <v>87</v>
      </c>
      <c r="CL117" s="2" t="s">
        <v>96</v>
      </c>
      <c r="CM117" s="2" t="s">
        <v>25</v>
      </c>
      <c r="CN117" s="2" t="s">
        <v>99</v>
      </c>
      <c r="CO117" s="2" t="s">
        <v>96</v>
      </c>
      <c r="CP117" s="2" t="s">
        <v>96</v>
      </c>
      <c r="CQ117" s="2" t="s">
        <v>95</v>
      </c>
      <c r="CR117" s="2" t="s">
        <v>93</v>
      </c>
      <c r="CS117" s="6"/>
      <c r="CT117" s="4"/>
      <c r="CU117" s="4"/>
      <c r="CV117" s="4"/>
      <c r="CY117" s="4"/>
      <c r="CZ117" s="4"/>
      <c r="DO117" s="313"/>
      <c r="DP117" s="313"/>
      <c r="DQ117" s="313"/>
      <c r="DR117" s="313"/>
      <c r="DS117" s="313"/>
      <c r="DT117" s="313"/>
      <c r="DV117" s="4" t="s">
        <v>41</v>
      </c>
      <c r="DW117" s="3" t="s">
        <v>582</v>
      </c>
      <c r="DX117" s="1" t="s">
        <v>89</v>
      </c>
      <c r="DY117" s="1" t="s">
        <v>91</v>
      </c>
      <c r="DZ117" s="1" t="s">
        <v>87</v>
      </c>
      <c r="EA117" s="1" t="s">
        <v>96</v>
      </c>
      <c r="EB117" s="1" t="s">
        <v>25</v>
      </c>
      <c r="EC117" s="1" t="s">
        <v>99</v>
      </c>
      <c r="ED117" s="1" t="s">
        <v>96</v>
      </c>
      <c r="EE117" s="1" t="s">
        <v>96</v>
      </c>
      <c r="EF117" s="1" t="s">
        <v>95</v>
      </c>
      <c r="EG117" s="1" t="s">
        <v>93</v>
      </c>
      <c r="EJ117" s="15" t="s">
        <v>266</v>
      </c>
      <c r="EK117" s="115">
        <f>0.23*10^6</f>
        <v>230000</v>
      </c>
      <c r="EL117" s="15">
        <f>EK117*Btu_to_kJ</f>
        <v>242663.80000000002</v>
      </c>
      <c r="EM117" s="15">
        <f>EL117*($EF$126/1000)</f>
        <v>317844.87395625591</v>
      </c>
      <c r="EN117" s="269">
        <v>1</v>
      </c>
      <c r="EO117" s="271">
        <f t="shared" ref="EO117" si="41">EM117*EN117</f>
        <v>317844.87395625591</v>
      </c>
    </row>
    <row r="118" spans="5:169" ht="17" x14ac:dyDescent="0.25">
      <c r="S118" s="4"/>
      <c r="T118" s="4"/>
      <c r="U118" s="4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R118" s="1"/>
      <c r="BS118" s="1"/>
      <c r="BT118" s="1"/>
      <c r="CE118" s="6"/>
      <c r="CF118" s="256" t="s">
        <v>552</v>
      </c>
      <c r="CG118" s="113" t="s">
        <v>180</v>
      </c>
      <c r="CH118" s="33">
        <f>MgO_out</f>
        <v>4.9847525450981189</v>
      </c>
      <c r="CI118" s="33">
        <v>1</v>
      </c>
      <c r="CJ118" s="33">
        <f>MW_MgO</f>
        <v>4.0304400000000004E-2</v>
      </c>
      <c r="CK118" s="33">
        <f>CH118/CJ118</f>
        <v>123.67762688684408</v>
      </c>
      <c r="CL118" s="33">
        <f>b_ch_MgO</f>
        <v>62.576000000000022</v>
      </c>
      <c r="CM118" s="126">
        <f>CK118/CK119</f>
        <v>1</v>
      </c>
      <c r="CN118" s="126">
        <f>LN(CM118)</f>
        <v>0</v>
      </c>
      <c r="CO118" s="126">
        <f>RT0*CN118</f>
        <v>0</v>
      </c>
      <c r="CP118" s="33">
        <f>CO118+CL118</f>
        <v>62.576000000000022</v>
      </c>
      <c r="CQ118" s="33">
        <f>CP118*CM118</f>
        <v>62.576000000000022</v>
      </c>
      <c r="CR118" s="126">
        <f>CQ118*CK119</f>
        <v>7739.2511800711582</v>
      </c>
      <c r="CS118" s="114"/>
      <c r="CT118" s="4"/>
      <c r="CU118" s="4"/>
      <c r="CV118" s="4"/>
      <c r="CW118" s="4"/>
      <c r="CZ118" s="4"/>
      <c r="DA118" s="4"/>
      <c r="DO118" s="15" t="s">
        <v>265</v>
      </c>
      <c r="DP118" s="115" t="s">
        <v>236</v>
      </c>
      <c r="DQ118" s="115" t="s">
        <v>236</v>
      </c>
      <c r="DR118" s="115" t="s">
        <v>236</v>
      </c>
      <c r="DS118" s="116" t="s">
        <v>323</v>
      </c>
      <c r="DT118" s="115" t="s">
        <v>317</v>
      </c>
      <c r="DU118" s="223" t="s">
        <v>487</v>
      </c>
      <c r="DV118" s="96" t="s">
        <v>65</v>
      </c>
      <c r="DW118" s="17">
        <f>DR120</f>
        <v>2238733.4600397157</v>
      </c>
      <c r="DX118" s="17">
        <f>DW118/LHV_CH4</f>
        <v>44.774669200794314</v>
      </c>
      <c r="DY118" s="17">
        <f>MW_CH4</f>
        <v>1.604276E-2</v>
      </c>
      <c r="DZ118" s="17">
        <f>DX118/DY118</f>
        <v>2790.9579898218458</v>
      </c>
      <c r="EA118" s="17">
        <f>b_ch_CH4</f>
        <v>831.8</v>
      </c>
      <c r="EB118" s="17">
        <f>DZ118/DZ119</f>
        <v>1</v>
      </c>
      <c r="EC118" s="17">
        <f>LN(EB118)</f>
        <v>0</v>
      </c>
      <c r="ED118" s="17">
        <f>RT0*EC118</f>
        <v>0</v>
      </c>
      <c r="EE118" s="17">
        <f>ED118+EA118</f>
        <v>831.8</v>
      </c>
      <c r="EF118" s="17">
        <f>EB118*EE118</f>
        <v>831.8</v>
      </c>
      <c r="EG118" s="17">
        <f>EF118*DZ119</f>
        <v>2321518.855933811</v>
      </c>
    </row>
    <row r="119" spans="5:169" ht="18" x14ac:dyDescent="0.25">
      <c r="S119" s="4"/>
      <c r="T119" s="4"/>
      <c r="U119" s="4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114"/>
      <c r="BC119" s="114"/>
      <c r="BD119" s="114"/>
      <c r="BE119" s="114"/>
      <c r="BF119" s="114"/>
      <c r="BG119" s="114"/>
      <c r="BH119" s="114"/>
      <c r="BI119" s="114"/>
      <c r="BJ119" s="6"/>
      <c r="BK119" s="6"/>
      <c r="BL119" s="6"/>
      <c r="BM119" s="6"/>
      <c r="BN119" s="6"/>
      <c r="BO119" s="6"/>
      <c r="BP119" s="6"/>
      <c r="BR119" s="1"/>
      <c r="BS119" s="1"/>
      <c r="BT119" s="1"/>
      <c r="BU119" s="4"/>
      <c r="CE119" s="6"/>
      <c r="CF119" s="114"/>
      <c r="CG119" s="6" t="s">
        <v>19</v>
      </c>
      <c r="CH119" s="6">
        <f>SUM(CH118)</f>
        <v>4.9847525450981189</v>
      </c>
      <c r="CI119" s="6"/>
      <c r="CJ119" s="6">
        <f>SUM(CJ118)</f>
        <v>4.0304400000000004E-2</v>
      </c>
      <c r="CK119" s="6">
        <f>SUM(CK118)</f>
        <v>123.67762688684408</v>
      </c>
      <c r="CL119" s="6"/>
      <c r="CM119" s="6"/>
      <c r="CN119" s="114"/>
      <c r="CO119" s="114"/>
      <c r="CP119" s="6"/>
      <c r="CQ119" s="6">
        <f>SUM(CQ118)</f>
        <v>62.576000000000022</v>
      </c>
      <c r="CR119" s="6">
        <f>SUM(CR118)</f>
        <v>7739.2511800711582</v>
      </c>
      <c r="CS119" s="6"/>
      <c r="CT119" s="4"/>
      <c r="CU119" s="4"/>
      <c r="CV119" s="4"/>
      <c r="CW119" s="4"/>
      <c r="CZ119" s="4"/>
      <c r="DA119" s="4"/>
      <c r="DO119" s="15" t="s">
        <v>99</v>
      </c>
      <c r="DP119" s="115" t="s">
        <v>231</v>
      </c>
      <c r="DQ119" s="115" t="s">
        <v>330</v>
      </c>
      <c r="DR119" s="115" t="s">
        <v>48</v>
      </c>
      <c r="DS119" s="116" t="s">
        <v>99</v>
      </c>
      <c r="DT119" s="115" t="s">
        <v>48</v>
      </c>
      <c r="DV119" s="17" t="s">
        <v>19</v>
      </c>
      <c r="DW119" s="17">
        <f>SUM(DW118)</f>
        <v>2238733.4600397157</v>
      </c>
      <c r="DX119" s="17">
        <f>SUM(DX118)</f>
        <v>44.774669200794314</v>
      </c>
      <c r="DY119" s="17">
        <f>SUM(DY118)</f>
        <v>1.604276E-2</v>
      </c>
      <c r="DZ119" s="17">
        <f>SUM(DZ118)</f>
        <v>2790.9579898218458</v>
      </c>
      <c r="EA119" s="17"/>
      <c r="EB119" s="17"/>
      <c r="EC119" s="17"/>
      <c r="ED119" s="17"/>
      <c r="EE119" s="17"/>
      <c r="EF119" s="17">
        <f>SUM(EF118)</f>
        <v>831.8</v>
      </c>
      <c r="EG119" s="17">
        <f>SUM(EG118)</f>
        <v>2321518.855933811</v>
      </c>
    </row>
    <row r="120" spans="5:169" ht="18" x14ac:dyDescent="0.25">
      <c r="S120" s="4"/>
      <c r="T120" s="4"/>
      <c r="U120" s="4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4"/>
      <c r="BT120" s="6"/>
      <c r="BU120" s="6"/>
      <c r="CE120" s="6"/>
      <c r="CF120" s="6"/>
      <c r="CG120" s="6"/>
      <c r="CH120" s="6" t="s">
        <v>325</v>
      </c>
      <c r="CI120" s="6"/>
      <c r="CJ120" s="114" t="s">
        <v>332</v>
      </c>
      <c r="CK120" s="114" t="s">
        <v>333</v>
      </c>
      <c r="CL120" s="6"/>
      <c r="CM120" s="6"/>
      <c r="CN120" s="114"/>
      <c r="CO120" s="114"/>
      <c r="CP120" s="114"/>
      <c r="CQ120" s="114" t="s">
        <v>334</v>
      </c>
      <c r="CR120" s="6" t="s">
        <v>326</v>
      </c>
      <c r="CS120" s="6"/>
      <c r="CT120" s="4"/>
      <c r="CU120" s="4"/>
      <c r="CV120" s="4"/>
      <c r="CW120" s="4"/>
      <c r="CZ120" s="4"/>
      <c r="DA120" s="4"/>
      <c r="DO120" s="15" t="s">
        <v>289</v>
      </c>
      <c r="DP120" s="115">
        <f>1.62*10^6</f>
        <v>1620000</v>
      </c>
      <c r="DQ120" s="15">
        <f>DP120*Btu_to_kJ</f>
        <v>1709197.2000000002</v>
      </c>
      <c r="DR120" s="15">
        <f>DQ120*($EF$126/1000)</f>
        <v>2238733.4600397157</v>
      </c>
      <c r="DS120" s="15">
        <v>1.04</v>
      </c>
      <c r="DT120" s="15">
        <f>DR120*DS120</f>
        <v>2328282.7984413044</v>
      </c>
      <c r="DW120" s="3" t="s">
        <v>48</v>
      </c>
      <c r="DX120" s="1" t="s">
        <v>90</v>
      </c>
      <c r="DY120" s="3" t="s">
        <v>92</v>
      </c>
      <c r="DZ120" s="3" t="s">
        <v>88</v>
      </c>
      <c r="EA120" s="4"/>
      <c r="EB120" s="4"/>
      <c r="EF120" s="3" t="s">
        <v>97</v>
      </c>
      <c r="EG120" s="1" t="s">
        <v>94</v>
      </c>
    </row>
    <row r="121" spans="5:169" ht="19.25" customHeight="1" x14ac:dyDescent="0.2">
      <c r="S121" s="4"/>
      <c r="T121" s="4"/>
      <c r="U121" s="4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4"/>
      <c r="CQ121" s="4"/>
      <c r="CR121" s="4"/>
      <c r="CS121" s="4"/>
      <c r="CT121" s="4"/>
      <c r="CW121" s="4"/>
      <c r="CX121" s="4"/>
    </row>
    <row r="122" spans="5:169" ht="17" thickBot="1" x14ac:dyDescent="0.25">
      <c r="S122" s="4"/>
      <c r="T122" s="4"/>
      <c r="U122" s="4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F122" s="6"/>
      <c r="CG122" s="6"/>
      <c r="CH122" s="6"/>
      <c r="CI122" s="6"/>
      <c r="CJ122" s="6"/>
      <c r="CK122" s="6"/>
      <c r="CL122" s="6"/>
      <c r="CM122" s="6"/>
      <c r="CN122" s="6"/>
      <c r="CO122" s="6"/>
      <c r="CP122" s="4"/>
      <c r="CQ122" s="4"/>
      <c r="CR122" s="4"/>
      <c r="CS122" s="4"/>
      <c r="CT122" s="4"/>
      <c r="CW122" s="4"/>
      <c r="CX122" s="4"/>
    </row>
    <row r="123" spans="5:169" ht="17" thickBot="1" x14ac:dyDescent="0.25">
      <c r="T123" s="4"/>
      <c r="U123" s="4"/>
      <c r="V123" s="114"/>
      <c r="W123" s="6"/>
      <c r="X123" s="114"/>
      <c r="Y123" s="114"/>
      <c r="Z123" s="114"/>
      <c r="AA123" s="114"/>
      <c r="AB123" s="114"/>
      <c r="AC123" s="6"/>
      <c r="AD123" s="6"/>
      <c r="AE123" s="6"/>
      <c r="AF123" s="6"/>
      <c r="AG123" s="6"/>
      <c r="AH123" s="117" t="s">
        <v>322</v>
      </c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111" t="s">
        <v>341</v>
      </c>
      <c r="CB123" s="6"/>
      <c r="CC123" s="6"/>
      <c r="CD123" s="6"/>
      <c r="CE123" s="6"/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4"/>
      <c r="CT123" s="4"/>
      <c r="CU123" s="4"/>
      <c r="CV123" s="4"/>
      <c r="CW123" s="4"/>
      <c r="CZ123" s="4"/>
      <c r="DA123" s="4"/>
      <c r="ES123" s="1"/>
      <c r="ET123" s="1"/>
      <c r="EU123" s="1"/>
      <c r="EV123" s="1"/>
      <c r="EW123" s="1"/>
      <c r="EX123" s="1"/>
      <c r="EY123" s="1"/>
      <c r="EZ123" s="1"/>
    </row>
    <row r="124" spans="5:169" ht="16" x14ac:dyDescent="0.2">
      <c r="J124" s="117"/>
      <c r="K124" s="6"/>
      <c r="L124" s="6"/>
      <c r="M124" s="6"/>
      <c r="N124" s="6"/>
      <c r="O124" s="6"/>
      <c r="P124" s="6"/>
      <c r="Q124" s="6"/>
      <c r="R124" s="6"/>
      <c r="S124" s="6"/>
      <c r="T124" s="119" t="s">
        <v>1</v>
      </c>
      <c r="U124" s="120" t="s">
        <v>0</v>
      </c>
      <c r="V124" s="6"/>
      <c r="W124" s="3" t="s">
        <v>268</v>
      </c>
      <c r="X124" s="4"/>
      <c r="Y124" s="6"/>
      <c r="Z124" s="6"/>
      <c r="AA124" s="6"/>
      <c r="AB124" s="6"/>
      <c r="AC124" s="117"/>
      <c r="AD124" s="6"/>
      <c r="AE124" s="6"/>
      <c r="AF124" s="6"/>
      <c r="AG124" s="6"/>
      <c r="AH124" s="6"/>
      <c r="AI124" s="6"/>
      <c r="AJ124" s="6"/>
      <c r="AK124" s="6"/>
      <c r="AL124" s="6"/>
      <c r="AM124" s="119" t="s">
        <v>1</v>
      </c>
      <c r="AN124" s="120" t="s">
        <v>0</v>
      </c>
      <c r="AO124" s="6"/>
      <c r="AP124" s="6"/>
      <c r="AQ124" s="6"/>
      <c r="AR124" s="6"/>
      <c r="AS124" s="6"/>
      <c r="AT124" s="6"/>
      <c r="AU124" s="117"/>
      <c r="AV124" s="6"/>
      <c r="AW124" s="6"/>
      <c r="AX124" s="6"/>
      <c r="AY124" s="6"/>
      <c r="AZ124" s="6"/>
      <c r="BA124" s="6"/>
      <c r="BB124" s="6"/>
      <c r="BC124" s="6"/>
      <c r="BD124" s="6"/>
      <c r="BE124" s="119" t="s">
        <v>1</v>
      </c>
      <c r="BF124" s="120" t="s">
        <v>0</v>
      </c>
      <c r="BG124" s="6"/>
      <c r="BH124" s="6"/>
      <c r="BI124" s="6"/>
      <c r="BJ124" s="6"/>
      <c r="BK124" s="6"/>
      <c r="BL124" s="6"/>
      <c r="BM124" s="117"/>
      <c r="BN124" s="6"/>
      <c r="BO124" s="6"/>
      <c r="BP124" s="6"/>
      <c r="BQ124" s="6"/>
      <c r="BR124" s="6"/>
      <c r="BS124" s="6"/>
      <c r="BT124" s="6"/>
      <c r="BU124" s="6"/>
      <c r="BV124" s="6"/>
      <c r="BW124" s="119" t="s">
        <v>1</v>
      </c>
      <c r="BX124" s="120" t="s">
        <v>0</v>
      </c>
      <c r="BY124" s="114"/>
      <c r="BZ124" s="114"/>
      <c r="CA124" s="134" t="s">
        <v>63</v>
      </c>
      <c r="CB124" s="114"/>
      <c r="CC124" s="114"/>
      <c r="CD124" s="114"/>
      <c r="CE124" s="114"/>
      <c r="CF124" s="114"/>
      <c r="CG124" s="6"/>
      <c r="CH124" s="6"/>
      <c r="CI124" s="6"/>
      <c r="CJ124" s="6"/>
      <c r="CK124" s="6"/>
      <c r="CL124" s="6"/>
      <c r="CM124" s="6"/>
      <c r="CN124" s="114"/>
      <c r="CO124" s="114"/>
      <c r="CP124" s="6"/>
      <c r="CQ124" s="119" t="s">
        <v>1</v>
      </c>
      <c r="CR124" s="120" t="s">
        <v>0</v>
      </c>
      <c r="EF124" s="63" t="s">
        <v>1</v>
      </c>
      <c r="EG124" s="58" t="s">
        <v>0</v>
      </c>
      <c r="ES124" s="1"/>
      <c r="ET124" s="1"/>
      <c r="EU124" s="1"/>
      <c r="EV124" s="1"/>
      <c r="EW124" s="1"/>
      <c r="FE124" s="63" t="s">
        <v>1</v>
      </c>
      <c r="FF124" s="58" t="s">
        <v>0</v>
      </c>
    </row>
    <row r="125" spans="5:169" ht="19" thickBot="1" x14ac:dyDescent="0.3">
      <c r="J125" s="6"/>
      <c r="K125" s="121"/>
      <c r="L125" s="6"/>
      <c r="M125" s="6"/>
      <c r="N125" s="6"/>
      <c r="O125" s="6"/>
      <c r="P125" s="6"/>
      <c r="Q125" s="6"/>
      <c r="R125" s="6"/>
      <c r="S125" s="6"/>
      <c r="T125" s="108" t="s">
        <v>325</v>
      </c>
      <c r="U125" s="109" t="s">
        <v>326</v>
      </c>
      <c r="V125" s="6"/>
      <c r="W125" s="16" t="s">
        <v>269</v>
      </c>
      <c r="X125" s="4" t="s">
        <v>270</v>
      </c>
      <c r="Y125" s="6"/>
      <c r="Z125" s="6"/>
      <c r="AA125" s="6"/>
      <c r="AB125" s="6"/>
      <c r="AC125" s="6"/>
      <c r="AD125" s="121"/>
      <c r="AE125" s="6"/>
      <c r="AF125" s="6"/>
      <c r="AG125" s="6"/>
      <c r="AH125" s="6"/>
      <c r="AI125" s="6"/>
      <c r="AJ125" s="6"/>
      <c r="AK125" s="6"/>
      <c r="AL125" s="6"/>
      <c r="AM125" s="108" t="s">
        <v>325</v>
      </c>
      <c r="AN125" s="109" t="s">
        <v>326</v>
      </c>
      <c r="AO125" s="6"/>
      <c r="AP125" s="6"/>
      <c r="AQ125" s="6"/>
      <c r="AR125" s="6"/>
      <c r="AS125" s="6"/>
      <c r="AT125" s="6"/>
      <c r="AU125" s="6"/>
      <c r="AV125" s="121"/>
      <c r="AW125" s="6"/>
      <c r="AX125" s="6"/>
      <c r="AY125" s="6"/>
      <c r="AZ125" s="6"/>
      <c r="BA125" s="6"/>
      <c r="BB125" s="6"/>
      <c r="BC125" s="6"/>
      <c r="BD125" s="6"/>
      <c r="BE125" s="108" t="s">
        <v>325</v>
      </c>
      <c r="BF125" s="109" t="s">
        <v>326</v>
      </c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108" t="s">
        <v>325</v>
      </c>
      <c r="BX125" s="109" t="s">
        <v>326</v>
      </c>
      <c r="BY125" s="114"/>
      <c r="BZ125" s="114"/>
      <c r="CA125" s="135">
        <v>1173.1500000000001</v>
      </c>
      <c r="CB125" s="114"/>
      <c r="CC125" s="114"/>
      <c r="CD125" s="114"/>
      <c r="CE125" s="114"/>
      <c r="CF125" s="114"/>
      <c r="CG125" s="6"/>
      <c r="CH125" s="6"/>
      <c r="CI125" s="6"/>
      <c r="CJ125" s="6"/>
      <c r="CK125" s="6"/>
      <c r="CL125" s="6"/>
      <c r="CM125" s="6" t="s">
        <v>550</v>
      </c>
      <c r="CN125" s="114"/>
      <c r="CO125" s="114"/>
      <c r="CP125" s="6"/>
      <c r="CQ125" s="108" t="s">
        <v>325</v>
      </c>
      <c r="CR125" s="109" t="s">
        <v>326</v>
      </c>
      <c r="EF125" s="65" t="s">
        <v>90</v>
      </c>
      <c r="EG125" s="64" t="s">
        <v>94</v>
      </c>
      <c r="ES125" s="1"/>
      <c r="ET125" s="1"/>
      <c r="EU125" s="1"/>
      <c r="EV125" s="1"/>
      <c r="EW125" s="1"/>
      <c r="FE125" s="65" t="s">
        <v>90</v>
      </c>
      <c r="FF125" s="64" t="s">
        <v>94</v>
      </c>
    </row>
    <row r="126" spans="5:169" ht="16.25" customHeight="1" thickBot="1" x14ac:dyDescent="0.25">
      <c r="E126" s="339" t="s">
        <v>537</v>
      </c>
      <c r="F126" s="339"/>
      <c r="G126" s="339"/>
      <c r="H126" s="339"/>
      <c r="J126" s="6"/>
      <c r="K126" s="122"/>
      <c r="L126" s="6"/>
      <c r="M126" s="6"/>
      <c r="N126" s="6"/>
      <c r="O126" s="6"/>
      <c r="P126" s="6" t="s">
        <v>428</v>
      </c>
      <c r="Q126" s="6"/>
      <c r="R126" s="6"/>
      <c r="S126" s="6"/>
      <c r="T126" s="123">
        <f>K132</f>
        <v>208.55560337725498</v>
      </c>
      <c r="U126" s="124">
        <f>U132</f>
        <v>25394.240916408646</v>
      </c>
      <c r="V126" s="317" t="s">
        <v>419</v>
      </c>
      <c r="W126" s="317"/>
      <c r="X126" s="317"/>
      <c r="Y126" s="317"/>
      <c r="Z126" s="317"/>
      <c r="AA126" s="6"/>
      <c r="AB126" s="6"/>
      <c r="AC126" s="6"/>
      <c r="AD126" s="122"/>
      <c r="AE126" s="6"/>
      <c r="AF126" s="6"/>
      <c r="AG126" s="6"/>
      <c r="AH126" s="6"/>
      <c r="AI126" s="6" t="s">
        <v>536</v>
      </c>
      <c r="AJ126" s="6"/>
      <c r="AK126" s="6"/>
      <c r="AL126" s="6"/>
      <c r="AM126" s="123">
        <f>AD132</f>
        <v>208.55560337725498</v>
      </c>
      <c r="AN126" s="124">
        <f>AN132</f>
        <v>25394.240916408646</v>
      </c>
      <c r="AO126" s="317" t="s">
        <v>563</v>
      </c>
      <c r="AP126" s="317"/>
      <c r="AQ126" s="317"/>
      <c r="AR126" s="317"/>
      <c r="AS126" s="317"/>
      <c r="AT126" s="6"/>
      <c r="AU126" s="6"/>
      <c r="AV126" s="122"/>
      <c r="AW126" s="6"/>
      <c r="AX126" s="6"/>
      <c r="AY126" s="6"/>
      <c r="AZ126" s="6"/>
      <c r="BA126" s="6" t="s">
        <v>564</v>
      </c>
      <c r="BB126" s="6"/>
      <c r="BC126" s="6"/>
      <c r="BD126" s="6"/>
      <c r="BE126" s="123">
        <f>AV132</f>
        <v>208.55560337725498</v>
      </c>
      <c r="BF126" s="124">
        <f>BF132</f>
        <v>25394.240916408646</v>
      </c>
      <c r="BG126" s="317" t="s">
        <v>444</v>
      </c>
      <c r="BH126" s="317"/>
      <c r="BI126" s="317"/>
      <c r="BJ126" s="317"/>
      <c r="BK126" s="317"/>
      <c r="BL126" s="6"/>
      <c r="BM126" s="6"/>
      <c r="BN126" s="122"/>
      <c r="BO126" s="6"/>
      <c r="BP126" s="6"/>
      <c r="BQ126" s="6"/>
      <c r="BR126" s="6"/>
      <c r="BS126" s="6" t="s">
        <v>495</v>
      </c>
      <c r="BT126" s="6"/>
      <c r="BU126" s="6"/>
      <c r="BV126" s="6"/>
      <c r="BW126" s="123">
        <f>BN132</f>
        <v>208.55560337725498</v>
      </c>
      <c r="BX126" s="124">
        <f>BX132</f>
        <v>25394.240916408646</v>
      </c>
      <c r="BY126" s="317" t="s">
        <v>445</v>
      </c>
      <c r="BZ126" s="317"/>
      <c r="CA126" s="317"/>
      <c r="CB126" s="317"/>
      <c r="CC126" s="317"/>
      <c r="CD126" s="6"/>
      <c r="CE126" s="6"/>
      <c r="CF126" s="114"/>
      <c r="CG126" s="6"/>
      <c r="CH126" s="6"/>
      <c r="CI126" s="6"/>
      <c r="CJ126" s="6"/>
      <c r="CK126" s="6"/>
      <c r="CL126" s="6"/>
      <c r="CM126" s="6"/>
      <c r="CN126" s="114"/>
      <c r="CO126" s="114"/>
      <c r="CP126" s="6"/>
      <c r="CQ126" s="123">
        <f>CH131</f>
        <v>111.00813284002646</v>
      </c>
      <c r="CR126" s="124">
        <f>CR131</f>
        <v>242016.07607977447</v>
      </c>
      <c r="DN126" s="320" t="s">
        <v>81</v>
      </c>
      <c r="DO126" s="320"/>
      <c r="DP126" s="320"/>
      <c r="DQ126" s="320"/>
      <c r="DR126" s="320"/>
      <c r="DS126" s="320"/>
      <c r="DT126" s="320"/>
      <c r="EA126" s="3" t="s">
        <v>573</v>
      </c>
      <c r="EF126" s="174">
        <f>DW134</f>
        <v>1309.8157778632656</v>
      </c>
      <c r="EG126" s="175">
        <f>EG134</f>
        <v>7072531.8830895294</v>
      </c>
      <c r="EH126" s="316" t="s">
        <v>430</v>
      </c>
      <c r="EI126" s="316"/>
      <c r="EJ126" s="316"/>
      <c r="EK126" s="316"/>
      <c r="EL126" s="316"/>
      <c r="EM126" s="316"/>
      <c r="EN126" s="316"/>
      <c r="ES126" s="1"/>
      <c r="ET126" s="1"/>
      <c r="EU126" s="1"/>
      <c r="EV126" s="1"/>
      <c r="EW126" s="1"/>
      <c r="EX126" s="1"/>
      <c r="EY126" s="3" t="s">
        <v>574</v>
      </c>
      <c r="FE126" s="50">
        <f>EV131</f>
        <v>616.23583583508366</v>
      </c>
      <c r="FF126" s="48">
        <f>FF131</f>
        <v>4157895.2984628798</v>
      </c>
      <c r="FG126" s="316" t="s">
        <v>424</v>
      </c>
      <c r="FH126" s="316"/>
      <c r="FI126" s="316"/>
      <c r="FJ126" s="316"/>
      <c r="FK126" s="316"/>
      <c r="FL126" s="316"/>
      <c r="FM126" s="316"/>
    </row>
    <row r="127" spans="5:169" ht="16.25" customHeight="1" thickBot="1" x14ac:dyDescent="0.25">
      <c r="E127" s="339"/>
      <c r="F127" s="339"/>
      <c r="G127" s="339"/>
      <c r="H127" s="339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335"/>
      <c r="W127" s="335"/>
      <c r="X127" s="335"/>
      <c r="Y127" s="335"/>
      <c r="Z127" s="335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317"/>
      <c r="AP127" s="317"/>
      <c r="AQ127" s="317"/>
      <c r="AR127" s="317"/>
      <c r="AS127" s="317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317"/>
      <c r="BH127" s="317"/>
      <c r="BI127" s="317"/>
      <c r="BJ127" s="317"/>
      <c r="BK127" s="317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317"/>
      <c r="BZ127" s="317"/>
      <c r="CA127" s="317"/>
      <c r="CB127" s="317"/>
      <c r="CC127" s="317"/>
      <c r="CD127" s="114"/>
      <c r="CE127" s="114"/>
      <c r="CF127" s="114"/>
      <c r="CG127" s="6"/>
      <c r="CH127" s="6"/>
      <c r="CI127" s="6"/>
      <c r="CJ127" s="6"/>
      <c r="CK127" s="6"/>
      <c r="CL127" s="6"/>
      <c r="CM127" s="6"/>
      <c r="CN127" s="114"/>
      <c r="CO127" s="114"/>
      <c r="CP127" s="6"/>
      <c r="CQ127" s="6"/>
      <c r="CR127" s="114"/>
      <c r="DN127" s="320"/>
      <c r="DO127" s="320"/>
      <c r="DP127" s="320"/>
      <c r="DQ127" s="320"/>
      <c r="DR127" s="320"/>
      <c r="DS127" s="320"/>
      <c r="DT127" s="320"/>
      <c r="EH127" s="316"/>
      <c r="EI127" s="316"/>
      <c r="EJ127" s="316"/>
      <c r="EK127" s="316"/>
      <c r="EL127" s="316"/>
      <c r="EM127" s="316"/>
      <c r="EN127" s="316"/>
      <c r="ES127" s="1"/>
      <c r="ET127" s="1"/>
      <c r="EU127" s="1"/>
      <c r="EV127" s="1"/>
      <c r="EW127" s="1"/>
      <c r="EX127" s="1"/>
      <c r="EY127" s="1"/>
      <c r="EZ127" s="1"/>
      <c r="FG127" s="316"/>
      <c r="FH127" s="316"/>
      <c r="FI127" s="316"/>
      <c r="FJ127" s="316"/>
      <c r="FK127" s="316"/>
      <c r="FL127" s="316"/>
      <c r="FM127" s="316"/>
    </row>
    <row r="128" spans="5:169" ht="19.75" customHeight="1" thickBot="1" x14ac:dyDescent="0.3">
      <c r="J128" s="4"/>
      <c r="K128" s="1" t="s">
        <v>577</v>
      </c>
      <c r="L128" s="1" t="s">
        <v>578</v>
      </c>
      <c r="M128" s="1" t="s">
        <v>580</v>
      </c>
      <c r="N128" s="1" t="s">
        <v>86</v>
      </c>
      <c r="O128" s="1" t="s">
        <v>6</v>
      </c>
      <c r="P128" s="1" t="s">
        <v>7</v>
      </c>
      <c r="Q128" s="1" t="s">
        <v>8</v>
      </c>
      <c r="R128" s="1" t="s">
        <v>9</v>
      </c>
      <c r="S128" s="1" t="s">
        <v>49</v>
      </c>
      <c r="T128" s="1" t="s">
        <v>579</v>
      </c>
      <c r="U128" s="1" t="s">
        <v>50</v>
      </c>
      <c r="V128" s="22" t="s">
        <v>434</v>
      </c>
      <c r="W128" s="101" t="s">
        <v>489</v>
      </c>
      <c r="X128" s="136" t="s">
        <v>349</v>
      </c>
      <c r="Y128" s="321" t="s">
        <v>345</v>
      </c>
      <c r="Z128" s="139" t="s">
        <v>318</v>
      </c>
      <c r="AA128" s="1"/>
      <c r="AB128" s="6"/>
      <c r="AC128" s="4"/>
      <c r="AD128" s="1" t="s">
        <v>577</v>
      </c>
      <c r="AE128" s="1" t="s">
        <v>578</v>
      </c>
      <c r="AF128" s="1" t="s">
        <v>580</v>
      </c>
      <c r="AG128" s="1" t="s">
        <v>86</v>
      </c>
      <c r="AH128" s="1" t="s">
        <v>6</v>
      </c>
      <c r="AI128" s="1" t="s">
        <v>7</v>
      </c>
      <c r="AJ128" s="1" t="s">
        <v>8</v>
      </c>
      <c r="AK128" s="1" t="s">
        <v>9</v>
      </c>
      <c r="AL128" s="1" t="s">
        <v>49</v>
      </c>
      <c r="AM128" s="1" t="s">
        <v>579</v>
      </c>
      <c r="AN128" s="1" t="s">
        <v>50</v>
      </c>
      <c r="AO128" s="22" t="s">
        <v>434</v>
      </c>
      <c r="AP128" s="101" t="s">
        <v>489</v>
      </c>
      <c r="AQ128" s="136" t="s">
        <v>349</v>
      </c>
      <c r="AR128" s="321" t="s">
        <v>345</v>
      </c>
      <c r="AS128" s="139" t="s">
        <v>318</v>
      </c>
      <c r="AT128" s="1"/>
      <c r="AU128" s="4"/>
      <c r="AV128" s="1" t="s">
        <v>577</v>
      </c>
      <c r="AW128" s="1" t="s">
        <v>578</v>
      </c>
      <c r="AX128" s="1" t="s">
        <v>580</v>
      </c>
      <c r="AY128" s="1" t="s">
        <v>86</v>
      </c>
      <c r="AZ128" s="1" t="s">
        <v>6</v>
      </c>
      <c r="BA128" s="1" t="s">
        <v>7</v>
      </c>
      <c r="BB128" s="1" t="s">
        <v>8</v>
      </c>
      <c r="BC128" s="1" t="s">
        <v>9</v>
      </c>
      <c r="BD128" s="1" t="s">
        <v>49</v>
      </c>
      <c r="BE128" s="1" t="s">
        <v>579</v>
      </c>
      <c r="BF128" s="1" t="s">
        <v>50</v>
      </c>
      <c r="BG128" s="22" t="s">
        <v>434</v>
      </c>
      <c r="BH128" s="101" t="s">
        <v>489</v>
      </c>
      <c r="BI128" s="136" t="s">
        <v>349</v>
      </c>
      <c r="BJ128" s="321" t="s">
        <v>345</v>
      </c>
      <c r="BK128" s="139" t="s">
        <v>318</v>
      </c>
      <c r="BL128" s="1"/>
      <c r="BM128" s="4"/>
      <c r="BN128" s="1" t="s">
        <v>577</v>
      </c>
      <c r="BO128" s="1" t="s">
        <v>578</v>
      </c>
      <c r="BP128" s="1" t="s">
        <v>580</v>
      </c>
      <c r="BQ128" s="1" t="s">
        <v>86</v>
      </c>
      <c r="BR128" s="1" t="s">
        <v>6</v>
      </c>
      <c r="BS128" s="1" t="s">
        <v>7</v>
      </c>
      <c r="BT128" s="1" t="s">
        <v>8</v>
      </c>
      <c r="BU128" s="1" t="s">
        <v>9</v>
      </c>
      <c r="BV128" s="1" t="s">
        <v>49</v>
      </c>
      <c r="BW128" s="1" t="s">
        <v>579</v>
      </c>
      <c r="BX128" s="1" t="s">
        <v>50</v>
      </c>
      <c r="BY128" s="22" t="s">
        <v>434</v>
      </c>
      <c r="BZ128" s="101" t="s">
        <v>489</v>
      </c>
      <c r="CA128" s="136" t="s">
        <v>349</v>
      </c>
      <c r="CB128" s="321" t="s">
        <v>345</v>
      </c>
      <c r="CC128" s="139" t="s">
        <v>318</v>
      </c>
      <c r="CD128" s="114"/>
      <c r="CE128" s="114"/>
      <c r="CF128" s="114"/>
      <c r="CG128" s="4"/>
      <c r="CH128" s="1" t="s">
        <v>577</v>
      </c>
      <c r="CI128" s="1" t="s">
        <v>578</v>
      </c>
      <c r="CJ128" s="1" t="s">
        <v>580</v>
      </c>
      <c r="CK128" s="1" t="s">
        <v>86</v>
      </c>
      <c r="CL128" s="1" t="s">
        <v>6</v>
      </c>
      <c r="CM128" s="1" t="s">
        <v>7</v>
      </c>
      <c r="CN128" s="1" t="s">
        <v>8</v>
      </c>
      <c r="CO128" s="1" t="s">
        <v>9</v>
      </c>
      <c r="CP128" s="1" t="s">
        <v>49</v>
      </c>
      <c r="CQ128" s="1" t="s">
        <v>579</v>
      </c>
      <c r="CR128" s="1" t="s">
        <v>50</v>
      </c>
      <c r="DN128" s="320"/>
      <c r="DO128" s="320"/>
      <c r="DP128" s="320"/>
      <c r="DQ128" s="320"/>
      <c r="DR128" s="320"/>
      <c r="DS128" s="320"/>
      <c r="DT128" s="320"/>
      <c r="DV128" s="4"/>
      <c r="DW128" s="1" t="s">
        <v>577</v>
      </c>
      <c r="DX128" s="1" t="s">
        <v>578</v>
      </c>
      <c r="DY128" s="1" t="s">
        <v>580</v>
      </c>
      <c r="DZ128" s="1" t="s">
        <v>86</v>
      </c>
      <c r="EA128" s="1" t="s">
        <v>6</v>
      </c>
      <c r="EB128" s="1" t="s">
        <v>7</v>
      </c>
      <c r="EC128" s="1" t="s">
        <v>8</v>
      </c>
      <c r="ED128" s="1" t="s">
        <v>9</v>
      </c>
      <c r="EE128" s="1" t="s">
        <v>49</v>
      </c>
      <c r="EF128" s="1" t="s">
        <v>579</v>
      </c>
      <c r="EG128" s="1" t="s">
        <v>50</v>
      </c>
      <c r="EH128" s="316"/>
      <c r="EI128" s="316"/>
      <c r="EJ128" s="316"/>
      <c r="EK128" s="316"/>
      <c r="EL128" s="316"/>
      <c r="EM128" s="316"/>
      <c r="EN128" s="316"/>
      <c r="ET128" s="1"/>
      <c r="EU128" s="1"/>
      <c r="EV128" s="1" t="s">
        <v>577</v>
      </c>
      <c r="EW128" s="1" t="s">
        <v>578</v>
      </c>
      <c r="EX128" s="1" t="s">
        <v>580</v>
      </c>
      <c r="EY128" s="1" t="s">
        <v>86</v>
      </c>
      <c r="EZ128" s="1" t="s">
        <v>6</v>
      </c>
      <c r="FA128" s="1" t="s">
        <v>7</v>
      </c>
      <c r="FB128" s="1" t="s">
        <v>8</v>
      </c>
      <c r="FC128" s="1" t="s">
        <v>9</v>
      </c>
      <c r="FD128" s="1" t="s">
        <v>49</v>
      </c>
      <c r="FE128" s="1" t="s">
        <v>579</v>
      </c>
      <c r="FF128" s="1" t="s">
        <v>50</v>
      </c>
      <c r="FG128" s="316"/>
      <c r="FH128" s="316"/>
      <c r="FI128" s="316"/>
      <c r="FJ128" s="316"/>
      <c r="FK128" s="316"/>
      <c r="FL128" s="316"/>
      <c r="FM128" s="316"/>
    </row>
    <row r="129" spans="2:164" ht="19.25" customHeight="1" x14ac:dyDescent="0.25">
      <c r="J129" s="4" t="s">
        <v>41</v>
      </c>
      <c r="K129" s="1" t="s">
        <v>89</v>
      </c>
      <c r="L129" s="4" t="s">
        <v>284</v>
      </c>
      <c r="M129" s="2" t="s">
        <v>91</v>
      </c>
      <c r="N129" s="2" t="s">
        <v>87</v>
      </c>
      <c r="O129" s="2" t="s">
        <v>96</v>
      </c>
      <c r="P129" s="2" t="s">
        <v>25</v>
      </c>
      <c r="Q129" s="2" t="s">
        <v>99</v>
      </c>
      <c r="R129" s="2" t="s">
        <v>96</v>
      </c>
      <c r="S129" s="2" t="s">
        <v>96</v>
      </c>
      <c r="T129" s="2" t="s">
        <v>95</v>
      </c>
      <c r="U129" s="2" t="s">
        <v>93</v>
      </c>
      <c r="V129" s="214" t="s">
        <v>48</v>
      </c>
      <c r="W129" s="112" t="s">
        <v>48</v>
      </c>
      <c r="X129" s="112" t="s">
        <v>325</v>
      </c>
      <c r="Y129" s="322"/>
      <c r="Z129" s="137" t="s">
        <v>83</v>
      </c>
      <c r="AA129" s="4"/>
      <c r="AB129" s="6"/>
      <c r="AC129" s="4" t="s">
        <v>41</v>
      </c>
      <c r="AD129" s="1" t="s">
        <v>89</v>
      </c>
      <c r="AE129" s="4" t="s">
        <v>284</v>
      </c>
      <c r="AF129" s="2" t="s">
        <v>91</v>
      </c>
      <c r="AG129" s="2" t="s">
        <v>87</v>
      </c>
      <c r="AH129" s="2" t="s">
        <v>96</v>
      </c>
      <c r="AI129" s="2" t="s">
        <v>25</v>
      </c>
      <c r="AJ129" s="2" t="s">
        <v>99</v>
      </c>
      <c r="AK129" s="2" t="s">
        <v>96</v>
      </c>
      <c r="AL129" s="2" t="s">
        <v>96</v>
      </c>
      <c r="AM129" s="2" t="s">
        <v>95</v>
      </c>
      <c r="AN129" s="2" t="s">
        <v>93</v>
      </c>
      <c r="AO129" s="214" t="s">
        <v>48</v>
      </c>
      <c r="AP129" s="112" t="s">
        <v>48</v>
      </c>
      <c r="AQ129" s="112" t="s">
        <v>325</v>
      </c>
      <c r="AR129" s="322"/>
      <c r="AS129" s="137" t="s">
        <v>83</v>
      </c>
      <c r="AT129" s="4"/>
      <c r="AU129" s="4" t="s">
        <v>41</v>
      </c>
      <c r="AV129" s="1" t="s">
        <v>89</v>
      </c>
      <c r="AW129" s="4" t="s">
        <v>284</v>
      </c>
      <c r="AX129" s="2" t="s">
        <v>91</v>
      </c>
      <c r="AY129" s="2" t="s">
        <v>87</v>
      </c>
      <c r="AZ129" s="2" t="s">
        <v>96</v>
      </c>
      <c r="BA129" s="2" t="s">
        <v>25</v>
      </c>
      <c r="BB129" s="2" t="s">
        <v>99</v>
      </c>
      <c r="BC129" s="2" t="s">
        <v>96</v>
      </c>
      <c r="BD129" s="2" t="s">
        <v>96</v>
      </c>
      <c r="BE129" s="2" t="s">
        <v>95</v>
      </c>
      <c r="BF129" s="2" t="s">
        <v>93</v>
      </c>
      <c r="BG129" s="214" t="s">
        <v>48</v>
      </c>
      <c r="BH129" s="112" t="s">
        <v>48</v>
      </c>
      <c r="BI129" s="112" t="s">
        <v>325</v>
      </c>
      <c r="BJ129" s="322"/>
      <c r="BK129" s="137" t="s">
        <v>83</v>
      </c>
      <c r="BL129" s="4"/>
      <c r="BM129" s="4" t="s">
        <v>41</v>
      </c>
      <c r="BN129" s="1" t="s">
        <v>89</v>
      </c>
      <c r="BO129" s="4" t="s">
        <v>284</v>
      </c>
      <c r="BP129" s="2" t="s">
        <v>91</v>
      </c>
      <c r="BQ129" s="2" t="s">
        <v>87</v>
      </c>
      <c r="BR129" s="2" t="s">
        <v>96</v>
      </c>
      <c r="BS129" s="2" t="s">
        <v>25</v>
      </c>
      <c r="BT129" s="2" t="s">
        <v>99</v>
      </c>
      <c r="BU129" s="2" t="s">
        <v>96</v>
      </c>
      <c r="BV129" s="2" t="s">
        <v>96</v>
      </c>
      <c r="BW129" s="2" t="s">
        <v>95</v>
      </c>
      <c r="BX129" s="2" t="s">
        <v>93</v>
      </c>
      <c r="BY129" s="214" t="s">
        <v>48</v>
      </c>
      <c r="BZ129" s="112" t="s">
        <v>48</v>
      </c>
      <c r="CA129" s="112" t="s">
        <v>325</v>
      </c>
      <c r="CB129" s="322"/>
      <c r="CC129" s="137" t="s">
        <v>83</v>
      </c>
      <c r="CD129" s="114"/>
      <c r="CE129" s="114"/>
      <c r="CG129" s="4" t="s">
        <v>41</v>
      </c>
      <c r="CH129" s="1" t="s">
        <v>89</v>
      </c>
      <c r="CI129" s="4" t="s">
        <v>284</v>
      </c>
      <c r="CJ129" s="2" t="s">
        <v>91</v>
      </c>
      <c r="CK129" s="2" t="s">
        <v>87</v>
      </c>
      <c r="CL129" s="2" t="s">
        <v>96</v>
      </c>
      <c r="CM129" s="2" t="s">
        <v>25</v>
      </c>
      <c r="CN129" s="2" t="s">
        <v>99</v>
      </c>
      <c r="CO129" s="2" t="s">
        <v>96</v>
      </c>
      <c r="CP129" s="2" t="s">
        <v>96</v>
      </c>
      <c r="CQ129" s="2" t="s">
        <v>95</v>
      </c>
      <c r="CR129" s="2" t="s">
        <v>93</v>
      </c>
      <c r="DO129" s="22" t="s">
        <v>434</v>
      </c>
      <c r="DP129" s="22" t="s">
        <v>489</v>
      </c>
      <c r="DQ129" s="162" t="s">
        <v>338</v>
      </c>
      <c r="DR129" s="314" t="s">
        <v>345</v>
      </c>
      <c r="DS129" s="103" t="s">
        <v>318</v>
      </c>
      <c r="DT129" s="1"/>
      <c r="DV129" s="4" t="s">
        <v>41</v>
      </c>
      <c r="DW129" s="1" t="s">
        <v>89</v>
      </c>
      <c r="DX129" s="1" t="s">
        <v>581</v>
      </c>
      <c r="DY129" s="1" t="s">
        <v>91</v>
      </c>
      <c r="DZ129" s="1" t="s">
        <v>87</v>
      </c>
      <c r="EA129" s="1" t="s">
        <v>96</v>
      </c>
      <c r="EB129" s="1" t="s">
        <v>25</v>
      </c>
      <c r="EC129" s="1" t="s">
        <v>99</v>
      </c>
      <c r="ED129" s="1" t="s">
        <v>96</v>
      </c>
      <c r="EE129" s="1" t="s">
        <v>96</v>
      </c>
      <c r="EF129" s="1" t="s">
        <v>95</v>
      </c>
      <c r="EG129" s="1" t="s">
        <v>93</v>
      </c>
      <c r="EI129" s="22" t="s">
        <v>434</v>
      </c>
      <c r="EJ129" s="22" t="s">
        <v>489</v>
      </c>
      <c r="EK129" s="193" t="s">
        <v>338</v>
      </c>
      <c r="EL129" s="342" t="s">
        <v>345</v>
      </c>
      <c r="EM129" s="103" t="s">
        <v>318</v>
      </c>
      <c r="EU129" s="2" t="s">
        <v>41</v>
      </c>
      <c r="EV129" s="1" t="s">
        <v>89</v>
      </c>
      <c r="EW129" s="1" t="s">
        <v>581</v>
      </c>
      <c r="EX129" s="1" t="s">
        <v>91</v>
      </c>
      <c r="EY129" s="1" t="s">
        <v>87</v>
      </c>
      <c r="EZ129" s="1" t="s">
        <v>96</v>
      </c>
      <c r="FA129" s="1" t="s">
        <v>25</v>
      </c>
      <c r="FB129" s="1" t="s">
        <v>99</v>
      </c>
      <c r="FC129" s="1" t="s">
        <v>96</v>
      </c>
      <c r="FD129" s="1" t="s">
        <v>96</v>
      </c>
      <c r="FE129" s="1" t="s">
        <v>95</v>
      </c>
      <c r="FF129" s="1" t="s">
        <v>93</v>
      </c>
    </row>
    <row r="130" spans="2:164" ht="19" thickBot="1" x14ac:dyDescent="0.3">
      <c r="I130" s="319" t="s">
        <v>428</v>
      </c>
      <c r="J130" s="27" t="s">
        <v>328</v>
      </c>
      <c r="K130" s="27">
        <f>Limestone_for_BF</f>
        <v>198.12782320839224</v>
      </c>
      <c r="L130" s="27">
        <v>0.95</v>
      </c>
      <c r="M130" s="27">
        <f>MW_CaCO3</f>
        <v>0.1000872</v>
      </c>
      <c r="N130" s="27">
        <f>K130/M130</f>
        <v>1979.5520626852608</v>
      </c>
      <c r="O130" s="27">
        <f>b_ch_CaCO3</f>
        <v>11.256799999999885</v>
      </c>
      <c r="P130" s="27">
        <f>N130/N132</f>
        <v>0.94119632891260407</v>
      </c>
      <c r="Q130" s="27">
        <f>LN(P130)</f>
        <v>-6.0603522569383693E-2</v>
      </c>
      <c r="R130" s="27">
        <f>RT0*Q130</f>
        <v>-0.13762872710622295</v>
      </c>
      <c r="S130" s="27">
        <f>R130+O130</f>
        <v>11.119171272893661</v>
      </c>
      <c r="T130" s="27">
        <f>S130*P130</f>
        <v>10.465323182598</v>
      </c>
      <c r="U130" s="27">
        <f>T130*N132</f>
        <v>22010.978428607345</v>
      </c>
      <c r="V130" s="105">
        <f>AN142</f>
        <v>7.1782646247188149</v>
      </c>
      <c r="W130" s="125">
        <f>SUM(U126,U140,U163,U151)-$AN$126-AN142</f>
        <v>257.85050016817019</v>
      </c>
      <c r="X130" s="195">
        <f>SUM(T126,T140,T151,T163) - SUM(AM126,AM142)</f>
        <v>0</v>
      </c>
      <c r="Y130" s="140" t="s">
        <v>342</v>
      </c>
      <c r="Z130" s="137">
        <f>(($AG$130*($AM$130-T130))/(U140+U151))</f>
        <v>0</v>
      </c>
      <c r="AA130" s="4"/>
      <c r="AB130" s="319" t="s">
        <v>536</v>
      </c>
      <c r="AC130" s="27" t="s">
        <v>328</v>
      </c>
      <c r="AD130" s="27">
        <f>Limestone_for_BF</f>
        <v>198.12782320839224</v>
      </c>
      <c r="AE130" s="27">
        <v>0.95</v>
      </c>
      <c r="AF130" s="27">
        <f>MW_CaCO3</f>
        <v>0.1000872</v>
      </c>
      <c r="AG130" s="27">
        <f>AD130/AF130</f>
        <v>1979.5520626852608</v>
      </c>
      <c r="AH130" s="27">
        <f>b_ch_CaCO3</f>
        <v>11.256799999999885</v>
      </c>
      <c r="AI130" s="27">
        <f>AG130/AG132</f>
        <v>0.94119632891260407</v>
      </c>
      <c r="AJ130" s="27">
        <f>LN(AI130)</f>
        <v>-6.0603522569383693E-2</v>
      </c>
      <c r="AK130" s="27">
        <f>RT0*AJ130</f>
        <v>-0.13762872710622295</v>
      </c>
      <c r="AL130" s="27">
        <f>AK130+AH130</f>
        <v>11.119171272893661</v>
      </c>
      <c r="AM130" s="27">
        <f>AL130*AI130</f>
        <v>10.465323182598</v>
      </c>
      <c r="AN130" s="27">
        <f>AM130*AG132</f>
        <v>22010.978428607345</v>
      </c>
      <c r="AO130" s="105">
        <f>0</f>
        <v>0</v>
      </c>
      <c r="AP130" s="125">
        <f>AN126+AS113-BF126</f>
        <v>2824.885647744919</v>
      </c>
      <c r="AQ130" s="195">
        <f>BE126-AM126</f>
        <v>0</v>
      </c>
      <c r="AR130" s="140" t="s">
        <v>342</v>
      </c>
      <c r="AS130" s="137">
        <f>((AY130*(BE130-AM130)/AS113))</f>
        <v>0</v>
      </c>
      <c r="AT130" s="338" t="s">
        <v>564</v>
      </c>
      <c r="AU130" s="27" t="s">
        <v>328</v>
      </c>
      <c r="AV130" s="27">
        <f>Limestone_for_BF</f>
        <v>198.12782320839224</v>
      </c>
      <c r="AW130" s="27">
        <v>0.95</v>
      </c>
      <c r="AX130" s="27">
        <f>MW_CaCO3</f>
        <v>0.1000872</v>
      </c>
      <c r="AY130" s="27">
        <f>AV130/AX130</f>
        <v>1979.5520626852608</v>
      </c>
      <c r="AZ130" s="27">
        <f>b_ch_CaCO3</f>
        <v>11.256799999999885</v>
      </c>
      <c r="BA130" s="27">
        <f>AY130/AY132</f>
        <v>0.94119632891260407</v>
      </c>
      <c r="BB130" s="27">
        <f>LN(BA130)</f>
        <v>-6.0603522569383693E-2</v>
      </c>
      <c r="BC130" s="27">
        <f>RT0*BB130</f>
        <v>-0.13762872710622295</v>
      </c>
      <c r="BD130" s="27">
        <f>BC130+AZ130</f>
        <v>11.119171272893661</v>
      </c>
      <c r="BE130" s="27">
        <f>BD130*BA130</f>
        <v>10.465323182598</v>
      </c>
      <c r="BF130" s="27">
        <f>BE130*AY132</f>
        <v>22010.978428607345</v>
      </c>
      <c r="BG130" s="105">
        <f>BZ114+BZ138</f>
        <v>0</v>
      </c>
      <c r="BH130" s="125">
        <f>BF126+BJ116-BX126</f>
        <v>34.678095164115803</v>
      </c>
      <c r="BI130" s="195">
        <f>BW126-BE126</f>
        <v>0</v>
      </c>
      <c r="BJ130" s="140" t="s">
        <v>342</v>
      </c>
      <c r="BK130" s="137">
        <f>((BQ130*(BW130-BE130)/BJ116))</f>
        <v>0</v>
      </c>
      <c r="BL130" s="319" t="s">
        <v>549</v>
      </c>
      <c r="BM130" s="27" t="s">
        <v>328</v>
      </c>
      <c r="BN130" s="27">
        <f>Limestone_for_BF</f>
        <v>198.12782320839224</v>
      </c>
      <c r="BO130" s="27">
        <v>0.95</v>
      </c>
      <c r="BP130" s="27">
        <f>MW_CaCO3</f>
        <v>0.1000872</v>
      </c>
      <c r="BQ130" s="27">
        <f>BN130/BP130</f>
        <v>1979.5520626852608</v>
      </c>
      <c r="BR130" s="27">
        <f>b_ch_CaCO3</f>
        <v>11.256799999999885</v>
      </c>
      <c r="BS130" s="27">
        <f>BQ130/BQ132</f>
        <v>0.94119632891260407</v>
      </c>
      <c r="BT130" s="27">
        <f>LN(BS130)</f>
        <v>-6.0603522569383693E-2</v>
      </c>
      <c r="BU130" s="27">
        <f>RT0*BT130</f>
        <v>-0.13762872710622295</v>
      </c>
      <c r="BV130" s="27">
        <f>BU130+BR130</f>
        <v>11.119171272893661</v>
      </c>
      <c r="BW130" s="27">
        <f>BV130*BS130</f>
        <v>10.465323182598</v>
      </c>
      <c r="BX130" s="27">
        <f>BW130*BQ132</f>
        <v>22010.978428607345</v>
      </c>
      <c r="BY130" s="105">
        <f>CR114+CR138</f>
        <v>1065729361.2410759</v>
      </c>
      <c r="BZ130" s="125">
        <f>BX126+BX140+BX152-CR114-CR126-CR138</f>
        <v>12426778.193116665</v>
      </c>
      <c r="CA130" s="195">
        <f>SUM(CQ138,CQ126,CQ114) - SUM(BW126,BW140,BW152)</f>
        <v>0</v>
      </c>
      <c r="CB130" s="140" t="s">
        <v>342</v>
      </c>
      <c r="CC130" s="137" t="s">
        <v>99</v>
      </c>
      <c r="CD130" s="114"/>
      <c r="CE130" s="114"/>
      <c r="CF130" s="223" t="s">
        <v>550</v>
      </c>
      <c r="CG130" s="113" t="s">
        <v>124</v>
      </c>
      <c r="CH130" s="33">
        <f>Quicklime_for_BF</f>
        <v>111.00813284002646</v>
      </c>
      <c r="CI130" s="33">
        <v>1</v>
      </c>
      <c r="CJ130" s="33">
        <f>MW_CaO</f>
        <v>5.6077400000000006E-2</v>
      </c>
      <c r="CK130" s="33">
        <f>CH130/CJ130</f>
        <v>1979.5520626852608</v>
      </c>
      <c r="CL130" s="33">
        <f>b_ch_CaO</f>
        <v>122.25799999999992</v>
      </c>
      <c r="CM130" s="126">
        <f>CK130/CK131</f>
        <v>1</v>
      </c>
      <c r="CN130" s="126">
        <f>LN(CM130)</f>
        <v>0</v>
      </c>
      <c r="CO130" s="126">
        <f>RT0*CN130</f>
        <v>0</v>
      </c>
      <c r="CP130" s="33">
        <f>CO130+CL130</f>
        <v>122.25799999999992</v>
      </c>
      <c r="CQ130" s="33">
        <f>CP130*CM130</f>
        <v>122.25799999999992</v>
      </c>
      <c r="CR130" s="126">
        <f>CQ130*CK131</f>
        <v>242016.07607977447</v>
      </c>
      <c r="DO130" s="214" t="s">
        <v>48</v>
      </c>
      <c r="DP130" s="9" t="s">
        <v>48</v>
      </c>
      <c r="DQ130" s="1" t="s">
        <v>90</v>
      </c>
      <c r="DR130" s="315"/>
      <c r="DS130" s="137" t="s">
        <v>83</v>
      </c>
      <c r="DT130" s="4"/>
      <c r="DU130" s="319" t="s">
        <v>573</v>
      </c>
      <c r="DV130" s="8" t="s">
        <v>15</v>
      </c>
      <c r="DW130" s="176">
        <f>Fe2O3_BF_in</f>
        <v>881.06000000000006</v>
      </c>
      <c r="DX130" s="176">
        <f>DW130/$DW$134</f>
        <v>0.67265947997457687</v>
      </c>
      <c r="DY130" s="177">
        <f>MW_Fe2O3</f>
        <v>0.1596882</v>
      </c>
      <c r="DZ130" s="177">
        <f>DW130/DY130</f>
        <v>5517.3769884061567</v>
      </c>
      <c r="EA130" s="177">
        <f>b_ch_Fe2O3</f>
        <v>17.358400000000074</v>
      </c>
      <c r="EB130" s="177">
        <f>DZ130/$DZ$134</f>
        <v>0.21197353787675174</v>
      </c>
      <c r="EC130" s="178">
        <f>LN(EB130)</f>
        <v>-1.5512938334370325</v>
      </c>
      <c r="ED130" s="178">
        <f>RT0*EC130</f>
        <v>-3.5229403607560474</v>
      </c>
      <c r="EE130" s="178">
        <f>EA130+ED130</f>
        <v>13.835459639244027</v>
      </c>
      <c r="EF130" s="178">
        <f>EE130*EB130</f>
        <v>2.9327513278815638</v>
      </c>
      <c r="EG130" s="178">
        <f>$DZ$134*EF130</f>
        <v>76335.446637587142</v>
      </c>
      <c r="EI130" s="214" t="s">
        <v>48</v>
      </c>
      <c r="EJ130" s="9" t="s">
        <v>48</v>
      </c>
      <c r="EK130" s="9" t="s">
        <v>90</v>
      </c>
      <c r="EL130" s="343"/>
      <c r="EM130" s="137" t="s">
        <v>83</v>
      </c>
      <c r="ET130" s="223" t="s">
        <v>574</v>
      </c>
      <c r="EU130" s="1" t="s">
        <v>16</v>
      </c>
      <c r="EV130" s="42">
        <f>Fe_BF_out</f>
        <v>616.23583583508366</v>
      </c>
      <c r="EW130" s="42">
        <f>EV130/EV131</f>
        <v>1</v>
      </c>
      <c r="EX130" s="33">
        <f>MW_Fe</f>
        <v>5.5844999999999999E-2</v>
      </c>
      <c r="EY130" s="33">
        <f>EV130/EX130</f>
        <v>11034.753976812313</v>
      </c>
      <c r="EZ130" s="273">
        <f>b_ch_Fe</f>
        <v>376.8</v>
      </c>
      <c r="FA130" s="33">
        <f>EY130/EY131</f>
        <v>1</v>
      </c>
      <c r="FB130" s="42">
        <f>LN(FA130)</f>
        <v>0</v>
      </c>
      <c r="FC130" s="42">
        <f>RT0*FB130</f>
        <v>0</v>
      </c>
      <c r="FD130" s="42">
        <f>EZ130+FC130</f>
        <v>376.8</v>
      </c>
      <c r="FE130" s="42">
        <f>FD130*FA130</f>
        <v>376.8</v>
      </c>
      <c r="FF130" s="42">
        <f>EY131*FE130</f>
        <v>4157895.2984628798</v>
      </c>
    </row>
    <row r="131" spans="2:164" ht="19" thickBot="1" x14ac:dyDescent="0.3">
      <c r="I131" s="319"/>
      <c r="J131" s="6" t="s">
        <v>331</v>
      </c>
      <c r="K131" s="6">
        <f>(K130*L131)/L130</f>
        <v>10.427780168862752</v>
      </c>
      <c r="L131" s="6">
        <v>0.05</v>
      </c>
      <c r="M131" s="6">
        <f>MW_MgCO3</f>
        <v>8.4314200000000006E-2</v>
      </c>
      <c r="N131" s="6">
        <f>K131/M131</f>
        <v>123.6776268868441</v>
      </c>
      <c r="O131" s="6">
        <f>b_ch_MgCO3</f>
        <v>33.790400000000034</v>
      </c>
      <c r="P131" s="6">
        <f>N131/N132</f>
        <v>5.880367108739603E-2</v>
      </c>
      <c r="Q131" s="6">
        <f>LN(P131)</f>
        <v>-2.8335509925673268</v>
      </c>
      <c r="R131" s="6">
        <f>RT0*Q131</f>
        <v>-6.4349067473947281</v>
      </c>
      <c r="S131" s="6">
        <f>R131+O131</f>
        <v>27.355493252605307</v>
      </c>
      <c r="T131" s="6">
        <f>S131*P131</f>
        <v>1.6086034276596839</v>
      </c>
      <c r="U131" s="6">
        <f>T131*N132</f>
        <v>3383.2624878013007</v>
      </c>
      <c r="V131" s="6"/>
      <c r="W131" s="6"/>
      <c r="X131" s="6"/>
      <c r="Y131" s="140" t="s">
        <v>343</v>
      </c>
      <c r="Z131" s="137">
        <f>($AN$126+AN142)/(SUM(U126,U140,U163,U151))</f>
        <v>0.98995098054731168</v>
      </c>
      <c r="AA131" s="4"/>
      <c r="AB131" s="319"/>
      <c r="AC131" s="6" t="s">
        <v>331</v>
      </c>
      <c r="AD131" s="6">
        <f>(AD130*AE131)/AE130</f>
        <v>10.427780168862752</v>
      </c>
      <c r="AE131" s="6">
        <v>0.05</v>
      </c>
      <c r="AF131" s="6">
        <f>MW_MgCO3</f>
        <v>8.4314200000000006E-2</v>
      </c>
      <c r="AG131" s="6">
        <f>AD131/AF131</f>
        <v>123.6776268868441</v>
      </c>
      <c r="AH131" s="6">
        <f>b_ch_MgCO3</f>
        <v>33.790400000000034</v>
      </c>
      <c r="AI131" s="6">
        <f>AG131/AG132</f>
        <v>5.880367108739603E-2</v>
      </c>
      <c r="AJ131" s="6">
        <f>LN(AI131)</f>
        <v>-2.8335509925673268</v>
      </c>
      <c r="AK131" s="6">
        <f>RT0*AJ131</f>
        <v>-6.4349067473947281</v>
      </c>
      <c r="AL131" s="6">
        <f>AK131+AH131</f>
        <v>27.355493252605307</v>
      </c>
      <c r="AM131" s="6">
        <f>AL131*AI131</f>
        <v>1.6086034276596839</v>
      </c>
      <c r="AN131" s="6">
        <f>AM131*AG132</f>
        <v>3383.2624878013007</v>
      </c>
      <c r="AO131" s="6"/>
      <c r="AP131" s="6"/>
      <c r="AQ131" s="4"/>
      <c r="AR131" s="140" t="s">
        <v>343</v>
      </c>
      <c r="AS131" s="137">
        <f>BF126/(AS113+AN126)</f>
        <v>0.89989464623142024</v>
      </c>
      <c r="AT131" s="338"/>
      <c r="AU131" s="6" t="s">
        <v>331</v>
      </c>
      <c r="AV131" s="6">
        <f>(AV130*AW131)/AW130</f>
        <v>10.427780168862752</v>
      </c>
      <c r="AW131" s="6">
        <v>0.05</v>
      </c>
      <c r="AX131" s="6">
        <f>MW_MgCO3</f>
        <v>8.4314200000000006E-2</v>
      </c>
      <c r="AY131" s="6">
        <f>AV131/AX131</f>
        <v>123.6776268868441</v>
      </c>
      <c r="AZ131" s="6">
        <f>b_ch_MgCO3</f>
        <v>33.790400000000034</v>
      </c>
      <c r="BA131" s="6">
        <f>AY131/AY132</f>
        <v>5.880367108739603E-2</v>
      </c>
      <c r="BB131" s="6">
        <f>LN(BA131)</f>
        <v>-2.8335509925673268</v>
      </c>
      <c r="BC131" s="6">
        <f>RT0*BB131</f>
        <v>-6.4349067473947281</v>
      </c>
      <c r="BD131" s="6">
        <f>BC131+AZ131</f>
        <v>27.355493252605307</v>
      </c>
      <c r="BE131" s="6">
        <f>BD131*BA131</f>
        <v>1.6086034276596839</v>
      </c>
      <c r="BF131" s="6">
        <f>BE131*AY132</f>
        <v>3383.2624878013007</v>
      </c>
      <c r="BG131" s="6"/>
      <c r="BH131" s="6"/>
      <c r="BI131" s="4"/>
      <c r="BJ131" s="140" t="s">
        <v>343</v>
      </c>
      <c r="BK131" s="137">
        <f>BX126/(BJ113+BF126)</f>
        <v>0.99885105550639652</v>
      </c>
      <c r="BL131" s="319"/>
      <c r="BM131" s="6" t="s">
        <v>331</v>
      </c>
      <c r="BN131" s="6">
        <f>(BN130*BO131)/BO130</f>
        <v>10.427780168862752</v>
      </c>
      <c r="BO131" s="6">
        <v>0.05</v>
      </c>
      <c r="BP131" s="6">
        <f>MW_MgCO3</f>
        <v>8.4314200000000006E-2</v>
      </c>
      <c r="BQ131" s="6">
        <f>BN131/BP131</f>
        <v>123.6776268868441</v>
      </c>
      <c r="BR131" s="6">
        <f>b_ch_MgCO3</f>
        <v>33.790400000000034</v>
      </c>
      <c r="BS131" s="6">
        <f>BQ131/BQ132</f>
        <v>5.880367108739603E-2</v>
      </c>
      <c r="BT131" s="6">
        <f>LN(BS131)</f>
        <v>-2.8335509925673268</v>
      </c>
      <c r="BU131" s="6">
        <f>RT0*BT131</f>
        <v>-6.4349067473947281</v>
      </c>
      <c r="BV131" s="6">
        <f>BU131+BR131</f>
        <v>27.355493252605307</v>
      </c>
      <c r="BW131" s="6">
        <f>BV131*BS131</f>
        <v>1.6086034276596839</v>
      </c>
      <c r="BX131" s="6">
        <f>BW131*BQ132</f>
        <v>3383.2624878013007</v>
      </c>
      <c r="BY131" s="114"/>
      <c r="BZ131" s="6"/>
      <c r="CB131" s="140" t="s">
        <v>343</v>
      </c>
      <c r="CC131" s="137">
        <f>(CR138+CR126+CR114)/(BX140+BX126+BX152)</f>
        <v>0.98847663255948648</v>
      </c>
      <c r="CD131" s="114"/>
      <c r="CE131" s="114"/>
      <c r="CG131" s="6" t="s">
        <v>19</v>
      </c>
      <c r="CH131" s="6">
        <f>SUM(CH130)</f>
        <v>111.00813284002646</v>
      </c>
      <c r="CI131" s="6"/>
      <c r="CJ131" s="6">
        <f>SUM(CJ130)</f>
        <v>5.6077400000000006E-2</v>
      </c>
      <c r="CK131" s="6">
        <f>SUM(CK130)</f>
        <v>1979.5520626852608</v>
      </c>
      <c r="CL131" s="6"/>
      <c r="CM131" s="6"/>
      <c r="CN131" s="114"/>
      <c r="CO131" s="114"/>
      <c r="CP131" s="6"/>
      <c r="CQ131" s="6">
        <f>SUM(CQ130)</f>
        <v>122.25799999999992</v>
      </c>
      <c r="CR131" s="6">
        <f>SUM(CR130)</f>
        <v>242016.07607977447</v>
      </c>
      <c r="DO131" s="105">
        <f>0</f>
        <v>0</v>
      </c>
      <c r="DP131" s="100">
        <f>(CR126+BW42+CP206)-(EG126)</f>
        <v>49789.327834718861</v>
      </c>
      <c r="DQ131" s="142">
        <f>EF126-CQ126-CO206-BV42</f>
        <v>0</v>
      </c>
      <c r="DR131" s="140" t="s">
        <v>342</v>
      </c>
      <c r="DS131" s="104" t="s">
        <v>99</v>
      </c>
      <c r="DT131" s="4"/>
      <c r="DU131" s="319"/>
      <c r="DV131" s="1" t="s">
        <v>17</v>
      </c>
      <c r="DW131" s="179">
        <f>SiO2_BF_in</f>
        <v>118.94000000000001</v>
      </c>
      <c r="DX131" s="179">
        <f t="shared" ref="DX131:DX133" si="42">DW131/$DW$134</f>
        <v>9.0806663051524489E-2</v>
      </c>
      <c r="DY131" s="168">
        <f>MW_SIO2</f>
        <v>6.00843E-2</v>
      </c>
      <c r="DZ131" s="168">
        <f>DW131/DY131</f>
        <v>1979.5520626852608</v>
      </c>
      <c r="EA131" s="168">
        <f>b_ch_SiO2</f>
        <v>1.5260000000000673</v>
      </c>
      <c r="EB131" s="168">
        <f>DZ131/$DZ$134</f>
        <v>7.6052924246496442E-2</v>
      </c>
      <c r="EC131" s="180">
        <f t="shared" ref="EC131:EC133" si="43">LN(EB131)</f>
        <v>-2.5763258093856205</v>
      </c>
      <c r="ED131" s="180">
        <f>RT0*EC131</f>
        <v>-5.8507563046472342</v>
      </c>
      <c r="EE131" s="180">
        <f t="shared" ref="EE131:EE133" si="44">EA131+ED131</f>
        <v>-4.3247563046471669</v>
      </c>
      <c r="EF131" s="180">
        <f t="shared" ref="EF131:EF133" si="45">EE131*EB131</f>
        <v>-0.32891036362188886</v>
      </c>
      <c r="EG131" s="180">
        <f>$DZ$134*EF131</f>
        <v>-8561.0802634753836</v>
      </c>
      <c r="EI131" s="105">
        <f>FF141+FF104</f>
        <v>500587.32575948373</v>
      </c>
      <c r="EJ131" s="284">
        <f>SUM(EG101,EG114,EG126,EG140,EG152)-(FF126+FF141+FF104)</f>
        <v>9123683.0829609409</v>
      </c>
      <c r="EK131" s="283">
        <f>(SUM(BF_SolidWaste,FE126,FE141))-SUM(EF101,EF114,EF126,EF140,EF152)</f>
        <v>0</v>
      </c>
      <c r="EL131" s="140" t="s">
        <v>342</v>
      </c>
      <c r="EM131" s="104" t="s">
        <v>99</v>
      </c>
      <c r="EU131" s="8" t="s">
        <v>19</v>
      </c>
      <c r="EV131" s="8">
        <f t="shared" ref="EV131" si="46">SUM(EV130:EV130)</f>
        <v>616.23583583508366</v>
      </c>
      <c r="EW131" s="8"/>
      <c r="EX131" s="8">
        <f t="shared" ref="EX131:FF131" si="47">SUM(EX130:EX130)</f>
        <v>5.5844999999999999E-2</v>
      </c>
      <c r="EY131" s="8">
        <f t="shared" si="47"/>
        <v>11034.753976812313</v>
      </c>
      <c r="EZ131" s="8">
        <f t="shared" si="47"/>
        <v>376.8</v>
      </c>
      <c r="FA131" s="8">
        <f t="shared" si="47"/>
        <v>1</v>
      </c>
      <c r="FB131" s="8">
        <f t="shared" si="47"/>
        <v>0</v>
      </c>
      <c r="FC131" s="8">
        <f t="shared" si="47"/>
        <v>0</v>
      </c>
      <c r="FD131" s="8">
        <f t="shared" si="47"/>
        <v>376.8</v>
      </c>
      <c r="FE131" s="8">
        <f t="shared" si="47"/>
        <v>376.8</v>
      </c>
      <c r="FF131" s="8">
        <f t="shared" si="47"/>
        <v>4157895.2984628798</v>
      </c>
    </row>
    <row r="132" spans="2:164" ht="19" thickBot="1" x14ac:dyDescent="0.3">
      <c r="J132" s="27" t="s">
        <v>19</v>
      </c>
      <c r="K132" s="27">
        <f>SUM(K130:K131)</f>
        <v>208.55560337725498</v>
      </c>
      <c r="L132" s="27">
        <f>SUM(L130:L131)</f>
        <v>1</v>
      </c>
      <c r="M132" s="27">
        <f>SUM(M130:M131)</f>
        <v>0.18440139999999999</v>
      </c>
      <c r="N132" s="27">
        <f>SUM(N130:N131)</f>
        <v>2103.2296895721047</v>
      </c>
      <c r="O132" s="27"/>
      <c r="P132" s="27">
        <f>SUM(P130:P131)</f>
        <v>1</v>
      </c>
      <c r="Q132" s="127"/>
      <c r="R132" s="127"/>
      <c r="S132" s="127"/>
      <c r="T132" s="27">
        <f>SUM(T130:T131)</f>
        <v>12.073926610257685</v>
      </c>
      <c r="U132" s="27">
        <f>SUM(U130:U131)</f>
        <v>25394.240916408646</v>
      </c>
      <c r="V132" s="6"/>
      <c r="W132" s="6"/>
      <c r="X132" s="6"/>
      <c r="Y132" s="141" t="s">
        <v>409</v>
      </c>
      <c r="Z132" s="138">
        <f>$AN$130/(SUM(U126,U140,U163,U151))</f>
        <v>0.85781780627735493</v>
      </c>
      <c r="AA132" s="4"/>
      <c r="AB132" s="6"/>
      <c r="AC132" s="27" t="s">
        <v>19</v>
      </c>
      <c r="AD132" s="27">
        <f>SUM(AD130:AD131)</f>
        <v>208.55560337725498</v>
      </c>
      <c r="AE132" s="27">
        <f>SUM(AE130:AE131)</f>
        <v>1</v>
      </c>
      <c r="AF132" s="27">
        <f>SUM(AF130:AF131)</f>
        <v>0.18440139999999999</v>
      </c>
      <c r="AG132" s="27">
        <f>SUM(AG130:AG131)</f>
        <v>2103.2296895721047</v>
      </c>
      <c r="AH132" s="27"/>
      <c r="AI132" s="27">
        <f>SUM(AI130:AI131)</f>
        <v>1</v>
      </c>
      <c r="AJ132" s="127"/>
      <c r="AK132" s="127"/>
      <c r="AL132" s="127"/>
      <c r="AM132" s="27">
        <f>SUM(AM130:AM131)</f>
        <v>12.073926610257685</v>
      </c>
      <c r="AN132" s="27">
        <f>SUM(AN130:AN131)</f>
        <v>25394.240916408646</v>
      </c>
      <c r="AO132" s="6"/>
      <c r="AP132" s="6"/>
      <c r="AQ132" s="4"/>
      <c r="AR132" s="141" t="s">
        <v>409</v>
      </c>
      <c r="AS132" s="138">
        <f>BF130/(AS113+AN126)</f>
        <v>0.78000211588999502</v>
      </c>
      <c r="AT132" s="4"/>
      <c r="AU132" s="27" t="s">
        <v>19</v>
      </c>
      <c r="AV132" s="27">
        <f>SUM(AV130:AV131)</f>
        <v>208.55560337725498</v>
      </c>
      <c r="AW132" s="27">
        <f>SUM(AW130:AW131)</f>
        <v>1</v>
      </c>
      <c r="AX132" s="27">
        <f>SUM(AX130:AX131)</f>
        <v>0.18440139999999999</v>
      </c>
      <c r="AY132" s="27">
        <f>SUM(AY130:AY131)</f>
        <v>2103.2296895721047</v>
      </c>
      <c r="AZ132" s="27"/>
      <c r="BA132" s="27">
        <f>SUM(BA130:BA131)</f>
        <v>1</v>
      </c>
      <c r="BB132" s="127"/>
      <c r="BC132" s="127"/>
      <c r="BD132" s="127"/>
      <c r="BE132" s="27">
        <f>SUM(BE130:BE131)</f>
        <v>12.073926610257685</v>
      </c>
      <c r="BF132" s="27">
        <f>SUM(BF130:BF131)</f>
        <v>25394.240916408646</v>
      </c>
      <c r="BG132" s="6"/>
      <c r="BH132" s="6"/>
      <c r="BI132" s="4"/>
      <c r="BJ132" s="141" t="s">
        <v>409</v>
      </c>
      <c r="BK132" s="138">
        <f>BX130/(BJ113+BF126)</f>
        <v>0.86577461041321313</v>
      </c>
      <c r="BL132" s="4"/>
      <c r="BM132" s="27" t="s">
        <v>19</v>
      </c>
      <c r="BN132" s="27">
        <f>SUM(BN130:BN131)</f>
        <v>208.55560337725498</v>
      </c>
      <c r="BO132" s="27">
        <f>SUM(BO130:BO131)</f>
        <v>1</v>
      </c>
      <c r="BP132" s="27">
        <f>SUM(BP130:BP131)</f>
        <v>0.18440139999999999</v>
      </c>
      <c r="BQ132" s="27">
        <f>SUM(BQ130:BQ131)</f>
        <v>2103.2296895721047</v>
      </c>
      <c r="BR132" s="27"/>
      <c r="BS132" s="27">
        <f>SUM(BS130:BS131)</f>
        <v>1</v>
      </c>
      <c r="BT132" s="127"/>
      <c r="BU132" s="127"/>
      <c r="BV132" s="127"/>
      <c r="BW132" s="27">
        <f>SUM(BW130:BW131)</f>
        <v>12.073926610257685</v>
      </c>
      <c r="BX132" s="27">
        <f>SUM(BX130:BX131)</f>
        <v>25394.240916408646</v>
      </c>
      <c r="BY132" s="114"/>
      <c r="BZ132" s="114"/>
      <c r="CB132" s="141" t="s">
        <v>409</v>
      </c>
      <c r="CC132" s="138">
        <f>CR130/(BX126+BX152+BX140)</f>
        <v>2.2442181938382317E-4</v>
      </c>
      <c r="CD132" s="114"/>
      <c r="CE132" s="114"/>
      <c r="CG132" s="6"/>
      <c r="CH132" s="6" t="s">
        <v>325</v>
      </c>
      <c r="CI132" s="6"/>
      <c r="CJ132" s="114" t="s">
        <v>332</v>
      </c>
      <c r="CK132" s="114" t="s">
        <v>333</v>
      </c>
      <c r="CL132" s="6"/>
      <c r="CM132" s="6"/>
      <c r="CN132" s="114"/>
      <c r="CO132" s="114"/>
      <c r="CP132" s="114"/>
      <c r="CQ132" s="114" t="s">
        <v>334</v>
      </c>
      <c r="CR132" s="6" t="s">
        <v>326</v>
      </c>
      <c r="DP132" s="4"/>
      <c r="DQ132" s="4"/>
      <c r="DR132" s="140" t="s">
        <v>343</v>
      </c>
      <c r="DS132" s="104">
        <f>EG126/(CR126+CP206+BW42)</f>
        <v>0.99300939590335358</v>
      </c>
      <c r="DT132" s="4"/>
      <c r="DU132" s="319"/>
      <c r="DV132" s="1" t="s">
        <v>124</v>
      </c>
      <c r="DW132" s="179">
        <f>CQ126</f>
        <v>111.00813284002646</v>
      </c>
      <c r="DX132" s="179">
        <f t="shared" si="42"/>
        <v>8.4750951023904092E-2</v>
      </c>
      <c r="DY132" s="168">
        <f>MW_CaO</f>
        <v>5.6077400000000006E-2</v>
      </c>
      <c r="DZ132" s="168">
        <f>DW132/DY132</f>
        <v>1979.5520626852608</v>
      </c>
      <c r="EA132" s="168">
        <f>b_ch_CaO</f>
        <v>122.25799999999992</v>
      </c>
      <c r="EB132" s="168">
        <f>DZ132/$DZ$134</f>
        <v>7.6052924246496442E-2</v>
      </c>
      <c r="EC132" s="180">
        <f t="shared" si="43"/>
        <v>-2.5763258093856205</v>
      </c>
      <c r="ED132" s="180">
        <f>RT0*EC132</f>
        <v>-5.8507563046472342</v>
      </c>
      <c r="EE132" s="180">
        <f t="shared" si="44"/>
        <v>116.40724369535269</v>
      </c>
      <c r="EF132" s="180">
        <f t="shared" si="45"/>
        <v>8.8531112865061079</v>
      </c>
      <c r="EG132" s="180">
        <f>$DZ$134*EF132</f>
        <v>230434.19936864119</v>
      </c>
      <c r="EJ132" s="4"/>
      <c r="EK132" s="4"/>
      <c r="EL132" s="140" t="s">
        <v>343</v>
      </c>
      <c r="EM132" s="104">
        <f>SUM(FF104,FF126,FF141)/SUM(EO117,EG101,EG114,EG126,EG140,EG152)</f>
        <v>0.33038859066202669</v>
      </c>
      <c r="EU132" s="1"/>
      <c r="EV132" s="1" t="s">
        <v>90</v>
      </c>
      <c r="EW132" s="1"/>
      <c r="EX132" s="3" t="s">
        <v>92</v>
      </c>
      <c r="EY132" s="3" t="s">
        <v>88</v>
      </c>
      <c r="EZ132" s="4"/>
      <c r="FA132" s="4"/>
      <c r="FE132" s="3" t="s">
        <v>97</v>
      </c>
      <c r="FF132" s="1" t="s">
        <v>94</v>
      </c>
    </row>
    <row r="133" spans="2:164" ht="19" thickBot="1" x14ac:dyDescent="0.3">
      <c r="J133" s="6"/>
      <c r="K133" s="6" t="s">
        <v>325</v>
      </c>
      <c r="L133" s="6"/>
      <c r="M133" s="114" t="s">
        <v>332</v>
      </c>
      <c r="N133" s="114" t="s">
        <v>333</v>
      </c>
      <c r="O133" s="6"/>
      <c r="P133" s="6"/>
      <c r="Q133" s="114"/>
      <c r="R133" s="114"/>
      <c r="S133" s="114"/>
      <c r="T133" s="114" t="s">
        <v>334</v>
      </c>
      <c r="U133" s="6" t="s">
        <v>326</v>
      </c>
      <c r="V133" s="6"/>
      <c r="W133" s="6"/>
      <c r="X133" s="6"/>
      <c r="Y133" s="6"/>
      <c r="Z133" s="6"/>
      <c r="AA133" s="6"/>
      <c r="AB133" s="6"/>
      <c r="AC133" s="6"/>
      <c r="AD133" s="6" t="s">
        <v>325</v>
      </c>
      <c r="AE133" s="6"/>
      <c r="AF133" s="114" t="s">
        <v>332</v>
      </c>
      <c r="AG133" s="114" t="s">
        <v>333</v>
      </c>
      <c r="AH133" s="6"/>
      <c r="AI133" s="6"/>
      <c r="AJ133" s="114"/>
      <c r="AK133" s="114"/>
      <c r="AL133" s="114"/>
      <c r="AM133" s="114" t="s">
        <v>334</v>
      </c>
      <c r="AN133" s="6" t="s">
        <v>326</v>
      </c>
      <c r="AO133" s="6"/>
      <c r="AP133" s="6"/>
      <c r="AQ133" s="4"/>
      <c r="AR133" s="6"/>
      <c r="AS133" s="6"/>
      <c r="AT133" s="6"/>
      <c r="AU133" s="6"/>
      <c r="AV133" s="6" t="s">
        <v>325</v>
      </c>
      <c r="AW133" s="6"/>
      <c r="AX133" s="114" t="s">
        <v>332</v>
      </c>
      <c r="AY133" s="114" t="s">
        <v>333</v>
      </c>
      <c r="AZ133" s="6"/>
      <c r="BA133" s="6"/>
      <c r="BB133" s="114"/>
      <c r="BC133" s="114"/>
      <c r="BD133" s="114"/>
      <c r="BE133" s="114" t="s">
        <v>334</v>
      </c>
      <c r="BF133" s="6" t="s">
        <v>326</v>
      </c>
      <c r="BG133" s="6"/>
      <c r="BH133" s="6"/>
      <c r="BI133" s="4"/>
      <c r="BJ133" s="6"/>
      <c r="BK133" s="6"/>
      <c r="BL133" s="6"/>
      <c r="BM133" s="6"/>
      <c r="BN133" s="6" t="s">
        <v>325</v>
      </c>
      <c r="BO133" s="6"/>
      <c r="BP133" s="114" t="s">
        <v>332</v>
      </c>
      <c r="BQ133" s="114" t="s">
        <v>333</v>
      </c>
      <c r="BR133" s="6"/>
      <c r="BS133" s="6"/>
      <c r="BT133" s="114"/>
      <c r="BU133" s="114"/>
      <c r="BV133" s="114"/>
      <c r="BW133" s="114" t="s">
        <v>334</v>
      </c>
      <c r="BX133" s="6" t="s">
        <v>326</v>
      </c>
      <c r="BY133" s="114"/>
      <c r="BZ133" s="114"/>
      <c r="CB133" s="114"/>
      <c r="CC133" s="114"/>
      <c r="CD133" s="114"/>
      <c r="CE133" s="114"/>
      <c r="CF133" s="114"/>
      <c r="CG133" s="114"/>
      <c r="CH133" s="114"/>
      <c r="CI133" s="114"/>
      <c r="CJ133" s="114"/>
      <c r="CK133" s="114"/>
      <c r="CL133" s="114"/>
      <c r="CM133" s="114"/>
      <c r="CN133" s="114"/>
      <c r="CO133" s="114"/>
      <c r="CP133" s="114"/>
      <c r="CQ133" s="114"/>
      <c r="CR133" s="114"/>
      <c r="DR133" s="141" t="s">
        <v>409</v>
      </c>
      <c r="DS133" s="100">
        <f>EG130/(CR126+CP206+BW42)</f>
        <v>1.0717776463170951E-2</v>
      </c>
      <c r="DT133" s="4"/>
      <c r="DU133" s="319"/>
      <c r="DV133" s="1" t="s">
        <v>18</v>
      </c>
      <c r="DW133" s="179">
        <f>Coking_BF_in</f>
        <v>198.80764502323905</v>
      </c>
      <c r="DX133" s="179">
        <f t="shared" si="42"/>
        <v>0.15178290594999461</v>
      </c>
      <c r="DY133" s="168">
        <f>MW_C</f>
        <v>1.2010999999999999E-2</v>
      </c>
      <c r="DZ133" s="168">
        <f>DW133/DY133</f>
        <v>16552.130965218472</v>
      </c>
      <c r="EA133" s="168">
        <f>b_ch_C</f>
        <v>410.3</v>
      </c>
      <c r="EB133" s="168">
        <f>DZ133/$DZ$134</f>
        <v>0.63592061363025532</v>
      </c>
      <c r="EC133" s="180">
        <f t="shared" si="43"/>
        <v>-0.45268154476892275</v>
      </c>
      <c r="ED133" s="180">
        <f>RT0*EC133</f>
        <v>-1.0280258003104901</v>
      </c>
      <c r="EE133" s="180">
        <f t="shared" si="44"/>
        <v>409.27197419968951</v>
      </c>
      <c r="EF133" s="180">
        <f t="shared" si="45"/>
        <v>260.26448497473257</v>
      </c>
      <c r="EG133" s="180">
        <f>$DZ$134*EF133</f>
        <v>6774323.3173467768</v>
      </c>
      <c r="EL133" s="141" t="s">
        <v>409</v>
      </c>
      <c r="EM133" s="100">
        <f>FF130/SUM(EO117,EG152,EG140,EG126,EG114,EG101)</f>
        <v>0.29488597008746631</v>
      </c>
      <c r="ET133" s="4"/>
      <c r="EU133" s="1"/>
      <c r="EV133" s="1"/>
      <c r="EY133" s="4"/>
      <c r="EZ133" s="4"/>
      <c r="FE133" s="1"/>
    </row>
    <row r="134" spans="2:164" ht="16" x14ac:dyDescent="0.2"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6"/>
      <c r="BH134" s="4"/>
      <c r="BI134" s="4"/>
      <c r="BJ134" s="4"/>
      <c r="BK134" s="4"/>
      <c r="BL134" s="4"/>
      <c r="BM134" s="4"/>
      <c r="BN134" s="4"/>
      <c r="BO134" s="4"/>
      <c r="BP134" s="4"/>
      <c r="BS134" s="4"/>
      <c r="BT134" s="4"/>
      <c r="BX134" s="114"/>
      <c r="DO134" s="4"/>
      <c r="DP134" s="4"/>
      <c r="DQ134" s="4"/>
      <c r="DR134" s="4"/>
      <c r="DS134" s="4"/>
      <c r="DT134" s="4"/>
      <c r="DV134" s="8" t="s">
        <v>19</v>
      </c>
      <c r="DW134" s="176">
        <f>SUM(DW130:DW133)</f>
        <v>1309.8157778632656</v>
      </c>
      <c r="DX134" s="176"/>
      <c r="DY134" s="177">
        <f>SUM(DY130:DY133)</f>
        <v>0.28786090000000003</v>
      </c>
      <c r="DZ134" s="177">
        <f>SUM(DZ130:DZ133)</f>
        <v>26028.612078995153</v>
      </c>
      <c r="EA134" s="177"/>
      <c r="EB134" s="177">
        <f>SUM(EB130:EB133)</f>
        <v>1</v>
      </c>
      <c r="EC134" s="177"/>
      <c r="ED134" s="177"/>
      <c r="EE134" s="177"/>
      <c r="EF134" s="177"/>
      <c r="EG134" s="177">
        <f>SUM(EG130:EG133)</f>
        <v>7072531.8830895294</v>
      </c>
      <c r="EM134" s="4"/>
      <c r="ET134" s="4"/>
      <c r="EU134" s="1"/>
      <c r="EV134" s="1"/>
      <c r="EY134" s="4"/>
      <c r="EZ134" s="4"/>
      <c r="FE134" s="1"/>
    </row>
    <row r="135" spans="2:164" ht="19" thickBot="1" x14ac:dyDescent="0.3"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S135" s="4"/>
      <c r="BT135" s="4"/>
      <c r="DW135" s="181" t="s">
        <v>90</v>
      </c>
      <c r="DX135" s="181"/>
      <c r="DY135" s="168" t="s">
        <v>92</v>
      </c>
      <c r="DZ135" s="168" t="s">
        <v>88</v>
      </c>
      <c r="EA135" s="182"/>
      <c r="EB135" s="182"/>
      <c r="EC135" s="168"/>
      <c r="ED135" s="168"/>
      <c r="EE135" s="168"/>
      <c r="EF135" s="168" t="s">
        <v>97</v>
      </c>
      <c r="EG135" s="180" t="s">
        <v>94</v>
      </c>
      <c r="EL135" s="4"/>
      <c r="ET135" s="4"/>
      <c r="EU135" s="1"/>
      <c r="EV135" s="1"/>
      <c r="EY135" s="4"/>
      <c r="EZ135" s="4"/>
      <c r="FE135" s="1"/>
    </row>
    <row r="136" spans="2:164" ht="16" x14ac:dyDescent="0.2"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Z136" s="1"/>
      <c r="CA136" s="1"/>
      <c r="CB136" s="1"/>
      <c r="CC136" s="1"/>
      <c r="CD136" s="1"/>
      <c r="CE136" s="1"/>
      <c r="CH136" s="4"/>
      <c r="CI136" s="4"/>
      <c r="CQ136" s="63" t="s">
        <v>1</v>
      </c>
      <c r="CR136" s="58" t="s">
        <v>0</v>
      </c>
      <c r="EA136" s="179"/>
      <c r="EB136" s="168"/>
      <c r="EC136" s="168"/>
      <c r="ED136" s="168"/>
      <c r="EE136" s="168"/>
      <c r="EF136" s="168"/>
      <c r="EG136" s="168"/>
      <c r="EH136" s="168"/>
      <c r="EI136" s="168"/>
      <c r="EJ136" s="168"/>
      <c r="EW136" s="4"/>
      <c r="EX136" s="1"/>
      <c r="EY136" s="1"/>
      <c r="FB136" s="4"/>
      <c r="FC136" s="4"/>
    </row>
    <row r="137" spans="2:164" ht="19" thickBot="1" x14ac:dyDescent="0.3">
      <c r="B137" s="312" t="s">
        <v>499</v>
      </c>
      <c r="C137" s="312"/>
      <c r="D137" s="312"/>
      <c r="E137" s="312"/>
      <c r="F137" s="312"/>
      <c r="G137" s="312"/>
      <c r="H137" s="312"/>
      <c r="S137" s="4"/>
      <c r="T137" s="4"/>
      <c r="U137" s="4"/>
      <c r="V137" s="4"/>
      <c r="W137" s="90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Z137" s="1"/>
      <c r="CA137" s="1"/>
      <c r="CB137" s="1"/>
      <c r="CC137" s="1"/>
      <c r="CD137" s="1"/>
      <c r="CE137" s="1"/>
      <c r="CH137" s="4"/>
      <c r="CI137" s="4"/>
      <c r="CQ137" s="65" t="s">
        <v>90</v>
      </c>
      <c r="CR137" s="64" t="s">
        <v>94</v>
      </c>
      <c r="DW137" s="179"/>
      <c r="DX137" s="179"/>
      <c r="DY137" s="168"/>
      <c r="DZ137" s="168"/>
      <c r="EA137" s="168"/>
      <c r="EB137" s="168"/>
      <c r="EC137" s="168"/>
      <c r="ED137" s="168"/>
      <c r="EE137" s="168"/>
      <c r="EF137" s="168"/>
      <c r="EG137" s="168"/>
      <c r="ET137" s="4"/>
      <c r="EU137" s="1"/>
      <c r="EV137" s="1"/>
      <c r="EY137" s="4"/>
      <c r="EZ137" s="4"/>
      <c r="FE137" s="1"/>
      <c r="FH137" s="1"/>
    </row>
    <row r="138" spans="2:164" ht="17" thickBot="1" x14ac:dyDescent="0.25">
      <c r="B138" s="313"/>
      <c r="C138" s="313"/>
      <c r="D138" s="313"/>
      <c r="E138" s="313"/>
      <c r="F138" s="313"/>
      <c r="G138" s="313"/>
      <c r="H138" s="313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63" t="s">
        <v>1</v>
      </c>
      <c r="U138" s="58" t="s">
        <v>0</v>
      </c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V138" s="160" t="s">
        <v>341</v>
      </c>
      <c r="BW138" s="158" t="s">
        <v>1</v>
      </c>
      <c r="BX138" s="58" t="s">
        <v>0</v>
      </c>
      <c r="CC138" s="1"/>
      <c r="CD138" s="1"/>
      <c r="CE138" s="1"/>
      <c r="CF138" s="1"/>
      <c r="CG138" s="1"/>
      <c r="CH138" s="1"/>
      <c r="CK138" s="4"/>
      <c r="CL138" s="4"/>
      <c r="CM138" s="3" t="s">
        <v>551</v>
      </c>
      <c r="CQ138" s="50">
        <f>CH146</f>
        <v>21178.628376204575</v>
      </c>
      <c r="CR138" s="48">
        <f>CR146</f>
        <v>1065721621.9898958</v>
      </c>
      <c r="DW138" s="179"/>
      <c r="DX138" s="179"/>
      <c r="DY138" s="168"/>
      <c r="DZ138" s="168"/>
      <c r="EA138" s="168"/>
      <c r="EB138" s="168"/>
      <c r="EC138" s="168"/>
      <c r="ED138" s="168"/>
      <c r="EE138" s="168"/>
      <c r="EF138" s="183" t="s">
        <v>1</v>
      </c>
      <c r="EG138" s="184" t="s">
        <v>0</v>
      </c>
      <c r="ET138" s="1"/>
      <c r="EU138" s="1"/>
      <c r="EV138" s="1"/>
      <c r="EY138" s="4"/>
      <c r="EZ138" s="4"/>
      <c r="FE138" s="1"/>
    </row>
    <row r="139" spans="2:164" ht="19" thickBot="1" x14ac:dyDescent="0.3">
      <c r="B139" s="15" t="s">
        <v>265</v>
      </c>
      <c r="C139" s="115" t="s">
        <v>264</v>
      </c>
      <c r="D139" s="115" t="s">
        <v>236</v>
      </c>
      <c r="E139" s="115" t="s">
        <v>236</v>
      </c>
      <c r="F139" s="115" t="s">
        <v>236</v>
      </c>
      <c r="G139" s="116" t="s">
        <v>323</v>
      </c>
      <c r="H139" s="115" t="s">
        <v>317</v>
      </c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65" t="s">
        <v>90</v>
      </c>
      <c r="U139" s="64" t="s">
        <v>94</v>
      </c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V139" s="161" t="s">
        <v>63</v>
      </c>
      <c r="BW139" s="23" t="s">
        <v>90</v>
      </c>
      <c r="BX139" s="64" t="s">
        <v>94</v>
      </c>
      <c r="CG139" s="1"/>
      <c r="CH139" s="1"/>
      <c r="CI139" s="4"/>
      <c r="CJ139" s="4"/>
      <c r="CK139" s="4"/>
      <c r="CL139" s="4"/>
      <c r="CM139" s="4"/>
      <c r="CN139" s="4"/>
      <c r="CO139" s="4"/>
      <c r="CP139" s="4"/>
      <c r="CQ139" s="4"/>
      <c r="DW139" s="179"/>
      <c r="DX139" s="179"/>
      <c r="DY139" s="168"/>
      <c r="DZ139" s="168"/>
      <c r="EA139" s="168"/>
      <c r="EB139" s="168"/>
      <c r="EC139" s="168"/>
      <c r="ED139" s="168"/>
      <c r="EE139" s="168"/>
      <c r="EF139" s="185" t="s">
        <v>90</v>
      </c>
      <c r="EG139" s="186" t="s">
        <v>94</v>
      </c>
      <c r="ET139" s="1"/>
      <c r="EU139" s="1"/>
      <c r="EV139" s="1"/>
      <c r="EY139" s="4"/>
      <c r="EZ139" s="4"/>
      <c r="FE139" s="63" t="s">
        <v>1</v>
      </c>
      <c r="FF139" s="58" t="s">
        <v>0</v>
      </c>
    </row>
    <row r="140" spans="2:164" ht="19" thickBot="1" x14ac:dyDescent="0.3">
      <c r="B140" s="15" t="s">
        <v>99</v>
      </c>
      <c r="C140" s="15" t="s">
        <v>99</v>
      </c>
      <c r="D140" s="115" t="s">
        <v>329</v>
      </c>
      <c r="E140" s="115" t="s">
        <v>330</v>
      </c>
      <c r="F140" s="115" t="s">
        <v>48</v>
      </c>
      <c r="G140" s="116" t="s">
        <v>99</v>
      </c>
      <c r="H140" s="115" t="s">
        <v>48</v>
      </c>
      <c r="J140" s="4"/>
      <c r="K140" s="4"/>
      <c r="L140" s="4"/>
      <c r="M140" s="4"/>
      <c r="N140" s="4"/>
      <c r="O140" s="4"/>
      <c r="P140" s="4" t="s">
        <v>531</v>
      </c>
      <c r="Q140" s="4"/>
      <c r="R140" s="4"/>
      <c r="S140" s="4"/>
      <c r="T140" s="50">
        <f>L145</f>
        <v>5.6184061187345121E-3</v>
      </c>
      <c r="U140" s="48">
        <f>U145</f>
        <v>239.81393514966189</v>
      </c>
      <c r="V140" s="4"/>
      <c r="W140" s="4"/>
      <c r="X140" s="4"/>
      <c r="Y140" s="4"/>
      <c r="Z140" s="4"/>
      <c r="AA140" s="4"/>
      <c r="AD140" s="4"/>
      <c r="AE140" s="4"/>
      <c r="AM140" s="63" t="s">
        <v>1</v>
      </c>
      <c r="AN140" s="58" t="s">
        <v>0</v>
      </c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S140" s="3" t="s">
        <v>544</v>
      </c>
      <c r="BV140" s="123">
        <v>298.14999999999998</v>
      </c>
      <c r="BW140" s="159">
        <f>BN146</f>
        <v>287.74918282404701</v>
      </c>
      <c r="BX140" s="48">
        <f>BX146</f>
        <v>2228.753251272266</v>
      </c>
      <c r="CG140" s="4"/>
      <c r="CH140" s="1" t="s">
        <v>577</v>
      </c>
      <c r="CI140" s="1" t="s">
        <v>578</v>
      </c>
      <c r="CJ140" s="1" t="s">
        <v>580</v>
      </c>
      <c r="CK140" s="1" t="s">
        <v>86</v>
      </c>
      <c r="CL140" s="1" t="s">
        <v>6</v>
      </c>
      <c r="CM140" s="1" t="s">
        <v>7</v>
      </c>
      <c r="CN140" s="1" t="s">
        <v>8</v>
      </c>
      <c r="CO140" s="1" t="s">
        <v>9</v>
      </c>
      <c r="CP140" s="1" t="s">
        <v>49</v>
      </c>
      <c r="CQ140" s="1" t="s">
        <v>579</v>
      </c>
      <c r="CR140" s="1" t="s">
        <v>50</v>
      </c>
      <c r="DW140" s="179"/>
      <c r="DX140" s="179"/>
      <c r="DY140" s="168"/>
      <c r="DZ140" s="168"/>
      <c r="EA140" s="168"/>
      <c r="EB140" s="168" t="s">
        <v>544</v>
      </c>
      <c r="EC140" s="168"/>
      <c r="ED140" s="168"/>
      <c r="EE140" s="168"/>
      <c r="EF140" s="174">
        <f>DW146</f>
        <v>2870.841834451006</v>
      </c>
      <c r="EG140" s="175">
        <f>EG146</f>
        <v>23611.293462025522</v>
      </c>
      <c r="ET140" s="1"/>
      <c r="EU140" s="1"/>
      <c r="EV140" s="1"/>
      <c r="EY140" s="4"/>
      <c r="EZ140" s="4"/>
      <c r="FE140" s="65" t="s">
        <v>90</v>
      </c>
      <c r="FF140" s="64" t="s">
        <v>94</v>
      </c>
    </row>
    <row r="141" spans="2:164" ht="19.25" customHeight="1" thickBot="1" x14ac:dyDescent="0.3">
      <c r="B141" s="15" t="s">
        <v>279</v>
      </c>
      <c r="C141" s="115" t="s">
        <v>271</v>
      </c>
      <c r="D141" s="15">
        <v>5570</v>
      </c>
      <c r="E141" s="115">
        <f t="shared" ref="E141:E148" si="48">D141*Btu_to_kJ</f>
        <v>5876.6842000000006</v>
      </c>
      <c r="F141" s="115">
        <f t="shared" ref="F141:F148" si="49">E141*($AD$131/1000)</f>
        <v>61.28077095942907</v>
      </c>
      <c r="G141" s="115">
        <v>1.06</v>
      </c>
      <c r="H141" s="115">
        <f t="shared" ref="H141:H148" si="50">F141*G141</f>
        <v>64.957617216994819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D141" s="4"/>
      <c r="AE141" s="4"/>
      <c r="AM141" s="65" t="s">
        <v>90</v>
      </c>
      <c r="AN141" s="64" t="s">
        <v>94</v>
      </c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CG141" s="4" t="s">
        <v>41</v>
      </c>
      <c r="CH141" s="1" t="s">
        <v>89</v>
      </c>
      <c r="CI141" s="4" t="s">
        <v>284</v>
      </c>
      <c r="CJ141" s="2" t="s">
        <v>91</v>
      </c>
      <c r="CK141" s="2" t="s">
        <v>87</v>
      </c>
      <c r="CL141" s="2" t="s">
        <v>96</v>
      </c>
      <c r="CM141" s="2" t="s">
        <v>25</v>
      </c>
      <c r="CN141" s="2" t="s">
        <v>99</v>
      </c>
      <c r="CO141" s="2" t="s">
        <v>96</v>
      </c>
      <c r="CP141" s="2" t="s">
        <v>96</v>
      </c>
      <c r="CQ141" s="2" t="s">
        <v>95</v>
      </c>
      <c r="CR141" s="2" t="s">
        <v>93</v>
      </c>
      <c r="DW141" s="179"/>
      <c r="DX141" s="179"/>
      <c r="DY141" s="168"/>
      <c r="DZ141" s="168"/>
      <c r="EA141" s="168"/>
      <c r="EB141" s="168"/>
      <c r="EC141" s="168"/>
      <c r="ED141" s="168"/>
      <c r="EE141" s="168"/>
      <c r="EF141" s="168"/>
      <c r="EG141" s="168"/>
      <c r="ET141" s="1"/>
      <c r="EU141" s="1"/>
      <c r="EV141" s="1"/>
      <c r="EY141" s="4"/>
      <c r="EZ141" s="4" t="s">
        <v>575</v>
      </c>
      <c r="FE141" s="50">
        <f>EV148</f>
        <v>3432.8541806261665</v>
      </c>
      <c r="FF141" s="48">
        <f>FF148</f>
        <v>432711.9695416363</v>
      </c>
    </row>
    <row r="142" spans="2:164" ht="19" thickBot="1" x14ac:dyDescent="0.3">
      <c r="B142" s="15" t="s">
        <v>279</v>
      </c>
      <c r="C142" s="15" t="s">
        <v>272</v>
      </c>
      <c r="D142" s="15">
        <v>5140</v>
      </c>
      <c r="E142" s="115">
        <f t="shared" si="48"/>
        <v>5423.0084000000006</v>
      </c>
      <c r="F142" s="115">
        <f t="shared" si="49"/>
        <v>56.549939449096122</v>
      </c>
      <c r="G142" s="115">
        <v>1.06</v>
      </c>
      <c r="H142" s="115">
        <f t="shared" si="50"/>
        <v>59.942935816041896</v>
      </c>
      <c r="J142" s="4"/>
      <c r="K142" s="3" t="s">
        <v>583</v>
      </c>
      <c r="L142" s="1" t="s">
        <v>577</v>
      </c>
      <c r="M142" s="1" t="s">
        <v>580</v>
      </c>
      <c r="N142" s="1" t="s">
        <v>86</v>
      </c>
      <c r="O142" s="1" t="s">
        <v>6</v>
      </c>
      <c r="P142" s="1" t="s">
        <v>7</v>
      </c>
      <c r="Q142" s="1" t="s">
        <v>8</v>
      </c>
      <c r="R142" s="1" t="s">
        <v>9</v>
      </c>
      <c r="S142" s="1" t="s">
        <v>49</v>
      </c>
      <c r="T142" s="1" t="s">
        <v>579</v>
      </c>
      <c r="U142" s="1" t="s">
        <v>50</v>
      </c>
      <c r="V142" s="4"/>
      <c r="W142" s="4"/>
      <c r="X142" s="4"/>
      <c r="Y142" s="4"/>
      <c r="Z142" s="4"/>
      <c r="AA142" s="4"/>
      <c r="AB142" s="1"/>
      <c r="AC142" s="1"/>
      <c r="AD142" s="1"/>
      <c r="AG142" s="4"/>
      <c r="AH142" s="4"/>
      <c r="AI142" s="3" t="s">
        <v>565</v>
      </c>
      <c r="AM142" s="50">
        <f>AD149</f>
        <v>9.5761232166267446E-2</v>
      </c>
      <c r="AN142" s="48">
        <f>AN149</f>
        <v>7.1782646247188149</v>
      </c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312" t="s">
        <v>538</v>
      </c>
      <c r="BI142" s="312"/>
      <c r="BJ142" s="312"/>
      <c r="BK142" s="312"/>
      <c r="BM142" s="4"/>
      <c r="BN142" s="1" t="s">
        <v>577</v>
      </c>
      <c r="BO142" s="1" t="s">
        <v>578</v>
      </c>
      <c r="BP142" s="1" t="s">
        <v>580</v>
      </c>
      <c r="BQ142" s="1" t="s">
        <v>86</v>
      </c>
      <c r="BR142" s="1" t="s">
        <v>6</v>
      </c>
      <c r="BS142" s="1" t="s">
        <v>7</v>
      </c>
      <c r="BT142" s="1" t="s">
        <v>8</v>
      </c>
      <c r="BU142" s="1" t="s">
        <v>9</v>
      </c>
      <c r="BV142" s="1" t="s">
        <v>49</v>
      </c>
      <c r="BW142" s="1" t="s">
        <v>579</v>
      </c>
      <c r="BX142" s="1" t="s">
        <v>50</v>
      </c>
      <c r="BY142" s="1"/>
      <c r="CF142" s="318" t="s">
        <v>551</v>
      </c>
      <c r="CG142" s="17" t="s">
        <v>23</v>
      </c>
      <c r="CH142" s="8">
        <f>CO2_Kiln_Out+CO2_Kiln_Out_ADD</f>
        <v>258.78111600158365</v>
      </c>
      <c r="CI142" s="8">
        <f>CH142/CH146</f>
        <v>1.2218974307719538E-2</v>
      </c>
      <c r="CJ142" s="1">
        <f>MW_CO2</f>
        <v>4.4009800000000002E-2</v>
      </c>
      <c r="CK142" s="1">
        <f>CH142/CJ142</f>
        <v>5880.0793459998376</v>
      </c>
      <c r="CL142" s="1">
        <f>b_ch_CO2</f>
        <v>19.900000000000034</v>
      </c>
      <c r="CM142" s="1">
        <f>CK142/$CK$146</f>
        <v>4.5130640866266353E-3</v>
      </c>
      <c r="CN142" s="1">
        <f>LN(CM142)</f>
        <v>-5.4007789577890319</v>
      </c>
      <c r="CO142" s="1">
        <f>RT0*CN142</f>
        <v>-12.265002129069096</v>
      </c>
      <c r="CP142" s="1">
        <f>CL142+CO142</f>
        <v>7.6349978709309383</v>
      </c>
      <c r="CQ142" s="1">
        <f>CP142*CM142</f>
        <v>3.4457234692769241E-2</v>
      </c>
      <c r="CR142" s="8">
        <f>$CK$146*CQ142</f>
        <v>44894.393287613748</v>
      </c>
      <c r="DQ142" s="312" t="s">
        <v>538</v>
      </c>
      <c r="DR142" s="312"/>
      <c r="DS142" s="312"/>
      <c r="DT142" s="312"/>
      <c r="DV142" s="4"/>
      <c r="DW142" s="1" t="s">
        <v>577</v>
      </c>
      <c r="DX142" s="1" t="s">
        <v>578</v>
      </c>
      <c r="DY142" s="1" t="s">
        <v>580</v>
      </c>
      <c r="DZ142" s="1" t="s">
        <v>86</v>
      </c>
      <c r="EA142" s="1" t="s">
        <v>6</v>
      </c>
      <c r="EB142" s="1" t="s">
        <v>7</v>
      </c>
      <c r="EC142" s="1" t="s">
        <v>8</v>
      </c>
      <c r="ED142" s="1" t="s">
        <v>9</v>
      </c>
      <c r="EE142" s="1" t="s">
        <v>49</v>
      </c>
      <c r="EF142" s="1" t="s">
        <v>579</v>
      </c>
      <c r="EG142" s="1" t="s">
        <v>50</v>
      </c>
      <c r="EH142" s="1"/>
      <c r="EU142" s="1"/>
      <c r="EV142" s="1"/>
      <c r="EW142" s="4"/>
      <c r="EX142" s="4"/>
      <c r="EY142" s="4"/>
      <c r="EZ142" s="4"/>
      <c r="FA142" s="4"/>
      <c r="FB142" s="4"/>
      <c r="FC142" s="4"/>
      <c r="FD142" s="4"/>
      <c r="FE142" s="4"/>
    </row>
    <row r="143" spans="2:164" ht="18" x14ac:dyDescent="0.25">
      <c r="B143" s="15" t="s">
        <v>279</v>
      </c>
      <c r="C143" s="15" t="s">
        <v>253</v>
      </c>
      <c r="D143" s="15">
        <f>3660+2040+1020+133</f>
        <v>6853</v>
      </c>
      <c r="E143" s="115">
        <f t="shared" si="48"/>
        <v>7230.3261800000009</v>
      </c>
      <c r="F143" s="115">
        <f t="shared" si="49"/>
        <v>75.396251954213184</v>
      </c>
      <c r="G143" s="115">
        <v>1.06</v>
      </c>
      <c r="H143" s="115">
        <f t="shared" si="50"/>
        <v>79.920027071465981</v>
      </c>
      <c r="J143" s="4" t="s">
        <v>41</v>
      </c>
      <c r="K143" s="3" t="s">
        <v>582</v>
      </c>
      <c r="L143" s="1" t="s">
        <v>89</v>
      </c>
      <c r="M143" s="1" t="s">
        <v>91</v>
      </c>
      <c r="N143" s="1" t="s">
        <v>87</v>
      </c>
      <c r="O143" s="1" t="s">
        <v>96</v>
      </c>
      <c r="P143" s="1" t="s">
        <v>25</v>
      </c>
      <c r="Q143" s="1" t="s">
        <v>99</v>
      </c>
      <c r="R143" s="1" t="s">
        <v>96</v>
      </c>
      <c r="S143" s="1" t="s">
        <v>96</v>
      </c>
      <c r="T143" s="1" t="s">
        <v>95</v>
      </c>
      <c r="U143" s="1" t="s">
        <v>93</v>
      </c>
      <c r="V143" s="4"/>
      <c r="W143" s="4"/>
      <c r="X143" s="4"/>
      <c r="Y143" s="4"/>
      <c r="Z143" s="4"/>
      <c r="AA143" s="4"/>
      <c r="AC143" s="1"/>
      <c r="AD143" s="1"/>
      <c r="AE143" s="4"/>
      <c r="AF143" s="4"/>
      <c r="AG143" s="4"/>
      <c r="AH143" s="4"/>
      <c r="AI143" s="4"/>
      <c r="AJ143" s="4"/>
      <c r="AK143" s="4"/>
      <c r="AL143" s="4"/>
      <c r="AM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312"/>
      <c r="BI143" s="312"/>
      <c r="BJ143" s="312"/>
      <c r="BK143" s="312"/>
      <c r="BL143" s="4"/>
      <c r="BM143" s="4" t="s">
        <v>41</v>
      </c>
      <c r="BN143" s="1" t="s">
        <v>89</v>
      </c>
      <c r="BO143" s="4" t="s">
        <v>284</v>
      </c>
      <c r="BP143" s="2" t="s">
        <v>91</v>
      </c>
      <c r="BQ143" s="2" t="s">
        <v>87</v>
      </c>
      <c r="BR143" s="2" t="s">
        <v>96</v>
      </c>
      <c r="BS143" s="2" t="s">
        <v>25</v>
      </c>
      <c r="BT143" s="2" t="s">
        <v>99</v>
      </c>
      <c r="BU143" s="2" t="s">
        <v>96</v>
      </c>
      <c r="BV143" s="2" t="s">
        <v>96</v>
      </c>
      <c r="BW143" s="2" t="s">
        <v>95</v>
      </c>
      <c r="BX143" s="2" t="s">
        <v>93</v>
      </c>
      <c r="CF143" s="318"/>
      <c r="CG143" s="3" t="s">
        <v>65</v>
      </c>
      <c r="CH143" s="146">
        <f>CH4_Kiln_out</f>
        <v>20556.443397615094</v>
      </c>
      <c r="CI143" s="1">
        <f>CH143/$CH$146</f>
        <v>0.97062203616129639</v>
      </c>
      <c r="CJ143" s="1">
        <f>MW_CH4</f>
        <v>1.604276E-2</v>
      </c>
      <c r="CK143" s="1">
        <f>CH143/CJ143</f>
        <v>1281353.29566827</v>
      </c>
      <c r="CL143" s="1">
        <f>b_ch_CH4</f>
        <v>831.8</v>
      </c>
      <c r="CM143" s="1">
        <f>CK143/$CK$146</f>
        <v>0.98346114068939461</v>
      </c>
      <c r="CN143" s="1">
        <f t="shared" ref="CN143:CN145" si="51">LN(CM143)</f>
        <v>-1.6677153179780288E-2</v>
      </c>
      <c r="CO143" s="1">
        <f>RT0*CN143</f>
        <v>-3.7873299547247774E-2</v>
      </c>
      <c r="CP143" s="1">
        <f t="shared" ref="CP143:CP145" si="52">CL143+CO143</f>
        <v>831.76212670045265</v>
      </c>
      <c r="CQ143" s="1">
        <f t="shared" ref="CQ143:CQ145" si="53">CP143*CM143</f>
        <v>818.00572990706394</v>
      </c>
      <c r="CR143" s="1">
        <f>$CK$146*CQ143</f>
        <v>1065781142.2596742</v>
      </c>
      <c r="DQ143" s="312"/>
      <c r="DR143" s="312"/>
      <c r="DS143" s="312"/>
      <c r="DT143" s="312"/>
      <c r="DV143" s="95" t="s">
        <v>41</v>
      </c>
      <c r="DW143" s="187" t="s">
        <v>89</v>
      </c>
      <c r="DX143" s="1" t="s">
        <v>581</v>
      </c>
      <c r="DY143" s="188" t="s">
        <v>91</v>
      </c>
      <c r="DZ143" s="188" t="s">
        <v>87</v>
      </c>
      <c r="EA143" s="188" t="s">
        <v>96</v>
      </c>
      <c r="EB143" s="188" t="s">
        <v>25</v>
      </c>
      <c r="EC143" s="188" t="s">
        <v>99</v>
      </c>
      <c r="ED143" s="188" t="s">
        <v>96</v>
      </c>
      <c r="EE143" s="188" t="s">
        <v>96</v>
      </c>
      <c r="EF143" s="188" t="s">
        <v>95</v>
      </c>
      <c r="EG143" s="188" t="s">
        <v>93</v>
      </c>
      <c r="EH143" s="1"/>
      <c r="EU143" s="1"/>
      <c r="EV143" s="1" t="s">
        <v>577</v>
      </c>
      <c r="EW143" s="1" t="s">
        <v>578</v>
      </c>
      <c r="EX143" s="1" t="s">
        <v>580</v>
      </c>
      <c r="EY143" s="1" t="s">
        <v>86</v>
      </c>
      <c r="EZ143" s="1" t="s">
        <v>6</v>
      </c>
      <c r="FA143" s="1" t="s">
        <v>7</v>
      </c>
      <c r="FB143" s="1" t="s">
        <v>8</v>
      </c>
      <c r="FC143" s="1" t="s">
        <v>9</v>
      </c>
      <c r="FD143" s="1" t="s">
        <v>49</v>
      </c>
      <c r="FE143" s="1" t="s">
        <v>579</v>
      </c>
      <c r="FF143" s="1" t="s">
        <v>50</v>
      </c>
    </row>
    <row r="144" spans="2:164" ht="18" customHeight="1" x14ac:dyDescent="0.25">
      <c r="B144" s="15" t="s">
        <v>279</v>
      </c>
      <c r="C144" s="15" t="s">
        <v>273</v>
      </c>
      <c r="D144" s="15">
        <f>3100</f>
        <v>3100</v>
      </c>
      <c r="E144" s="115">
        <f t="shared" si="48"/>
        <v>3270.6860000000001</v>
      </c>
      <c r="F144" s="115">
        <f t="shared" si="49"/>
        <v>34.105994609377035</v>
      </c>
      <c r="G144" s="115">
        <v>1.06</v>
      </c>
      <c r="H144" s="115">
        <f t="shared" si="50"/>
        <v>36.152354285939658</v>
      </c>
      <c r="I144" s="223" t="s">
        <v>531</v>
      </c>
      <c r="J144" s="62" t="s">
        <v>502</v>
      </c>
      <c r="K144" s="17">
        <f>F149</f>
        <v>241.59146310558401</v>
      </c>
      <c r="L144" s="17">
        <f>K144/LHV_Diesel</f>
        <v>5.6184061187345121E-3</v>
      </c>
      <c r="M144" s="17">
        <f>MW_C12H23</f>
        <v>0.16731462</v>
      </c>
      <c r="N144" s="17">
        <f>L144/M144</f>
        <v>3.3579887512128419E-2</v>
      </c>
      <c r="O144" s="17">
        <f>b_ch_C12H23</f>
        <v>7141.5943565339712</v>
      </c>
      <c r="P144" s="17">
        <f>N144/N145</f>
        <v>1</v>
      </c>
      <c r="Q144" s="17">
        <f>LN(P144)</f>
        <v>0</v>
      </c>
      <c r="R144" s="17">
        <f>RT0*Q144</f>
        <v>0</v>
      </c>
      <c r="S144" s="17">
        <f>R144+O144</f>
        <v>7141.5943565339712</v>
      </c>
      <c r="T144" s="17">
        <f>P144*S144</f>
        <v>7141.5943565339712</v>
      </c>
      <c r="U144" s="17">
        <f>T144*N145</f>
        <v>239.81393514966189</v>
      </c>
      <c r="V144" s="4"/>
      <c r="W144" s="4"/>
      <c r="X144" s="4"/>
      <c r="Y144" s="4"/>
      <c r="Z144" s="4"/>
      <c r="AA144" s="4"/>
      <c r="AC144" s="4"/>
      <c r="AD144" s="1" t="s">
        <v>577</v>
      </c>
      <c r="AE144" s="1" t="s">
        <v>578</v>
      </c>
      <c r="AF144" s="1" t="s">
        <v>580</v>
      </c>
      <c r="AG144" s="1" t="s">
        <v>86</v>
      </c>
      <c r="AH144" s="1" t="s">
        <v>6</v>
      </c>
      <c r="AI144" s="1" t="s">
        <v>7</v>
      </c>
      <c r="AJ144" s="1" t="s">
        <v>8</v>
      </c>
      <c r="AK144" s="1" t="s">
        <v>9</v>
      </c>
      <c r="AL144" s="1" t="s">
        <v>49</v>
      </c>
      <c r="AM144" s="1" t="s">
        <v>579</v>
      </c>
      <c r="AN144" s="1" t="s">
        <v>50</v>
      </c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318" t="s">
        <v>544</v>
      </c>
      <c r="BM144" s="8" t="s">
        <v>304</v>
      </c>
      <c r="BN144" s="17">
        <f>0.21*BN146</f>
        <v>60.427328393049869</v>
      </c>
      <c r="BO144" s="17">
        <f>O2_Kiln_in/BN146</f>
        <v>0.21</v>
      </c>
      <c r="BP144" s="3">
        <f>MW_O2</f>
        <v>3.1998800000000001E-2</v>
      </c>
      <c r="BQ144" s="3">
        <f>BN144/BP144</f>
        <v>1888.4248282138665</v>
      </c>
      <c r="BR144" s="3">
        <f>b_ch_O2</f>
        <v>4</v>
      </c>
      <c r="BS144" s="3">
        <f>BQ144/BQ146</f>
        <v>0.18878290627548347</v>
      </c>
      <c r="BT144" s="1">
        <f>LN(BS144)</f>
        <v>-1.6671575681647295</v>
      </c>
      <c r="BU144" s="1">
        <f>RT0*BT144</f>
        <v>-3.786063322133244</v>
      </c>
      <c r="BV144" s="1">
        <f>BR144+BU144</f>
        <v>0.21393667786675596</v>
      </c>
      <c r="BW144" s="1">
        <f>BV144*BS144</f>
        <v>4.0387587806608088E-2</v>
      </c>
      <c r="BX144" s="1">
        <f>BQ146*BW144</f>
        <v>404.00333414917395</v>
      </c>
      <c r="CF144" s="318"/>
      <c r="CG144" s="3" t="s">
        <v>68</v>
      </c>
      <c r="CH144" s="1">
        <f>H2O_Kiln_Out</f>
        <v>136.08200815689884</v>
      </c>
      <c r="CI144" s="1">
        <f>CH144/$CH$146</f>
        <v>6.4254401059227664E-3</v>
      </c>
      <c r="CJ144" s="6">
        <f>MW_H2O</f>
        <v>1.8015280000000002E-2</v>
      </c>
      <c r="CK144" s="1">
        <f t="shared" ref="CK144:CK145" si="54">CH144/CJ144</f>
        <v>7553.6993128554659</v>
      </c>
      <c r="CL144" s="6">
        <f>b_ch_H2O</f>
        <v>9.5113440000000082</v>
      </c>
      <c r="CM144" s="1">
        <f>CK144/$CK$146</f>
        <v>5.797596781277386E-3</v>
      </c>
      <c r="CN144" s="1">
        <f t="shared" si="51"/>
        <v>-5.1503117953512616</v>
      </c>
      <c r="CO144" s="1">
        <f>RT0*CN144</f>
        <v>-11.696198942608238</v>
      </c>
      <c r="CP144" s="1">
        <f t="shared" si="52"/>
        <v>-2.1848549426082293</v>
      </c>
      <c r="CQ144" s="1">
        <f>CP144*CM144</f>
        <v>-1.2666907982823458E-2</v>
      </c>
      <c r="CR144" s="1">
        <f>$CK$146*CQ144</f>
        <v>-16503.73727866865</v>
      </c>
      <c r="DU144" s="318" t="s">
        <v>544</v>
      </c>
      <c r="DV144" s="1" t="s">
        <v>304</v>
      </c>
      <c r="DW144" s="179">
        <f>O2_BF_in+O2_added_BF+((((DZ118*O2_Naturalgas_molcoeff)+(DZ105*O2_Oil_molcoeff)))*DY144)</f>
        <v>750.02828160126808</v>
      </c>
      <c r="DX144" s="176">
        <f>DW144/DW146</f>
        <v>0.26125726349696193</v>
      </c>
      <c r="DY144" s="262">
        <f>MW_O2</f>
        <v>3.1998800000000001E-2</v>
      </c>
      <c r="DZ144" s="168">
        <f>DW144/DY144</f>
        <v>23439.262772393591</v>
      </c>
      <c r="EA144" s="168">
        <f>b_ch_O2</f>
        <v>4</v>
      </c>
      <c r="EB144" s="168">
        <f>DZ144/$DZ$146</f>
        <v>0.23641120950762273</v>
      </c>
      <c r="EC144" s="180">
        <f>LN(EB144)</f>
        <v>-1.4421825770294348</v>
      </c>
      <c r="ED144" s="180">
        <f>RT0*EC144</f>
        <v>-3.2751520689922158</v>
      </c>
      <c r="EE144" s="180">
        <f>EA144+ED144</f>
        <v>0.72484793100778422</v>
      </c>
      <c r="EF144" s="180">
        <f>EE144*EB144</f>
        <v>0.17136217607864815</v>
      </c>
      <c r="EG144" s="180">
        <f>$DZ$146*EF144</f>
        <v>16989.901124917276</v>
      </c>
      <c r="EU144" s="2" t="s">
        <v>41</v>
      </c>
      <c r="EV144" s="1" t="s">
        <v>89</v>
      </c>
      <c r="EW144" s="1" t="s">
        <v>581</v>
      </c>
      <c r="EX144" s="1" t="s">
        <v>91</v>
      </c>
      <c r="EY144" s="1" t="s">
        <v>87</v>
      </c>
      <c r="EZ144" s="1" t="s">
        <v>96</v>
      </c>
      <c r="FA144" s="1" t="s">
        <v>25</v>
      </c>
      <c r="FB144" s="1" t="s">
        <v>99</v>
      </c>
      <c r="FC144" s="1" t="s">
        <v>96</v>
      </c>
      <c r="FD144" s="1" t="s">
        <v>96</v>
      </c>
      <c r="FE144" s="1" t="s">
        <v>95</v>
      </c>
      <c r="FF144" s="1" t="s">
        <v>93</v>
      </c>
    </row>
    <row r="145" spans="2:162" ht="18" x14ac:dyDescent="0.25">
      <c r="B145" s="15" t="s">
        <v>279</v>
      </c>
      <c r="C145" s="15" t="s">
        <v>274</v>
      </c>
      <c r="D145" s="15">
        <v>1060</v>
      </c>
      <c r="E145" s="115">
        <f t="shared" si="48"/>
        <v>1118.3636000000001</v>
      </c>
      <c r="F145" s="115">
        <f t="shared" si="49"/>
        <v>11.662049769657957</v>
      </c>
      <c r="G145" s="115">
        <v>1.06</v>
      </c>
      <c r="H145" s="115">
        <f t="shared" si="50"/>
        <v>12.361772755837434</v>
      </c>
      <c r="J145" s="17" t="s">
        <v>19</v>
      </c>
      <c r="K145" s="17">
        <f>SUM(K144)</f>
        <v>241.59146310558401</v>
      </c>
      <c r="L145" s="17">
        <f>SUM(L144)</f>
        <v>5.6184061187345121E-3</v>
      </c>
      <c r="M145" s="17">
        <f>SUM(M144)</f>
        <v>0.16731462</v>
      </c>
      <c r="N145" s="17">
        <f>SUM(N144)</f>
        <v>3.3579887512128419E-2</v>
      </c>
      <c r="O145" s="17"/>
      <c r="P145" s="17"/>
      <c r="Q145" s="17"/>
      <c r="R145" s="17"/>
      <c r="S145" s="17"/>
      <c r="T145" s="17">
        <f>SUM(T144)</f>
        <v>7141.5943565339712</v>
      </c>
      <c r="U145" s="17">
        <f>SUM(U144)</f>
        <v>239.81393514966189</v>
      </c>
      <c r="V145" s="4"/>
      <c r="W145" s="4"/>
      <c r="X145" s="4"/>
      <c r="Y145" s="4"/>
      <c r="Z145" s="4"/>
      <c r="AA145" s="4"/>
      <c r="AC145" s="4" t="s">
        <v>41</v>
      </c>
      <c r="AD145" s="1" t="s">
        <v>89</v>
      </c>
      <c r="AE145" s="4" t="s">
        <v>284</v>
      </c>
      <c r="AF145" s="2" t="s">
        <v>91</v>
      </c>
      <c r="AG145" s="2" t="s">
        <v>87</v>
      </c>
      <c r="AH145" s="2" t="s">
        <v>96</v>
      </c>
      <c r="AI145" s="2" t="s">
        <v>25</v>
      </c>
      <c r="AJ145" s="2" t="s">
        <v>99</v>
      </c>
      <c r="AK145" s="2" t="s">
        <v>96</v>
      </c>
      <c r="AL145" s="2" t="s">
        <v>96</v>
      </c>
      <c r="AM145" s="2" t="s">
        <v>95</v>
      </c>
      <c r="AN145" s="2" t="s">
        <v>93</v>
      </c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318"/>
      <c r="BM145" s="60" t="s">
        <v>67</v>
      </c>
      <c r="BN145" s="28">
        <f>BN146-BN144</f>
        <v>227.32185443099715</v>
      </c>
      <c r="BO145" s="3">
        <f>N2_Kiln_in/BN146</f>
        <v>0.79</v>
      </c>
      <c r="BP145" s="28">
        <f>MW_N2</f>
        <v>2.801348E-2</v>
      </c>
      <c r="BQ145" s="28">
        <f>BN145/BP145</f>
        <v>8114.7309948994962</v>
      </c>
      <c r="BR145" s="28">
        <f>b_ch_N2</f>
        <v>0.7</v>
      </c>
      <c r="BS145" s="28">
        <f>BQ145/BQ146</f>
        <v>0.81121709372451656</v>
      </c>
      <c r="BT145" s="2">
        <f>LN(BS145)</f>
        <v>-0.20921957422162568</v>
      </c>
      <c r="BU145" s="2">
        <f>RT0*BT145</f>
        <v>-0.47513118817246847</v>
      </c>
      <c r="BV145" s="2">
        <f>BR145+BU145</f>
        <v>0.22486881182753149</v>
      </c>
      <c r="BW145" s="2">
        <f>BV145*BS145</f>
        <v>0.18241742400001529</v>
      </c>
      <c r="BX145" s="2">
        <f>BQ146*BW145</f>
        <v>1824.749917123092</v>
      </c>
      <c r="CF145" s="318"/>
      <c r="CG145" s="7" t="s">
        <v>67</v>
      </c>
      <c r="CH145" s="28">
        <f>N2_Kiln_in</f>
        <v>227.32185443099715</v>
      </c>
      <c r="CI145" s="1">
        <f>CH145/$CH$146</f>
        <v>1.0733549425061282E-2</v>
      </c>
      <c r="CJ145" s="6">
        <f>MW_N2</f>
        <v>2.801348E-2</v>
      </c>
      <c r="CK145" s="1">
        <f t="shared" si="54"/>
        <v>8114.7309948994962</v>
      </c>
      <c r="CL145" s="6">
        <f>b_ch_N2</f>
        <v>0.7</v>
      </c>
      <c r="CM145" s="1">
        <f>CK145/$CK$146</f>
        <v>6.2281984427014145E-3</v>
      </c>
      <c r="CN145" s="1">
        <f t="shared" si="51"/>
        <v>-5.0786681625280483</v>
      </c>
      <c r="CO145" s="1">
        <f>RT0*CN145</f>
        <v>-11.533498466254974</v>
      </c>
      <c r="CP145" s="1">
        <f t="shared" si="52"/>
        <v>-10.833498466254975</v>
      </c>
      <c r="CQ145" s="1">
        <f t="shared" si="53"/>
        <v>-6.7473178276537399E-2</v>
      </c>
      <c r="CR145" s="1">
        <f>$CK$146*CQ145</f>
        <v>-87910.925787315398</v>
      </c>
      <c r="DU145" s="318"/>
      <c r="DV145" s="60" t="s">
        <v>67</v>
      </c>
      <c r="DW145" s="189">
        <f>N2_BF_out+N2_added_BF+(((DZ105+N2_molcoeff)+(DZ118*N2_molcoeff))*DY145)</f>
        <v>2120.8135528497378</v>
      </c>
      <c r="DX145" s="189">
        <f>DW145/DW146</f>
        <v>0.73874273650303801</v>
      </c>
      <c r="DY145" s="268">
        <f>MW_N2</f>
        <v>2.801348E-2</v>
      </c>
      <c r="DZ145" s="190">
        <f>DW145/DY145</f>
        <v>75706.893711518089</v>
      </c>
      <c r="EA145" s="190">
        <f>b_ch_N2</f>
        <v>0.7</v>
      </c>
      <c r="EB145" s="190">
        <f>DZ145/$DZ$146</f>
        <v>0.76358879049237727</v>
      </c>
      <c r="EC145" s="188">
        <f>LN(EB145)</f>
        <v>-0.26972586705445795</v>
      </c>
      <c r="ED145" s="188">
        <f>RT0*EC145</f>
        <v>-0.61253910955138202</v>
      </c>
      <c r="EE145" s="188">
        <f>EA145+ED145</f>
        <v>8.7460890448617934E-2</v>
      </c>
      <c r="EF145" s="188">
        <f>EE145*EB145</f>
        <v>6.6784155553046481E-2</v>
      </c>
      <c r="EG145" s="188">
        <f>$DZ$146*EF145</f>
        <v>6621.3923371082456</v>
      </c>
      <c r="ET145" s="318" t="s">
        <v>575</v>
      </c>
      <c r="EU145" s="3" t="s">
        <v>23</v>
      </c>
      <c r="EV145" s="8">
        <f>CO2_BF_Out+CO2_out_BF+(((DZ105*Co2_Oil_molcoef)+(DZ118*Co2_Naturalgas_molcoeff))*EX145)</f>
        <v>917.9296863796892</v>
      </c>
      <c r="EW145" s="8">
        <f>BF_CO2Waste/$EV$148</f>
        <v>0.26739547853799461</v>
      </c>
      <c r="EX145" s="8">
        <f>MW_CO2</f>
        <v>4.4009800000000002E-2</v>
      </c>
      <c r="EY145" s="8">
        <f>EV145/EX145</f>
        <v>20857.392816592877</v>
      </c>
      <c r="EZ145" s="8">
        <f>b_ch_CO2</f>
        <v>19.900000000000034</v>
      </c>
      <c r="FA145" s="8">
        <f>EY145/$EY$148</f>
        <v>0.17612704078891273</v>
      </c>
      <c r="FB145" s="8">
        <f>LN(FA145)</f>
        <v>-1.7365497216683923</v>
      </c>
      <c r="FC145" s="8">
        <f>RT0*FB145</f>
        <v>-3.9436507585225189</v>
      </c>
      <c r="FD145" s="8">
        <f>EZ145+FC145</f>
        <v>15.956349241477515</v>
      </c>
      <c r="FE145" s="8">
        <f>FD145*FA145</f>
        <v>2.810344573695847</v>
      </c>
      <c r="FF145" s="8">
        <f>$EY$148*FE145</f>
        <v>332807.84404824034</v>
      </c>
    </row>
    <row r="146" spans="2:162" ht="21" customHeight="1" x14ac:dyDescent="0.25">
      <c r="B146" s="15" t="s">
        <v>279</v>
      </c>
      <c r="C146" s="118" t="s">
        <v>275</v>
      </c>
      <c r="D146" s="15">
        <v>60</v>
      </c>
      <c r="E146" s="115">
        <f t="shared" si="48"/>
        <v>63.303600000000003</v>
      </c>
      <c r="F146" s="115">
        <f t="shared" si="49"/>
        <v>0.6601160246976201</v>
      </c>
      <c r="G146" s="115">
        <v>1.06</v>
      </c>
      <c r="H146" s="115">
        <f t="shared" si="50"/>
        <v>0.69972298617947737</v>
      </c>
      <c r="K146" s="3" t="s">
        <v>48</v>
      </c>
      <c r="L146" s="1" t="s">
        <v>90</v>
      </c>
      <c r="M146" s="3" t="s">
        <v>92</v>
      </c>
      <c r="N146" s="3" t="s">
        <v>88</v>
      </c>
      <c r="O146" s="4"/>
      <c r="P146" s="4"/>
      <c r="T146" s="3" t="s">
        <v>97</v>
      </c>
      <c r="U146" s="1" t="s">
        <v>94</v>
      </c>
      <c r="V146" s="4"/>
      <c r="W146" s="4"/>
      <c r="X146" s="4"/>
      <c r="Y146" s="4"/>
      <c r="Z146" s="4"/>
      <c r="AA146" s="4"/>
      <c r="AB146" s="318" t="s">
        <v>511</v>
      </c>
      <c r="AC146" s="17" t="s">
        <v>23</v>
      </c>
      <c r="AD146" s="8">
        <f>AF146*AG146</f>
        <v>1.9328044648272091E-2</v>
      </c>
      <c r="AE146" s="8">
        <f>AD146/AD149</f>
        <v>0.20183579733720811</v>
      </c>
      <c r="AF146" s="1">
        <f>MW_CO2</f>
        <v>4.4009800000000002E-2</v>
      </c>
      <c r="AG146" s="1">
        <f>(CO2_molcoeff*N144) + (CO2_Gasoline_molcoeff*N155)</f>
        <v>0.43917592555003865</v>
      </c>
      <c r="AH146" s="1">
        <f>b_ch_CO2</f>
        <v>19.900000000000034</v>
      </c>
      <c r="AI146" s="1">
        <f>AG146/AG149</f>
        <v>0.13228241320558115</v>
      </c>
      <c r="AJ146" s="1">
        <f>LN(AI146)</f>
        <v>-2.0228161478721045</v>
      </c>
      <c r="AK146" s="1">
        <f>RT0*AJ146</f>
        <v>-4.5937529667985801</v>
      </c>
      <c r="AL146" s="1">
        <f>AH146+AK146</f>
        <v>15.306247033201455</v>
      </c>
      <c r="AM146" s="1">
        <f>AL146*AI146</f>
        <v>2.0247472946726552</v>
      </c>
      <c r="AN146" s="8">
        <f>AG149*AM146</f>
        <v>6.722135207503781</v>
      </c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3" t="s">
        <v>19</v>
      </c>
      <c r="BN146" s="3">
        <f>(Air_to_Kiln*BN132)/Ore_to_Kiln</f>
        <v>287.74918282404701</v>
      </c>
      <c r="BO146" s="17"/>
      <c r="BP146" s="3">
        <f>SUM(BP144:BP145)</f>
        <v>6.0012280000000001E-2</v>
      </c>
      <c r="BQ146" s="3">
        <f>SUM(BQ144:BQ145)</f>
        <v>10003.155823113362</v>
      </c>
      <c r="BS146" s="3">
        <f>SUM(BS144:BS145)</f>
        <v>1</v>
      </c>
      <c r="BW146" s="3">
        <f>SUM(BW144:BW145)</f>
        <v>0.22280501180662338</v>
      </c>
      <c r="BX146" s="3">
        <f>SUM(BX144:BX145)</f>
        <v>2228.753251272266</v>
      </c>
      <c r="CG146" s="17" t="s">
        <v>19</v>
      </c>
      <c r="CH146" s="1">
        <f>SUM(CH142:CH145)</f>
        <v>21178.628376204575</v>
      </c>
      <c r="CI146" s="8">
        <f>SUM(CI142:CI145)</f>
        <v>1</v>
      </c>
      <c r="CJ146" s="17"/>
      <c r="CK146" s="8">
        <f>SUM(CK142:CK145)</f>
        <v>1302901.8053220247</v>
      </c>
      <c r="CL146" s="62"/>
      <c r="CM146" s="8">
        <f>SUM(CM142:CM145)</f>
        <v>1</v>
      </c>
      <c r="CN146" s="17"/>
      <c r="CO146" s="17"/>
      <c r="CP146" s="17"/>
      <c r="CQ146" s="8">
        <f>SUM(CQ142:CQ145)</f>
        <v>817.9600470554974</v>
      </c>
      <c r="CR146" s="8">
        <f>SUM(CR142:CR145)</f>
        <v>1065721621.9898958</v>
      </c>
      <c r="DV146" s="3" t="s">
        <v>19</v>
      </c>
      <c r="DW146" s="3">
        <f>SUM(DW144:DW145)</f>
        <v>2870.841834451006</v>
      </c>
      <c r="DY146" s="3">
        <f>SUM(DY144:DY145)</f>
        <v>6.0012280000000001E-2</v>
      </c>
      <c r="DZ146" s="3">
        <f>SUM(DZ144:DZ145)</f>
        <v>99146.156483911676</v>
      </c>
      <c r="EG146" s="3">
        <f>SUM(EG144:EG145)</f>
        <v>23611.293462025522</v>
      </c>
      <c r="ET146" s="318"/>
      <c r="EU146" s="3" t="s">
        <v>461</v>
      </c>
      <c r="EV146" s="1">
        <f>H2O_out_BF+(((DZ105*H2O_Oil_molcoeff)+(DZ118*H2O_Naturalgas_molcoeff))*EX146)</f>
        <v>393.18549180915653</v>
      </c>
      <c r="EW146" s="1">
        <f>EV146/EV148</f>
        <v>0.11453603069660183</v>
      </c>
      <c r="EX146" s="1">
        <f>MW_H2O</f>
        <v>1.8015280000000002E-2</v>
      </c>
      <c r="EY146" s="1">
        <f>EV146/EX146</f>
        <v>21825.111339327308</v>
      </c>
      <c r="EZ146" s="1">
        <f>b_ch_H2O</f>
        <v>9.5113440000000082</v>
      </c>
      <c r="FA146" s="1">
        <f>EY146/$EY$148</f>
        <v>0.18429879078780234</v>
      </c>
      <c r="FB146" s="1">
        <f>LN(FA146)</f>
        <v>-1.6911969754358471</v>
      </c>
      <c r="FC146" s="1">
        <f>RT0*FB146</f>
        <v>-3.8406560732282675</v>
      </c>
      <c r="FD146" s="1">
        <f>EZ146+FC146</f>
        <v>5.6706879267717412</v>
      </c>
      <c r="FE146" s="1">
        <f>FD146*FA146</f>
        <v>1.0451009278390218</v>
      </c>
      <c r="FF146" s="1">
        <f>$EY$148*FE146</f>
        <v>123763.3953723724</v>
      </c>
    </row>
    <row r="147" spans="2:162" ht="18" x14ac:dyDescent="0.25">
      <c r="B147" s="15" t="s">
        <v>279</v>
      </c>
      <c r="C147" s="15" t="s">
        <v>276</v>
      </c>
      <c r="D147" s="115">
        <v>170</v>
      </c>
      <c r="E147" s="115">
        <f t="shared" si="48"/>
        <v>179.36020000000002</v>
      </c>
      <c r="F147" s="115">
        <f t="shared" si="49"/>
        <v>1.8703287366432571</v>
      </c>
      <c r="G147" s="115">
        <v>1.06</v>
      </c>
      <c r="H147" s="115">
        <f t="shared" si="50"/>
        <v>1.9825484608418527</v>
      </c>
      <c r="L147" s="1"/>
      <c r="O147" s="4"/>
      <c r="P147" s="4"/>
      <c r="U147" s="1"/>
      <c r="V147" s="4"/>
      <c r="W147" s="4"/>
      <c r="X147" s="4"/>
      <c r="Y147" s="4"/>
      <c r="Z147" s="4"/>
      <c r="AA147" s="4"/>
      <c r="AB147" s="318"/>
      <c r="AC147" s="3" t="s">
        <v>68</v>
      </c>
      <c r="AD147" s="1">
        <f t="shared" ref="AD147:AD148" si="55">AF147*AG147</f>
        <v>7.6909597747494953E-3</v>
      </c>
      <c r="AE147" s="1">
        <f>AD147/AD149</f>
        <v>8.0313918281626803E-2</v>
      </c>
      <c r="AF147" s="6">
        <f>MW_H2O</f>
        <v>1.8015280000000002E-2</v>
      </c>
      <c r="AG147" s="1">
        <f>(H2O_molcoeff*N144)+(H2O_Gasoline_molcoeff*N155)</f>
        <v>0.42691314121953666</v>
      </c>
      <c r="AH147" s="6">
        <f>b_ch_H2O</f>
        <v>9.5113440000000082</v>
      </c>
      <c r="AI147" s="1">
        <f>AG147/AG149</f>
        <v>0.12858878928521997</v>
      </c>
      <c r="AJ147" s="1">
        <f t="shared" ref="AJ147:AJ148" si="56">LN(AI147)</f>
        <v>-2.0511356460546359</v>
      </c>
      <c r="AK147" s="1">
        <f>RT0*AJ147</f>
        <v>-4.6580656720986147</v>
      </c>
      <c r="AL147" s="1">
        <f t="shared" ref="AL147:AL148" si="57">AH147+AK147</f>
        <v>4.8532783279013936</v>
      </c>
      <c r="AM147" s="1">
        <f>AL147*AI147</f>
        <v>0.62407718424903702</v>
      </c>
      <c r="AN147" s="1">
        <f>AG149*AM147</f>
        <v>2.0719282961770844</v>
      </c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N147" s="1" t="s">
        <v>90</v>
      </c>
      <c r="BP147" s="3" t="s">
        <v>92</v>
      </c>
      <c r="BQ147" s="3" t="s">
        <v>88</v>
      </c>
      <c r="BR147" s="4"/>
      <c r="BS147" s="4"/>
      <c r="BW147" s="3" t="s">
        <v>97</v>
      </c>
      <c r="BX147" s="1" t="s">
        <v>94</v>
      </c>
      <c r="CH147" s="1" t="s">
        <v>90</v>
      </c>
      <c r="CI147" s="1"/>
      <c r="CJ147" s="3" t="s">
        <v>92</v>
      </c>
      <c r="CK147" s="3" t="s">
        <v>88</v>
      </c>
      <c r="CL147" s="4"/>
      <c r="CM147" s="4"/>
      <c r="CQ147" s="3" t="s">
        <v>97</v>
      </c>
      <c r="CR147" s="1" t="s">
        <v>94</v>
      </c>
      <c r="DW147" s="1" t="s">
        <v>90</v>
      </c>
      <c r="DX147" s="1"/>
      <c r="DY147" s="3" t="s">
        <v>92</v>
      </c>
      <c r="DZ147" s="3" t="s">
        <v>88</v>
      </c>
      <c r="EA147" s="4"/>
      <c r="EB147" s="4"/>
      <c r="EF147" s="3" t="s">
        <v>97</v>
      </c>
      <c r="EG147" s="1" t="s">
        <v>94</v>
      </c>
      <c r="ET147" s="318"/>
      <c r="EU147" s="60" t="s">
        <v>67</v>
      </c>
      <c r="EV147" s="181">
        <f>DW145+DW159</f>
        <v>2121.7390024373208</v>
      </c>
      <c r="EW147" s="1">
        <f>EV147/EV148</f>
        <v>0.6180684907654036</v>
      </c>
      <c r="EX147" s="6">
        <f>MW_N2</f>
        <v>2.801348E-2</v>
      </c>
      <c r="EY147" s="6">
        <f>EV147/EX147</f>
        <v>75739.929578093142</v>
      </c>
      <c r="EZ147" s="7">
        <f>b_ch_N2</f>
        <v>0.7</v>
      </c>
      <c r="FA147" s="1">
        <f>EY147/$EY$148</f>
        <v>0.63957416842328496</v>
      </c>
      <c r="FB147" s="1">
        <f>LN(FA147)</f>
        <v>-0.44695268591846055</v>
      </c>
      <c r="FC147" s="1">
        <f>RT0*FB147</f>
        <v>-1.0150157388828289</v>
      </c>
      <c r="FD147" s="1">
        <f>EZ147+FC147</f>
        <v>-0.31501573888282897</v>
      </c>
      <c r="FE147" s="1">
        <f>FD147*FA147</f>
        <v>-0.201475929236232</v>
      </c>
      <c r="FF147" s="1">
        <f>$EY$148*FE147</f>
        <v>-23859.26987897644</v>
      </c>
    </row>
    <row r="148" spans="2:162" ht="19" thickBot="1" x14ac:dyDescent="0.3">
      <c r="B148" s="15" t="s">
        <v>279</v>
      </c>
      <c r="C148" s="115" t="s">
        <v>278</v>
      </c>
      <c r="D148" s="115">
        <v>6</v>
      </c>
      <c r="E148" s="115">
        <f t="shared" si="48"/>
        <v>6.3303600000000007</v>
      </c>
      <c r="F148" s="115">
        <f t="shared" si="49"/>
        <v>6.601160246976201E-2</v>
      </c>
      <c r="G148" s="115">
        <v>1.06</v>
      </c>
      <c r="H148" s="115">
        <f t="shared" si="50"/>
        <v>6.9972298617947737E-2</v>
      </c>
      <c r="L148" s="1"/>
      <c r="O148" s="4"/>
      <c r="P148" s="4"/>
      <c r="U148" s="1"/>
      <c r="V148" s="4"/>
      <c r="W148" s="4"/>
      <c r="X148" s="4"/>
      <c r="Y148" s="4"/>
      <c r="Z148" s="4"/>
      <c r="AA148" s="4"/>
      <c r="AB148" s="318"/>
      <c r="AC148" s="7" t="s">
        <v>67</v>
      </c>
      <c r="AD148" s="1">
        <f t="shared" si="55"/>
        <v>6.8742227743245857E-2</v>
      </c>
      <c r="AE148" s="1">
        <f>AD148/AD149</f>
        <v>0.71785028438116505</v>
      </c>
      <c r="AF148" s="6">
        <f>MW_N2</f>
        <v>2.801348E-2</v>
      </c>
      <c r="AG148" s="1">
        <f>N168</f>
        <v>2.4538981855608748</v>
      </c>
      <c r="AH148" s="6">
        <f>MW_N2</f>
        <v>2.801348E-2</v>
      </c>
      <c r="AI148" s="1">
        <f>AG148/AG149</f>
        <v>0.73912879750919891</v>
      </c>
      <c r="AJ148" s="1">
        <f t="shared" si="56"/>
        <v>-0.30228308701000028</v>
      </c>
      <c r="AK148" s="1">
        <f>RT0*AJ148</f>
        <v>-0.68647555005232197</v>
      </c>
      <c r="AL148" s="1">
        <f t="shared" si="57"/>
        <v>-0.65846207005232193</v>
      </c>
      <c r="AM148" s="1">
        <f t="shared" ref="AM148" si="58">AL148*AI148</f>
        <v>-0.48668827804319059</v>
      </c>
      <c r="AN148" s="1">
        <f>AG149*AM148</f>
        <v>-1.6157988789620505</v>
      </c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V148" s="4"/>
      <c r="BW148" s="4"/>
      <c r="DW148" s="1"/>
      <c r="DX148" s="1"/>
      <c r="EA148" s="4"/>
      <c r="EB148" s="4"/>
      <c r="EG148" s="1"/>
      <c r="EU148" s="1" t="s">
        <v>19</v>
      </c>
      <c r="EV148" s="27">
        <f>SUM(EV145:EV147)</f>
        <v>3432.8541806261665</v>
      </c>
      <c r="EW148" s="27"/>
      <c r="EX148" s="27">
        <f>SUM(EX145:EX147)</f>
        <v>9.0038560000000004E-2</v>
      </c>
      <c r="EY148" s="27">
        <f>SUM(EY145:EY147)</f>
        <v>118422.43373401332</v>
      </c>
      <c r="EZ148" s="27"/>
      <c r="FA148" s="27">
        <f>SUM(FA145:FA147)</f>
        <v>1</v>
      </c>
      <c r="FB148" s="27"/>
      <c r="FC148" s="27"/>
      <c r="FD148" s="27"/>
      <c r="FE148" s="27">
        <f>SUM(FE145:FE147)</f>
        <v>3.6539695722986369</v>
      </c>
      <c r="FF148" s="27">
        <f>SUM(FF145:FF147)</f>
        <v>432711.9695416363</v>
      </c>
    </row>
    <row r="149" spans="2:162" ht="19" thickBot="1" x14ac:dyDescent="0.3">
      <c r="F149" s="3">
        <f>SUM(F141:F148)</f>
        <v>241.59146310558401</v>
      </c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63" t="s">
        <v>1</v>
      </c>
      <c r="U149" s="58" t="s">
        <v>0</v>
      </c>
      <c r="V149" s="4"/>
      <c r="W149" s="4"/>
      <c r="X149" s="4"/>
      <c r="Y149" s="4"/>
      <c r="Z149" s="4"/>
      <c r="AA149" s="4"/>
      <c r="AB149" s="318"/>
      <c r="AC149" s="17" t="s">
        <v>19</v>
      </c>
      <c r="AD149" s="8">
        <f>SUM(AD146:AD148)</f>
        <v>9.5761232166267446E-2</v>
      </c>
      <c r="AE149" s="8">
        <f>SUM(AE146:AE148)</f>
        <v>1</v>
      </c>
      <c r="AF149" s="8">
        <f>SUM(AF146:AF148)</f>
        <v>9.0038560000000004E-2</v>
      </c>
      <c r="AG149" s="8">
        <f>SUM(AG146:AG148)</f>
        <v>3.3199872523304501</v>
      </c>
      <c r="AH149" s="62"/>
      <c r="AI149" s="8">
        <f>SUM(AI146:AI148)</f>
        <v>1</v>
      </c>
      <c r="AJ149" s="17"/>
      <c r="AK149" s="17"/>
      <c r="AL149" s="17"/>
      <c r="AM149" s="8">
        <f>SUM(AM146:AM148)</f>
        <v>2.1621362008785017</v>
      </c>
      <c r="AN149" s="8">
        <f>SUM(AN146:AN148)</f>
        <v>7.1782646247188149</v>
      </c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V149" s="4"/>
      <c r="BW149" s="4"/>
      <c r="EV149" s="1" t="s">
        <v>90</v>
      </c>
      <c r="EW149" s="1"/>
      <c r="EX149" s="3" t="s">
        <v>92</v>
      </c>
      <c r="EY149" s="3" t="s">
        <v>88</v>
      </c>
      <c r="EZ149" s="4"/>
      <c r="FA149" s="4"/>
      <c r="FE149" s="3" t="s">
        <v>97</v>
      </c>
      <c r="FF149" s="1" t="s">
        <v>94</v>
      </c>
    </row>
    <row r="150" spans="2:162" ht="18" x14ac:dyDescent="0.25"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65" t="s">
        <v>90</v>
      </c>
      <c r="U150" s="64" t="s">
        <v>94</v>
      </c>
      <c r="V150" s="4"/>
      <c r="W150" s="4"/>
      <c r="X150" s="4"/>
      <c r="Y150" s="4"/>
      <c r="Z150" s="4"/>
      <c r="AA150" s="4"/>
      <c r="AD150" s="1" t="s">
        <v>90</v>
      </c>
      <c r="AE150" s="1"/>
      <c r="AF150" s="3" t="s">
        <v>92</v>
      </c>
      <c r="AG150" s="3" t="s">
        <v>88</v>
      </c>
      <c r="AH150" s="4"/>
      <c r="AI150" s="4"/>
      <c r="AM150" s="3" t="s">
        <v>97</v>
      </c>
      <c r="AN150" s="1" t="s">
        <v>94</v>
      </c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5"/>
      <c r="BV150" s="160" t="s">
        <v>341</v>
      </c>
      <c r="BW150" s="158" t="s">
        <v>1</v>
      </c>
      <c r="BX150" s="58" t="s">
        <v>0</v>
      </c>
      <c r="EF150" s="183" t="s">
        <v>1</v>
      </c>
      <c r="EG150" s="184" t="s">
        <v>0</v>
      </c>
    </row>
    <row r="151" spans="2:162" ht="19" thickBot="1" x14ac:dyDescent="0.3">
      <c r="J151" s="4"/>
      <c r="K151" s="4"/>
      <c r="L151" s="4"/>
      <c r="M151" s="4"/>
      <c r="N151" s="4"/>
      <c r="O151" s="4"/>
      <c r="P151" s="4" t="s">
        <v>532</v>
      </c>
      <c r="Q151" s="4"/>
      <c r="R151" s="4"/>
      <c r="S151" s="4"/>
      <c r="T151" s="50">
        <f>L156</f>
        <v>5.1714158616864253E-4</v>
      </c>
      <c r="U151" s="48">
        <f>U156</f>
        <v>24.513235855857225</v>
      </c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200"/>
      <c r="BG151" s="200"/>
      <c r="BH151" s="200"/>
      <c r="BI151" s="200"/>
      <c r="BJ151" s="4"/>
      <c r="BK151" s="4"/>
      <c r="BL151" s="4"/>
      <c r="BM151" s="45"/>
      <c r="BV151" s="49" t="s">
        <v>63</v>
      </c>
      <c r="BW151" s="38" t="s">
        <v>11</v>
      </c>
      <c r="BX151" s="47" t="s">
        <v>48</v>
      </c>
      <c r="EF151" s="185" t="s">
        <v>90</v>
      </c>
      <c r="EG151" s="186" t="s">
        <v>94</v>
      </c>
    </row>
    <row r="152" spans="2:162" ht="17" thickBot="1" x14ac:dyDescent="0.25"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5"/>
      <c r="BS152" s="3" t="s">
        <v>487</v>
      </c>
      <c r="BV152" s="123">
        <v>298.14999999999998</v>
      </c>
      <c r="BW152" s="69">
        <f>BO156</f>
        <v>20798.316475388398</v>
      </c>
      <c r="BX152" s="48">
        <f>BX156</f>
        <v>1078370532.5161049</v>
      </c>
      <c r="EB152" s="3" t="s">
        <v>543</v>
      </c>
      <c r="EF152" s="174">
        <f>DW160</f>
        <v>48.707873030693563</v>
      </c>
      <c r="EG152" s="175">
        <f>EG160</f>
        <v>4161190.674154886</v>
      </c>
    </row>
    <row r="153" spans="2:162" ht="19.25" customHeight="1" x14ac:dyDescent="0.25">
      <c r="B153" s="312" t="s">
        <v>500</v>
      </c>
      <c r="C153" s="312"/>
      <c r="D153" s="312"/>
      <c r="E153" s="312"/>
      <c r="F153" s="312"/>
      <c r="G153" s="312"/>
      <c r="H153" s="312"/>
      <c r="J153" s="4"/>
      <c r="K153" s="3" t="s">
        <v>583</v>
      </c>
      <c r="L153" s="1" t="s">
        <v>577</v>
      </c>
      <c r="M153" s="1" t="s">
        <v>580</v>
      </c>
      <c r="N153" s="1" t="s">
        <v>86</v>
      </c>
      <c r="O153" s="1" t="s">
        <v>6</v>
      </c>
      <c r="P153" s="1" t="s">
        <v>7</v>
      </c>
      <c r="Q153" s="1" t="s">
        <v>8</v>
      </c>
      <c r="R153" s="1" t="s">
        <v>9</v>
      </c>
      <c r="S153" s="1" t="s">
        <v>49</v>
      </c>
      <c r="T153" s="1" t="s">
        <v>579</v>
      </c>
      <c r="U153" s="1" t="s">
        <v>50</v>
      </c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R153" s="1"/>
      <c r="BS153" s="1"/>
      <c r="BT153" s="1"/>
      <c r="BU153" s="1"/>
      <c r="BV153" s="1"/>
      <c r="BW153" s="1"/>
      <c r="BX153" s="1"/>
    </row>
    <row r="154" spans="2:162" ht="18" x14ac:dyDescent="0.25">
      <c r="B154" s="313"/>
      <c r="C154" s="313"/>
      <c r="D154" s="313"/>
      <c r="E154" s="313"/>
      <c r="F154" s="313"/>
      <c r="G154" s="313"/>
      <c r="H154" s="313"/>
      <c r="J154" s="4" t="s">
        <v>41</v>
      </c>
      <c r="K154" s="3" t="s">
        <v>582</v>
      </c>
      <c r="L154" s="1" t="s">
        <v>89</v>
      </c>
      <c r="M154" s="1" t="s">
        <v>91</v>
      </c>
      <c r="N154" s="1" t="s">
        <v>87</v>
      </c>
      <c r="O154" s="1" t="s">
        <v>96</v>
      </c>
      <c r="P154" s="1" t="s">
        <v>25</v>
      </c>
      <c r="Q154" s="1" t="s">
        <v>99</v>
      </c>
      <c r="R154" s="1" t="s">
        <v>96</v>
      </c>
      <c r="S154" s="1" t="s">
        <v>96</v>
      </c>
      <c r="T154" s="1" t="s">
        <v>95</v>
      </c>
      <c r="U154" s="1" t="s">
        <v>93</v>
      </c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312" t="s">
        <v>486</v>
      </c>
      <c r="BI154" s="312"/>
      <c r="BJ154" s="312"/>
      <c r="BK154" s="312"/>
      <c r="BM154" s="4"/>
      <c r="BN154" s="3" t="s">
        <v>583</v>
      </c>
      <c r="BO154" s="1" t="s">
        <v>577</v>
      </c>
      <c r="BP154" s="3" t="s">
        <v>5</v>
      </c>
      <c r="BQ154" s="3" t="s">
        <v>364</v>
      </c>
      <c r="BR154" s="1" t="s">
        <v>133</v>
      </c>
      <c r="BS154" s="1" t="s">
        <v>130</v>
      </c>
      <c r="BT154" s="1" t="s">
        <v>8</v>
      </c>
      <c r="BU154" s="1" t="s">
        <v>134</v>
      </c>
      <c r="BV154" s="1" t="s">
        <v>135</v>
      </c>
      <c r="BW154" s="1" t="s">
        <v>136</v>
      </c>
      <c r="BX154" s="1" t="s">
        <v>137</v>
      </c>
      <c r="BY154" s="1"/>
      <c r="DV154" s="25"/>
      <c r="DW154" s="1" t="s">
        <v>577</v>
      </c>
      <c r="DX154" s="1" t="s">
        <v>578</v>
      </c>
      <c r="DY154" s="1" t="s">
        <v>580</v>
      </c>
      <c r="DZ154" s="1" t="s">
        <v>86</v>
      </c>
      <c r="EA154" s="1" t="s">
        <v>6</v>
      </c>
      <c r="EB154" s="1" t="s">
        <v>7</v>
      </c>
      <c r="EC154" s="1" t="s">
        <v>8</v>
      </c>
      <c r="ED154" s="1" t="s">
        <v>9</v>
      </c>
      <c r="EE154" s="1" t="s">
        <v>49</v>
      </c>
      <c r="EF154" s="1" t="s">
        <v>579</v>
      </c>
      <c r="EG154" s="1" t="s">
        <v>50</v>
      </c>
      <c r="EH154" s="1"/>
    </row>
    <row r="155" spans="2:162" ht="18" x14ac:dyDescent="0.25">
      <c r="B155" s="15" t="s">
        <v>265</v>
      </c>
      <c r="C155" s="115" t="s">
        <v>264</v>
      </c>
      <c r="D155" s="115" t="s">
        <v>236</v>
      </c>
      <c r="E155" s="115" t="s">
        <v>236</v>
      </c>
      <c r="F155" s="115" t="s">
        <v>236</v>
      </c>
      <c r="G155" s="116" t="s">
        <v>323</v>
      </c>
      <c r="H155" s="115" t="s">
        <v>317</v>
      </c>
      <c r="I155" s="223" t="s">
        <v>532</v>
      </c>
      <c r="J155" s="62" t="s">
        <v>501</v>
      </c>
      <c r="K155" s="17">
        <f>F157</f>
        <v>22.443944839719084</v>
      </c>
      <c r="L155" s="17">
        <f>K155/LHV_Gasoline</f>
        <v>5.1714158616864253E-4</v>
      </c>
      <c r="M155" s="17">
        <f>MW_C8H18</f>
        <v>0.11423092</v>
      </c>
      <c r="N155" s="17">
        <f>L155/M155</f>
        <v>4.5271594255622081E-3</v>
      </c>
      <c r="O155" s="17">
        <f>b_ch_C8H18</f>
        <v>5414.70568</v>
      </c>
      <c r="P155" s="17">
        <f>N155/N156</f>
        <v>1</v>
      </c>
      <c r="Q155" s="17">
        <f>LN(P155)</f>
        <v>0</v>
      </c>
      <c r="R155" s="17">
        <f>RT0*Q155</f>
        <v>0</v>
      </c>
      <c r="S155" s="17">
        <f>R155+O155</f>
        <v>5414.70568</v>
      </c>
      <c r="T155" s="17">
        <f>P155*S155</f>
        <v>5414.70568</v>
      </c>
      <c r="U155" s="17">
        <f>T155*N156</f>
        <v>24.513235855857225</v>
      </c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312"/>
      <c r="BI155" s="312"/>
      <c r="BJ155" s="312"/>
      <c r="BK155" s="312"/>
      <c r="BM155" s="4"/>
      <c r="BN155" s="3" t="s">
        <v>582</v>
      </c>
      <c r="BO155" s="1" t="s">
        <v>89</v>
      </c>
      <c r="BP155" s="1" t="s">
        <v>91</v>
      </c>
      <c r="BQ155" s="2" t="s">
        <v>87</v>
      </c>
      <c r="BR155" s="2" t="s">
        <v>96</v>
      </c>
      <c r="BS155" s="2" t="s">
        <v>25</v>
      </c>
      <c r="BT155" s="1" t="s">
        <v>99</v>
      </c>
      <c r="BU155" s="2" t="s">
        <v>96</v>
      </c>
      <c r="BV155" s="2" t="s">
        <v>96</v>
      </c>
      <c r="BW155" s="2" t="s">
        <v>95</v>
      </c>
      <c r="BX155" s="1" t="s">
        <v>93</v>
      </c>
      <c r="DV155" s="3" t="s">
        <v>41</v>
      </c>
      <c r="DW155" s="3" t="s">
        <v>11</v>
      </c>
      <c r="DX155" s="1" t="s">
        <v>581</v>
      </c>
      <c r="DY155" s="1" t="s">
        <v>85</v>
      </c>
      <c r="DZ155" s="3" t="s">
        <v>42</v>
      </c>
      <c r="EA155" s="1" t="s">
        <v>96</v>
      </c>
      <c r="EB155" s="1" t="s">
        <v>25</v>
      </c>
      <c r="EC155" s="1" t="s">
        <v>99</v>
      </c>
      <c r="ED155" s="1" t="s">
        <v>96</v>
      </c>
      <c r="EE155" s="1" t="s">
        <v>96</v>
      </c>
      <c r="EF155" s="1" t="s">
        <v>95</v>
      </c>
      <c r="EG155" s="1" t="s">
        <v>93</v>
      </c>
    </row>
    <row r="156" spans="2:162" ht="18" customHeight="1" x14ac:dyDescent="0.25">
      <c r="B156" s="15" t="s">
        <v>99</v>
      </c>
      <c r="C156" s="15" t="s">
        <v>99</v>
      </c>
      <c r="D156" s="115" t="s">
        <v>329</v>
      </c>
      <c r="E156" s="115" t="s">
        <v>330</v>
      </c>
      <c r="F156" s="115" t="s">
        <v>48</v>
      </c>
      <c r="G156" s="116" t="s">
        <v>99</v>
      </c>
      <c r="H156" s="115" t="s">
        <v>48</v>
      </c>
      <c r="J156" s="17" t="s">
        <v>19</v>
      </c>
      <c r="K156" s="17">
        <f>SUM(K155)</f>
        <v>22.443944839719084</v>
      </c>
      <c r="L156" s="17">
        <f>SUM(L155)</f>
        <v>5.1714158616864253E-4</v>
      </c>
      <c r="M156" s="17">
        <f>SUM(M155)</f>
        <v>0.11423092</v>
      </c>
      <c r="N156" s="17">
        <f>SUM(N155)</f>
        <v>4.5271594255622081E-3</v>
      </c>
      <c r="O156" s="17"/>
      <c r="P156" s="17"/>
      <c r="Q156" s="17"/>
      <c r="R156" s="17"/>
      <c r="S156" s="17"/>
      <c r="T156" s="17">
        <f>SUM(T155)</f>
        <v>5414.70568</v>
      </c>
      <c r="U156" s="17">
        <f>SUM(U155)</f>
        <v>24.513235855857225</v>
      </c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117" t="s">
        <v>322</v>
      </c>
      <c r="BK156" s="4"/>
      <c r="BL156" s="257" t="s">
        <v>487</v>
      </c>
      <c r="BM156" s="96" t="s">
        <v>65</v>
      </c>
      <c r="BN156" s="96">
        <f>BO156*LHV_CH4</f>
        <v>1039915823.7694199</v>
      </c>
      <c r="BO156" s="42">
        <f>CH4_into_Kiln</f>
        <v>20798.316475388398</v>
      </c>
      <c r="BP156" s="33" cm="1">
        <f t="array" ref="BP156">MW_CH4</f>
        <v>1.604276E-2</v>
      </c>
      <c r="BQ156" s="33">
        <f>BO156/BP156</f>
        <v>1296430.0703487678</v>
      </c>
      <c r="BR156" s="42">
        <f>b_ch_CH4</f>
        <v>831.8</v>
      </c>
      <c r="BS156" s="33">
        <f>BQ156/BQ156</f>
        <v>1</v>
      </c>
      <c r="BT156" s="42">
        <f>LN(BS156)</f>
        <v>0</v>
      </c>
      <c r="BU156" s="42">
        <f>RT0*BT156</f>
        <v>0</v>
      </c>
      <c r="BV156" s="42">
        <f>BR156+BU156</f>
        <v>831.8</v>
      </c>
      <c r="BW156" s="42">
        <f>BV156*BS156</f>
        <v>831.8</v>
      </c>
      <c r="BX156" s="35">
        <f>BQ156*BW156</f>
        <v>1078370532.5161049</v>
      </c>
      <c r="DU156" s="344" t="s">
        <v>543</v>
      </c>
      <c r="DV156" s="17" t="s">
        <v>66</v>
      </c>
      <c r="DW156" s="17">
        <f>H2_to_BF</f>
        <v>27.342940664747548</v>
      </c>
      <c r="DX156" s="17">
        <f>DW156/$DW$160</f>
        <v>0.56136593456908346</v>
      </c>
      <c r="DY156" s="17">
        <f>MW_H*2</f>
        <v>2.0158800000000003E-3</v>
      </c>
      <c r="DZ156" s="17">
        <f>DW156/DY156</f>
        <v>13563.773967075194</v>
      </c>
      <c r="EA156" s="17">
        <f>b_ch_H2</f>
        <v>236.1</v>
      </c>
      <c r="EB156" s="17">
        <f>DZ156/$DZ$160</f>
        <v>0.91544766952145862</v>
      </c>
      <c r="EC156" s="17">
        <f>LN(EB156)</f>
        <v>-8.8342077045854228E-2</v>
      </c>
      <c r="ED156" s="17">
        <f>RT0*EC156</f>
        <v>-0.20062212720095421</v>
      </c>
      <c r="EE156" s="17">
        <f>EA156+ED156</f>
        <v>235.89937787279905</v>
      </c>
      <c r="EF156" s="17">
        <f>EE156*EB156</f>
        <v>215.95353571521582</v>
      </c>
      <c r="EG156" s="17">
        <f>EF156*$DZ$160</f>
        <v>3199685.8404403059</v>
      </c>
    </row>
    <row r="157" spans="2:162" ht="18" customHeight="1" x14ac:dyDescent="0.25">
      <c r="B157" s="15" t="s">
        <v>498</v>
      </c>
      <c r="C157" s="115" t="s">
        <v>277</v>
      </c>
      <c r="D157" s="115">
        <v>2040</v>
      </c>
      <c r="E157" s="115">
        <f>D157*Btu_to_kJ</f>
        <v>2152.3224</v>
      </c>
      <c r="F157" s="115">
        <f>E157*($AD$131/1000)</f>
        <v>22.443944839719084</v>
      </c>
      <c r="G157" s="115">
        <v>1.04</v>
      </c>
      <c r="H157" s="115">
        <f>F157*G157</f>
        <v>23.341702633307847</v>
      </c>
      <c r="K157" s="3" t="s">
        <v>48</v>
      </c>
      <c r="L157" s="1" t="s">
        <v>90</v>
      </c>
      <c r="M157" s="3" t="s">
        <v>92</v>
      </c>
      <c r="N157" s="3" t="s">
        <v>88</v>
      </c>
      <c r="O157" s="4"/>
      <c r="P157" s="4"/>
      <c r="T157" s="3" t="s">
        <v>97</v>
      </c>
      <c r="U157" s="1" t="s">
        <v>94</v>
      </c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6" t="s">
        <v>407</v>
      </c>
      <c r="BK157" s="4"/>
      <c r="BL157" s="4"/>
      <c r="BM157" s="1" t="s">
        <v>19</v>
      </c>
      <c r="BO157" s="1">
        <f>BO156</f>
        <v>20798.316475388398</v>
      </c>
      <c r="BP157" s="6">
        <f>BP156</f>
        <v>1.604276E-2</v>
      </c>
      <c r="BQ157" s="6">
        <f>BQ156</f>
        <v>1296430.0703487678</v>
      </c>
      <c r="BR157" s="1"/>
      <c r="BS157" s="6"/>
      <c r="BT157" s="1"/>
      <c r="BU157" s="1"/>
      <c r="BV157" s="1"/>
      <c r="BW157" s="1">
        <f>BW156</f>
        <v>831.8</v>
      </c>
      <c r="BX157" s="1">
        <f>BQ157*BW157</f>
        <v>1078370532.5161049</v>
      </c>
      <c r="DU157" s="344"/>
      <c r="DV157" s="3" t="s">
        <v>65</v>
      </c>
      <c r="DW157" s="3">
        <f>CH4_to_BF</f>
        <v>18.691700922521807</v>
      </c>
      <c r="DX157" s="3">
        <f t="shared" ref="DX157:DX159" si="59">DW157/$DW$160</f>
        <v>0.38375112193347299</v>
      </c>
      <c r="DY157" s="3">
        <f>MW_CH4</f>
        <v>1.604276E-2</v>
      </c>
      <c r="DZ157" s="3">
        <f>DW157/DY157</f>
        <v>1165.1175310558663</v>
      </c>
      <c r="EA157" s="3">
        <f>b_ch_CH4</f>
        <v>831.8</v>
      </c>
      <c r="EB157" s="3">
        <f>DZ157/$DZ$160</f>
        <v>7.8636235837663701E-2</v>
      </c>
      <c r="EC157" s="3">
        <f t="shared" ref="EC157:EC159" si="60">LN(EB157)</f>
        <v>-2.5429226700357286</v>
      </c>
      <c r="ED157" s="3">
        <f>RT0*EC157</f>
        <v>-5.7748988073406355</v>
      </c>
      <c r="EE157" s="3">
        <f t="shared" ref="EE157:EE159" si="61">EA157+ED157</f>
        <v>826.02510119265935</v>
      </c>
      <c r="EF157" s="3">
        <f t="shared" ref="EF157:EF159" si="62">EE157*EB157</f>
        <v>64.955504665215983</v>
      </c>
      <c r="EG157" s="3">
        <f>EF157*$DZ$160</f>
        <v>962416.32649176323</v>
      </c>
    </row>
    <row r="158" spans="2:162" ht="18" x14ac:dyDescent="0.25">
      <c r="L158" s="1"/>
      <c r="O158" s="4"/>
      <c r="P158" s="4"/>
      <c r="U158" s="1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1"/>
      <c r="BO158" s="1" t="s">
        <v>90</v>
      </c>
      <c r="BP158" s="3" t="s">
        <v>92</v>
      </c>
      <c r="BQ158" s="3" t="s">
        <v>88</v>
      </c>
      <c r="BR158" s="4"/>
      <c r="BS158" s="4"/>
      <c r="BW158" s="3" t="s">
        <v>97</v>
      </c>
      <c r="BX158" s="1" t="s">
        <v>94</v>
      </c>
      <c r="DU158" s="344"/>
      <c r="DV158" s="240" t="s">
        <v>24</v>
      </c>
      <c r="DW158" s="3">
        <f>O2_to_BF_from_coke</f>
        <v>1.7477818558410245</v>
      </c>
      <c r="DX158" s="3">
        <f t="shared" si="59"/>
        <v>3.5882943497443406E-2</v>
      </c>
      <c r="DY158" s="3">
        <f>MW_O2</f>
        <v>3.1998800000000001E-2</v>
      </c>
      <c r="DZ158" s="3">
        <f>DW158/DY158</f>
        <v>54.620231253704027</v>
      </c>
      <c r="EA158" s="3">
        <f>b_ch_O2</f>
        <v>4</v>
      </c>
      <c r="EB158" s="3">
        <f>DZ158/$DZ$160</f>
        <v>3.6864344341996282E-3</v>
      </c>
      <c r="EC158" s="3">
        <f t="shared" si="60"/>
        <v>-5.6030955660719171</v>
      </c>
      <c r="ED158" s="3">
        <f>RT0*EC158</f>
        <v>-12.724456894896331</v>
      </c>
      <c r="EE158" s="3">
        <f t="shared" si="61"/>
        <v>-8.7244568948963312</v>
      </c>
      <c r="EF158" s="3">
        <f t="shared" si="62"/>
        <v>-3.2162138317036203E-2</v>
      </c>
      <c r="EG158" s="3">
        <f>EF158*$DZ$160</f>
        <v>-476.53185316221021</v>
      </c>
    </row>
    <row r="159" spans="2:162" ht="18" x14ac:dyDescent="0.25">
      <c r="D159" s="16" t="s">
        <v>280</v>
      </c>
      <c r="E159" s="98" t="s">
        <v>281</v>
      </c>
      <c r="F159" s="4" t="s">
        <v>282</v>
      </c>
      <c r="I159" s="223"/>
      <c r="L159" s="1"/>
      <c r="O159" s="4"/>
      <c r="P159" s="4"/>
      <c r="U159" s="1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1"/>
      <c r="BO159" s="1"/>
      <c r="BP159" s="6"/>
      <c r="BQ159" s="6"/>
      <c r="BR159" s="1"/>
      <c r="BS159" s="6"/>
      <c r="BT159" s="1"/>
      <c r="BU159" s="1"/>
      <c r="BV159" s="1"/>
      <c r="BW159" s="1"/>
      <c r="BX159" s="1"/>
      <c r="DU159" s="344"/>
      <c r="DV159" s="7" t="s">
        <v>67</v>
      </c>
      <c r="DW159" s="3">
        <f>N2_to_BF_from_coke</f>
        <v>0.92544958758317764</v>
      </c>
      <c r="DX159" s="3">
        <f t="shared" si="59"/>
        <v>1.9E-2</v>
      </c>
      <c r="DY159" s="3">
        <f>MW_N2</f>
        <v>2.801348E-2</v>
      </c>
      <c r="DZ159" s="3">
        <f>DW159/DY159</f>
        <v>33.03586657506235</v>
      </c>
      <c r="EA159" s="3">
        <f>b_ch_N2</f>
        <v>0.7</v>
      </c>
      <c r="EB159" s="3">
        <f>DZ159/$DZ$160</f>
        <v>2.229660206678009E-3</v>
      </c>
      <c r="EC159" s="3">
        <f t="shared" si="60"/>
        <v>-6.1059060788071511</v>
      </c>
      <c r="ED159" s="3">
        <f>RT0*EC159</f>
        <v>-13.866324032473203</v>
      </c>
      <c r="EE159" s="3">
        <f t="shared" si="61"/>
        <v>-13.166324032473204</v>
      </c>
      <c r="EF159" s="3">
        <f t="shared" si="62"/>
        <v>-2.9356428763433841E-2</v>
      </c>
      <c r="EG159" s="3">
        <f>EF159*$DZ$160</f>
        <v>-434.96092402082161</v>
      </c>
    </row>
    <row r="160" spans="2:162" ht="17" thickBot="1" x14ac:dyDescent="0.25">
      <c r="L160" s="1"/>
      <c r="O160" s="4"/>
      <c r="P160" s="4"/>
      <c r="U160" s="1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1"/>
      <c r="BO160" s="1"/>
      <c r="BP160" s="6"/>
      <c r="BQ160" s="6"/>
      <c r="BR160" s="1"/>
      <c r="BS160" s="6"/>
      <c r="BT160" s="1"/>
      <c r="BU160" s="1"/>
      <c r="BV160" s="1"/>
      <c r="BW160" s="1"/>
      <c r="BX160" s="1"/>
      <c r="DU160" s="267"/>
      <c r="DV160" s="17" t="s">
        <v>19</v>
      </c>
      <c r="DW160" s="17">
        <f>0.7*CY241</f>
        <v>48.707873030693563</v>
      </c>
      <c r="DX160" s="17"/>
      <c r="DY160" s="17"/>
      <c r="DZ160" s="17">
        <f>SUM(DZ156:DZ159)</f>
        <v>14816.547595959828</v>
      </c>
      <c r="EA160" s="17">
        <f>SUM(EA156:EA159)</f>
        <v>1072.5999999999999</v>
      </c>
      <c r="EB160" s="17">
        <f>SUM(EB156:EB159)</f>
        <v>0.99999999999999989</v>
      </c>
      <c r="EC160" s="17"/>
      <c r="ED160" s="17"/>
      <c r="EE160" s="17"/>
      <c r="EF160" s="17">
        <f>SUM(EF156:EF159)</f>
        <v>280.84752181335131</v>
      </c>
      <c r="EG160" s="17">
        <f>SUM(EG156:EG159)</f>
        <v>4161190.674154886</v>
      </c>
    </row>
    <row r="161" spans="1:137" ht="18" x14ac:dyDescent="0.25">
      <c r="T161" s="63" t="s">
        <v>1</v>
      </c>
      <c r="U161" s="58" t="s">
        <v>0</v>
      </c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1"/>
      <c r="BO161" s="1"/>
      <c r="BP161" s="6"/>
      <c r="BQ161" s="6"/>
      <c r="BR161" s="1"/>
      <c r="BS161" s="6"/>
      <c r="BT161" s="1"/>
      <c r="BU161" s="1"/>
      <c r="BV161" s="1"/>
      <c r="BW161" s="1"/>
      <c r="BX161" s="1"/>
      <c r="DU161" s="267"/>
      <c r="DW161" s="1" t="s">
        <v>90</v>
      </c>
      <c r="DX161" s="1"/>
      <c r="DY161" s="3" t="s">
        <v>92</v>
      </c>
      <c r="DZ161" s="3" t="s">
        <v>88</v>
      </c>
      <c r="EA161" s="4"/>
      <c r="EB161" s="4"/>
      <c r="EF161" s="3" t="s">
        <v>97</v>
      </c>
      <c r="EG161" s="1" t="s">
        <v>94</v>
      </c>
    </row>
    <row r="162" spans="1:137" ht="18" x14ac:dyDescent="0.25">
      <c r="T162" s="65" t="s">
        <v>90</v>
      </c>
      <c r="U162" s="64" t="s">
        <v>94</v>
      </c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1"/>
      <c r="BO162" s="1"/>
      <c r="BP162" s="6"/>
      <c r="BQ162" s="6"/>
      <c r="BR162" s="1"/>
      <c r="BS162" s="6"/>
      <c r="BT162" s="1"/>
      <c r="BU162" s="1"/>
      <c r="BV162" s="1"/>
      <c r="BW162" s="1"/>
      <c r="BX162" s="1"/>
      <c r="DU162" s="267"/>
    </row>
    <row r="163" spans="1:137" ht="17" thickBot="1" x14ac:dyDescent="0.25">
      <c r="P163" s="3" t="s">
        <v>544</v>
      </c>
      <c r="T163" s="50">
        <f>K169</f>
        <v>8.9625684461364291E-2</v>
      </c>
      <c r="U163" s="48">
        <f>U169</f>
        <v>0.70159378736823275</v>
      </c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1"/>
      <c r="BO163" s="1"/>
      <c r="BP163" s="6"/>
      <c r="BQ163" s="6"/>
      <c r="BR163" s="1"/>
      <c r="BS163" s="6"/>
      <c r="BT163" s="1"/>
      <c r="BU163" s="1"/>
      <c r="BV163" s="1"/>
      <c r="BW163" s="1"/>
      <c r="BX163" s="1"/>
      <c r="DU163" s="267"/>
    </row>
    <row r="164" spans="1:137" ht="16" x14ac:dyDescent="0.2"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1"/>
      <c r="BO164" s="1"/>
      <c r="BP164" s="6"/>
      <c r="BQ164" s="6"/>
      <c r="BR164" s="1"/>
      <c r="BS164" s="6"/>
      <c r="BT164" s="1"/>
      <c r="BU164" s="1"/>
      <c r="BV164" s="1"/>
      <c r="BW164" s="1"/>
      <c r="BX164" s="1"/>
      <c r="DU164" s="267"/>
      <c r="EE164" s="168"/>
    </row>
    <row r="165" spans="1:137" ht="18" x14ac:dyDescent="0.25">
      <c r="E165" s="312" t="s">
        <v>538</v>
      </c>
      <c r="F165" s="312"/>
      <c r="G165" s="312"/>
      <c r="H165" s="312"/>
      <c r="J165" s="4"/>
      <c r="K165" s="1" t="s">
        <v>577</v>
      </c>
      <c r="L165" s="1" t="s">
        <v>578</v>
      </c>
      <c r="M165" s="1" t="s">
        <v>580</v>
      </c>
      <c r="N165" s="1" t="s">
        <v>86</v>
      </c>
      <c r="O165" s="1" t="s">
        <v>6</v>
      </c>
      <c r="P165" s="1" t="s">
        <v>7</v>
      </c>
      <c r="Q165" s="1" t="s">
        <v>8</v>
      </c>
      <c r="R165" s="1" t="s">
        <v>9</v>
      </c>
      <c r="S165" s="1" t="s">
        <v>49</v>
      </c>
      <c r="T165" s="1" t="s">
        <v>579</v>
      </c>
      <c r="U165" s="1" t="s">
        <v>50</v>
      </c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1"/>
      <c r="BO165" s="1"/>
      <c r="BP165" s="6"/>
      <c r="BQ165" s="6"/>
      <c r="BR165" s="1"/>
      <c r="BS165" s="6"/>
      <c r="BT165" s="1"/>
      <c r="BU165" s="1"/>
      <c r="BV165" s="1"/>
      <c r="BW165" s="1"/>
      <c r="BX165" s="1"/>
      <c r="DU165" s="267"/>
      <c r="DW165" s="179"/>
    </row>
    <row r="166" spans="1:137" ht="18" x14ac:dyDescent="0.25">
      <c r="E166" s="312"/>
      <c r="F166" s="312"/>
      <c r="G166" s="312"/>
      <c r="H166" s="312"/>
      <c r="J166" s="4" t="s">
        <v>41</v>
      </c>
      <c r="K166" s="1" t="s">
        <v>89</v>
      </c>
      <c r="L166" s="4" t="s">
        <v>284</v>
      </c>
      <c r="M166" s="2" t="s">
        <v>91</v>
      </c>
      <c r="N166" s="2" t="s">
        <v>87</v>
      </c>
      <c r="O166" s="2" t="s">
        <v>96</v>
      </c>
      <c r="P166" s="2" t="s">
        <v>25</v>
      </c>
      <c r="Q166" s="2" t="s">
        <v>99</v>
      </c>
      <c r="R166" s="2" t="s">
        <v>96</v>
      </c>
      <c r="S166" s="2" t="s">
        <v>96</v>
      </c>
      <c r="T166" s="2" t="s">
        <v>95</v>
      </c>
      <c r="U166" s="2" t="s">
        <v>93</v>
      </c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1"/>
      <c r="BO166" s="1"/>
      <c r="BP166" s="6"/>
      <c r="BQ166" s="6"/>
      <c r="BR166" s="1"/>
      <c r="BS166" s="6"/>
      <c r="BT166" s="1"/>
      <c r="BU166" s="1"/>
      <c r="BV166" s="1"/>
      <c r="BW166" s="1"/>
      <c r="BX166" s="1"/>
      <c r="DU166" s="267"/>
    </row>
    <row r="167" spans="1:137" ht="18" x14ac:dyDescent="0.25">
      <c r="I167" s="318" t="s">
        <v>544</v>
      </c>
      <c r="J167" s="8" t="s">
        <v>304</v>
      </c>
      <c r="K167" s="17">
        <f>M167*N167</f>
        <v>2.0883456718118438E-2</v>
      </c>
      <c r="L167" s="17">
        <f>K167/K169</f>
        <v>0.23300750051310176</v>
      </c>
      <c r="M167" s="3">
        <f>MW_O2</f>
        <v>3.1998800000000001E-2</v>
      </c>
      <c r="N167" s="3">
        <f>(O2_molcoeff*N144) + (O2_Gasoline_molcoeff*N155)</f>
        <v>0.65263249615980712</v>
      </c>
      <c r="O167" s="3">
        <f>b_ch_O2</f>
        <v>4</v>
      </c>
      <c r="P167" s="3">
        <f>N167/N169</f>
        <v>0.21008403361344538</v>
      </c>
      <c r="Q167" s="1">
        <f>LN(P167)</f>
        <v>-1.5602476682433286</v>
      </c>
      <c r="R167" s="1">
        <f>RT0*Q167</f>
        <v>-3.5432742429276503</v>
      </c>
      <c r="S167" s="1">
        <f>O167+R167</f>
        <v>0.45672575707234975</v>
      </c>
      <c r="T167" s="1">
        <f>S167*P167</f>
        <v>9.5950789300913816E-2</v>
      </c>
      <c r="U167" s="1">
        <f>N169*T167</f>
        <v>0.29807407089860533</v>
      </c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1"/>
      <c r="BO167" s="1"/>
      <c r="BP167" s="6"/>
      <c r="BQ167" s="6"/>
      <c r="BR167" s="1"/>
      <c r="BS167" s="6"/>
      <c r="BT167" s="1"/>
      <c r="BU167" s="1"/>
      <c r="BV167" s="1"/>
      <c r="BW167" s="1"/>
      <c r="BX167" s="1"/>
      <c r="DU167" s="267"/>
    </row>
    <row r="168" spans="1:137" ht="18" x14ac:dyDescent="0.25">
      <c r="I168" s="318"/>
      <c r="J168" s="60" t="s">
        <v>67</v>
      </c>
      <c r="K168" s="3">
        <f>M168*N168</f>
        <v>6.8742227743245857E-2</v>
      </c>
      <c r="L168" s="3">
        <f>K168/K169</f>
        <v>0.76699249948689829</v>
      </c>
      <c r="M168" s="28">
        <f>MW_N2</f>
        <v>2.801348E-2</v>
      </c>
      <c r="N168" s="28">
        <f>N2_molcoeff*N167</f>
        <v>2.4538981855608748</v>
      </c>
      <c r="O168" s="28">
        <f>b_ch_N2</f>
        <v>0.7</v>
      </c>
      <c r="P168" s="28">
        <f>N168/N169</f>
        <v>0.78991596638655459</v>
      </c>
      <c r="Q168" s="2">
        <f>LN(P168)</f>
        <v>-0.23582871084152554</v>
      </c>
      <c r="R168" s="2">
        <f>RT0*Q168</f>
        <v>-0.53555971521393941</v>
      </c>
      <c r="S168" s="2">
        <f>O168+R168</f>
        <v>0.16444028478606054</v>
      </c>
      <c r="T168" s="2">
        <f>S168*P168</f>
        <v>0.12989400646966126</v>
      </c>
      <c r="U168" s="2">
        <f>N169*T168</f>
        <v>0.40351971646962748</v>
      </c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1"/>
      <c r="BO168" s="1"/>
      <c r="BP168" s="6"/>
      <c r="BQ168" s="6"/>
      <c r="BR168" s="1"/>
      <c r="BS168" s="6"/>
      <c r="BT168" s="1"/>
      <c r="BU168" s="1"/>
      <c r="BV168" s="1"/>
      <c r="BW168" s="1"/>
      <c r="BX168" s="1"/>
      <c r="DU168" s="267"/>
    </row>
    <row r="169" spans="1:137" ht="16" x14ac:dyDescent="0.2">
      <c r="J169" s="3" t="s">
        <v>19</v>
      </c>
      <c r="K169" s="17">
        <f>SUM(K167:K168)</f>
        <v>8.9625684461364291E-2</v>
      </c>
      <c r="L169" s="17">
        <f>SUM(L167:L168)</f>
        <v>1</v>
      </c>
      <c r="M169" s="3">
        <f>SUM(M167:M168)</f>
        <v>6.0012280000000001E-2</v>
      </c>
      <c r="N169" s="3">
        <f>SUM(N167:N168)</f>
        <v>3.1065306817206819</v>
      </c>
      <c r="T169" s="3">
        <f>SUM(T167:T168)</f>
        <v>0.22584479577057509</v>
      </c>
      <c r="U169" s="3">
        <f>SUM(U167:U168)</f>
        <v>0.70159378736823275</v>
      </c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1"/>
      <c r="BO169" s="1"/>
      <c r="BP169" s="6"/>
      <c r="BQ169" s="6"/>
      <c r="BR169" s="1"/>
      <c r="BS169" s="6"/>
      <c r="BT169" s="1"/>
      <c r="BU169" s="1"/>
      <c r="BV169" s="1"/>
      <c r="BW169" s="1"/>
      <c r="BX169" s="1"/>
      <c r="DU169" s="267"/>
    </row>
    <row r="170" spans="1:137" ht="18" x14ac:dyDescent="0.25">
      <c r="K170" s="1" t="s">
        <v>90</v>
      </c>
      <c r="L170" s="1"/>
      <c r="M170" s="3" t="s">
        <v>92</v>
      </c>
      <c r="N170" s="3" t="s">
        <v>88</v>
      </c>
      <c r="O170" s="4"/>
      <c r="P170" s="4"/>
      <c r="T170" s="3" t="s">
        <v>97</v>
      </c>
      <c r="U170" s="1" t="s">
        <v>94</v>
      </c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1"/>
      <c r="BO170" s="1"/>
      <c r="BP170" s="6"/>
      <c r="BQ170" s="6"/>
      <c r="BR170" s="1"/>
      <c r="BS170" s="6"/>
      <c r="BT170" s="1"/>
      <c r="BU170" s="1"/>
      <c r="BV170" s="1"/>
      <c r="BW170" s="1"/>
      <c r="BX170" s="1"/>
      <c r="DU170" s="267"/>
    </row>
    <row r="171" spans="1:137" ht="16" x14ac:dyDescent="0.2">
      <c r="K171" s="1"/>
      <c r="L171" s="1"/>
      <c r="O171" s="4"/>
      <c r="P171" s="4"/>
      <c r="U171" s="1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1"/>
      <c r="BO171" s="1"/>
      <c r="BP171" s="6"/>
      <c r="BQ171" s="6"/>
      <c r="BR171" s="1"/>
      <c r="BS171" s="6"/>
      <c r="BT171" s="1"/>
      <c r="BU171" s="1"/>
      <c r="BV171" s="1"/>
      <c r="BW171" s="1"/>
      <c r="BX171" s="1"/>
      <c r="DU171" s="267"/>
    </row>
    <row r="172" spans="1:137" ht="16" x14ac:dyDescent="0.2">
      <c r="K172" s="1"/>
      <c r="L172" s="1"/>
      <c r="O172" s="4"/>
      <c r="P172" s="4"/>
      <c r="U172" s="1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1"/>
      <c r="BO172" s="1"/>
      <c r="BP172" s="6"/>
      <c r="BQ172" s="6"/>
      <c r="BR172" s="1"/>
      <c r="BS172" s="6"/>
      <c r="BT172" s="1"/>
      <c r="BU172" s="1"/>
      <c r="BV172" s="1"/>
      <c r="BW172" s="1"/>
      <c r="BX172" s="1"/>
      <c r="DU172" s="267"/>
    </row>
    <row r="173" spans="1:137" ht="16" x14ac:dyDescent="0.2">
      <c r="K173" s="1"/>
      <c r="L173" s="1"/>
      <c r="O173" s="4"/>
      <c r="P173" s="4"/>
      <c r="U173" s="1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1"/>
      <c r="BO173" s="1"/>
      <c r="BP173" s="6"/>
      <c r="BQ173" s="6"/>
      <c r="BR173" s="1"/>
      <c r="BS173" s="6"/>
      <c r="BT173" s="1"/>
      <c r="BU173" s="1"/>
      <c r="BV173" s="1"/>
      <c r="BW173" s="1"/>
      <c r="BX173" s="1"/>
      <c r="DU173" s="267"/>
    </row>
    <row r="174" spans="1:137" ht="16" x14ac:dyDescent="0.2">
      <c r="K174" s="1"/>
      <c r="L174" s="1"/>
      <c r="O174" s="4"/>
      <c r="P174" s="4"/>
      <c r="U174" s="1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1"/>
      <c r="BO174" s="1"/>
      <c r="BP174" s="6"/>
      <c r="BQ174" s="6"/>
      <c r="BR174" s="1"/>
      <c r="BS174" s="6"/>
      <c r="BT174" s="1"/>
      <c r="BU174" s="1"/>
      <c r="BV174" s="1"/>
      <c r="BW174" s="1"/>
      <c r="BX174" s="1"/>
      <c r="DU174" s="267"/>
    </row>
    <row r="175" spans="1:137" ht="16" x14ac:dyDescent="0.2">
      <c r="K175" s="1"/>
      <c r="L175" s="1"/>
      <c r="O175" s="4"/>
      <c r="P175" s="4"/>
      <c r="U175" s="1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1"/>
      <c r="BO175" s="1"/>
      <c r="BP175" s="6"/>
      <c r="BQ175" s="6"/>
      <c r="BR175" s="1"/>
      <c r="BS175" s="6"/>
      <c r="BT175" s="1"/>
      <c r="BU175" s="1"/>
      <c r="BV175" s="1"/>
      <c r="BW175" s="1"/>
      <c r="BX175" s="1"/>
      <c r="DU175" s="267"/>
    </row>
    <row r="176" spans="1:137" ht="17" thickBot="1" x14ac:dyDescent="0.25">
      <c r="A176" s="99"/>
      <c r="B176" s="99"/>
      <c r="C176" s="99"/>
      <c r="D176" s="99"/>
      <c r="E176" s="99"/>
      <c r="F176" s="99"/>
      <c r="G176" s="99"/>
      <c r="H176" s="99"/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99"/>
      <c r="T176" s="99"/>
      <c r="U176" s="99"/>
      <c r="V176" s="91"/>
      <c r="W176" s="91"/>
      <c r="X176" s="91"/>
      <c r="Y176" s="91"/>
      <c r="Z176" s="91"/>
      <c r="AA176" s="91"/>
      <c r="AB176" s="91"/>
      <c r="AC176" s="91"/>
      <c r="AD176" s="91"/>
      <c r="AE176" s="91"/>
      <c r="AF176" s="91"/>
      <c r="AG176" s="91"/>
      <c r="AH176" s="91"/>
      <c r="AI176" s="91"/>
      <c r="AJ176" s="91"/>
      <c r="AK176" s="91"/>
      <c r="AL176" s="91"/>
      <c r="AM176" s="91"/>
      <c r="AN176" s="91"/>
      <c r="AO176" s="91"/>
      <c r="AP176" s="91"/>
      <c r="AQ176" s="91"/>
      <c r="AR176" s="91"/>
      <c r="AS176" s="91"/>
      <c r="AT176" s="91"/>
      <c r="AU176" s="91"/>
      <c r="AV176" s="91"/>
      <c r="AW176" s="91"/>
      <c r="AX176" s="91"/>
      <c r="AY176" s="91"/>
      <c r="AZ176" s="91"/>
      <c r="BA176" s="91"/>
      <c r="BB176" s="91"/>
      <c r="BC176" s="91"/>
      <c r="BD176" s="91"/>
      <c r="BE176" s="91"/>
      <c r="BF176" s="91"/>
      <c r="BG176" s="91"/>
      <c r="BH176" s="91"/>
      <c r="BI176" s="91"/>
      <c r="BJ176" s="91"/>
      <c r="BK176" s="91"/>
      <c r="BL176" s="91"/>
      <c r="BM176" s="143"/>
      <c r="BN176" s="144"/>
      <c r="BO176" s="144"/>
      <c r="BP176" s="99"/>
      <c r="BQ176" s="99"/>
      <c r="BR176" s="91"/>
      <c r="BS176" s="91"/>
      <c r="BT176" s="99"/>
      <c r="BU176" s="99"/>
      <c r="BV176" s="99"/>
      <c r="BW176" s="99"/>
      <c r="BX176" s="144"/>
      <c r="BY176" s="99"/>
      <c r="BZ176" s="99"/>
      <c r="CA176" s="99"/>
      <c r="CB176" s="99"/>
      <c r="CC176" s="99"/>
      <c r="CD176" s="99"/>
      <c r="CE176" s="99"/>
      <c r="CF176" s="99"/>
      <c r="CG176" s="99"/>
      <c r="CH176" s="99"/>
      <c r="CI176" s="99"/>
      <c r="CJ176" s="99"/>
      <c r="CK176" s="99"/>
      <c r="CL176" s="99"/>
      <c r="CM176" s="99"/>
      <c r="CN176" s="99"/>
      <c r="CO176" s="99"/>
      <c r="CP176" s="99"/>
      <c r="CQ176" s="99"/>
      <c r="CR176" s="99"/>
      <c r="CS176" s="99"/>
      <c r="CT176" s="99"/>
      <c r="CU176" s="99"/>
      <c r="CV176" s="99"/>
      <c r="DU176" s="267"/>
    </row>
    <row r="177" spans="14:125" ht="16" x14ac:dyDescent="0.2"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5"/>
      <c r="BK177" s="1"/>
      <c r="BL177" s="1"/>
      <c r="BO177" s="4"/>
      <c r="BP177" s="4"/>
      <c r="BU177" s="1"/>
      <c r="DU177" s="267"/>
    </row>
    <row r="178" spans="14:125" ht="16" x14ac:dyDescent="0.2"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5"/>
      <c r="BK178" s="1"/>
      <c r="BL178" s="1"/>
      <c r="BO178" s="4"/>
      <c r="BP178" s="4"/>
      <c r="BU178" s="1"/>
    </row>
    <row r="179" spans="14:125" x14ac:dyDescent="0.2"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S179" s="4"/>
      <c r="BT179" s="4"/>
    </row>
    <row r="180" spans="14:125" x14ac:dyDescent="0.2"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S180" s="4"/>
      <c r="BT180" s="4"/>
    </row>
    <row r="181" spans="14:125" ht="16" x14ac:dyDescent="0.2"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S181" s="4"/>
      <c r="BT181" s="4"/>
      <c r="CJ181" s="1"/>
      <c r="CK181" s="1"/>
      <c r="CL181" s="1"/>
      <c r="CM181" s="1"/>
      <c r="CN181" s="1"/>
      <c r="CO181" s="1"/>
      <c r="CP181" s="1"/>
    </row>
    <row r="182" spans="14:125" ht="16" x14ac:dyDescent="0.2">
      <c r="S182" s="4"/>
      <c r="T182" s="4"/>
      <c r="U182" s="4"/>
      <c r="V182" s="323" t="s">
        <v>441</v>
      </c>
      <c r="W182" s="323"/>
      <c r="X182" s="323"/>
      <c r="Y182" s="323"/>
      <c r="Z182" s="323"/>
      <c r="AA182" s="323"/>
      <c r="AB182" s="323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S182" s="4"/>
      <c r="BT182" s="4"/>
      <c r="CF182" s="1"/>
      <c r="CG182" s="4"/>
      <c r="CH182" s="1"/>
      <c r="CI182" s="1"/>
      <c r="CJ182" s="1"/>
      <c r="CK182" s="1"/>
      <c r="CL182" s="1"/>
      <c r="CM182" s="1"/>
      <c r="CN182" s="1"/>
      <c r="CO182" s="1"/>
      <c r="CP182" s="1"/>
    </row>
    <row r="183" spans="14:125" x14ac:dyDescent="0.2">
      <c r="S183" s="4"/>
      <c r="T183" s="4"/>
      <c r="U183" s="4"/>
      <c r="V183" s="61" t="s">
        <v>265</v>
      </c>
      <c r="W183" s="13" t="s">
        <v>264</v>
      </c>
      <c r="X183" s="13" t="s">
        <v>236</v>
      </c>
      <c r="Y183" s="13" t="s">
        <v>236</v>
      </c>
      <c r="Z183" s="13" t="s">
        <v>236</v>
      </c>
      <c r="AA183" s="106" t="s">
        <v>323</v>
      </c>
      <c r="AB183" s="13" t="s">
        <v>317</v>
      </c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S183" s="4"/>
      <c r="BT183" s="4"/>
      <c r="CF183" s="179"/>
      <c r="CN183" s="4"/>
      <c r="CO183" s="4"/>
    </row>
    <row r="184" spans="14:125" ht="17" x14ac:dyDescent="0.25">
      <c r="S184" s="4"/>
      <c r="T184" s="4"/>
      <c r="U184" s="4"/>
      <c r="V184" s="61" t="s">
        <v>99</v>
      </c>
      <c r="W184" s="61" t="s">
        <v>99</v>
      </c>
      <c r="X184" s="13" t="s">
        <v>232</v>
      </c>
      <c r="Y184" s="13" t="s">
        <v>235</v>
      </c>
      <c r="Z184" s="13" t="s">
        <v>48</v>
      </c>
      <c r="AA184" s="34" t="s">
        <v>99</v>
      </c>
      <c r="AB184" s="13" t="s">
        <v>48</v>
      </c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S184" s="4"/>
      <c r="BT184" s="4"/>
      <c r="CN184" s="4"/>
      <c r="CO184" s="4"/>
    </row>
    <row r="185" spans="14:125" x14ac:dyDescent="0.2">
      <c r="S185" s="4"/>
      <c r="T185" s="4"/>
      <c r="U185" s="4"/>
      <c r="V185" s="61" t="s">
        <v>266</v>
      </c>
      <c r="W185" s="13" t="s">
        <v>252</v>
      </c>
      <c r="X185" s="61">
        <v>132000</v>
      </c>
      <c r="Y185" s="13">
        <f t="shared" ref="Y185:Y194" si="63">X185*Btu_to_kJ</f>
        <v>139267.92000000001</v>
      </c>
      <c r="Z185" s="13">
        <f t="shared" ref="Z185:Z194" si="64">Y185*($K$217/1000)</f>
        <v>39953.745649167096</v>
      </c>
      <c r="AA185" s="3">
        <v>1</v>
      </c>
      <c r="AB185" s="13">
        <f>Z185*AA185</f>
        <v>39953.745649167096</v>
      </c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S185" s="4"/>
      <c r="BT185" s="4"/>
      <c r="CN185" s="4"/>
      <c r="CO185" s="4"/>
    </row>
    <row r="186" spans="14:125" x14ac:dyDescent="0.2">
      <c r="S186" s="4"/>
      <c r="T186" s="4"/>
      <c r="U186" s="4"/>
      <c r="V186" s="61" t="s">
        <v>266</v>
      </c>
      <c r="W186" s="61" t="s">
        <v>251</v>
      </c>
      <c r="X186" s="61">
        <v>58600</v>
      </c>
      <c r="Y186" s="13">
        <f t="shared" si="63"/>
        <v>61826.516000000003</v>
      </c>
      <c r="Z186" s="13">
        <f t="shared" si="64"/>
        <v>17737.041629099938</v>
      </c>
      <c r="AA186" s="13">
        <v>1</v>
      </c>
      <c r="AB186" s="13">
        <f t="shared" ref="AB186:AB194" si="65">Z186*AA186</f>
        <v>17737.041629099938</v>
      </c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S186" s="4"/>
      <c r="BT186" s="4"/>
      <c r="CN186" s="4"/>
      <c r="CO186" s="4"/>
    </row>
    <row r="187" spans="14:125" x14ac:dyDescent="0.2">
      <c r="S187" s="4"/>
      <c r="T187" s="4"/>
      <c r="U187" s="4"/>
      <c r="V187" s="61" t="s">
        <v>266</v>
      </c>
      <c r="W187" s="61" t="s">
        <v>254</v>
      </c>
      <c r="X187" s="61">
        <v>4120</v>
      </c>
      <c r="Y187" s="13">
        <f t="shared" si="63"/>
        <v>4346.8472000000002</v>
      </c>
      <c r="Z187" s="13">
        <f t="shared" si="64"/>
        <v>1247.041152080064</v>
      </c>
      <c r="AA187" s="13">
        <v>1</v>
      </c>
      <c r="AB187" s="13">
        <f t="shared" si="65"/>
        <v>1247.041152080064</v>
      </c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323" t="s">
        <v>442</v>
      </c>
      <c r="AN187" s="323"/>
      <c r="AO187" s="323"/>
      <c r="AP187" s="323"/>
      <c r="AQ187" s="323"/>
      <c r="AR187" s="323"/>
      <c r="AS187" s="323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323" t="s">
        <v>443</v>
      </c>
      <c r="BE187" s="323"/>
      <c r="BF187" s="323"/>
      <c r="BG187" s="323"/>
      <c r="BH187" s="323"/>
      <c r="BI187" s="323"/>
      <c r="BJ187" s="323"/>
      <c r="BK187" s="4"/>
      <c r="BL187" s="4"/>
      <c r="BM187" s="4"/>
      <c r="BN187" s="4"/>
      <c r="BO187" s="4"/>
      <c r="BP187" s="4"/>
      <c r="BS187" s="4"/>
      <c r="BT187" s="4"/>
      <c r="CN187" s="4"/>
      <c r="CO187" s="4"/>
    </row>
    <row r="188" spans="14:125" x14ac:dyDescent="0.2">
      <c r="S188" s="4"/>
      <c r="T188" s="4"/>
      <c r="U188" s="4"/>
      <c r="V188" s="61" t="s">
        <v>266</v>
      </c>
      <c r="W188" s="61" t="s">
        <v>255</v>
      </c>
      <c r="X188" s="61">
        <v>34700</v>
      </c>
      <c r="Y188" s="13">
        <f t="shared" si="63"/>
        <v>36610.582000000002</v>
      </c>
      <c r="Z188" s="13">
        <f t="shared" si="64"/>
        <v>10502.99222747044</v>
      </c>
      <c r="AA188" s="13">
        <v>1</v>
      </c>
      <c r="AB188" s="13">
        <f t="shared" si="65"/>
        <v>10502.99222747044</v>
      </c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13" t="s">
        <v>265</v>
      </c>
      <c r="AN188" s="13" t="s">
        <v>267</v>
      </c>
      <c r="AO188" s="13" t="s">
        <v>236</v>
      </c>
      <c r="AP188" s="13" t="s">
        <v>36</v>
      </c>
      <c r="AQ188" s="13" t="s">
        <v>236</v>
      </c>
      <c r="AR188" s="106" t="s">
        <v>323</v>
      </c>
      <c r="AS188" s="13" t="s">
        <v>317</v>
      </c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61" t="s">
        <v>265</v>
      </c>
      <c r="BE188" s="13" t="s">
        <v>264</v>
      </c>
      <c r="BF188" s="13" t="s">
        <v>236</v>
      </c>
      <c r="BG188" s="13" t="s">
        <v>236</v>
      </c>
      <c r="BH188" s="13" t="s">
        <v>236</v>
      </c>
      <c r="BI188" s="106" t="s">
        <v>323</v>
      </c>
      <c r="BJ188" s="13" t="s">
        <v>317</v>
      </c>
      <c r="BK188" s="4"/>
      <c r="BL188" s="4"/>
      <c r="BM188" s="4"/>
      <c r="BN188" s="4"/>
      <c r="BO188" s="4"/>
      <c r="BP188" s="4"/>
      <c r="BQ188" s="4"/>
      <c r="BR188" s="4"/>
      <c r="CN188" s="4"/>
      <c r="CO188" s="4"/>
    </row>
    <row r="189" spans="14:125" ht="33" x14ac:dyDescent="0.25">
      <c r="S189" s="4"/>
      <c r="T189" s="4"/>
      <c r="U189" s="4"/>
      <c r="V189" s="61" t="s">
        <v>266</v>
      </c>
      <c r="W189" s="89" t="s">
        <v>256</v>
      </c>
      <c r="X189" s="61">
        <v>17500</v>
      </c>
      <c r="Y189" s="13">
        <f t="shared" si="63"/>
        <v>18463.550000000003</v>
      </c>
      <c r="Z189" s="13">
        <f t="shared" si="64"/>
        <v>5296.8980974274564</v>
      </c>
      <c r="AA189" s="13">
        <v>1</v>
      </c>
      <c r="AB189" s="13">
        <f t="shared" si="65"/>
        <v>5296.8980974274564</v>
      </c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13" t="s">
        <v>99</v>
      </c>
      <c r="AN189" s="13" t="s">
        <v>99</v>
      </c>
      <c r="AO189" s="13" t="s">
        <v>238</v>
      </c>
      <c r="AP189" s="13" t="s">
        <v>237</v>
      </c>
      <c r="AQ189" s="13" t="s">
        <v>48</v>
      </c>
      <c r="AR189" s="34" t="s">
        <v>99</v>
      </c>
      <c r="AS189" s="13" t="s">
        <v>48</v>
      </c>
      <c r="AT189" s="4"/>
      <c r="AU189" s="4"/>
      <c r="AV189" s="72"/>
      <c r="AW189" s="4"/>
      <c r="AX189" s="4"/>
      <c r="AY189" s="4"/>
      <c r="AZ189" s="4"/>
      <c r="BA189" s="4"/>
      <c r="BB189" s="4"/>
      <c r="BC189" s="4"/>
      <c r="BD189" s="61" t="s">
        <v>99</v>
      </c>
      <c r="BE189" s="61" t="s">
        <v>99</v>
      </c>
      <c r="BF189" s="13" t="s">
        <v>231</v>
      </c>
      <c r="BG189" s="13" t="s">
        <v>235</v>
      </c>
      <c r="BH189" s="13" t="s">
        <v>48</v>
      </c>
      <c r="BI189" s="34" t="s">
        <v>99</v>
      </c>
      <c r="BJ189" s="13" t="s">
        <v>48</v>
      </c>
      <c r="BK189" s="4"/>
      <c r="BL189" s="4"/>
      <c r="BM189" s="4"/>
      <c r="BN189" s="4"/>
      <c r="BO189" s="4"/>
      <c r="BP189" s="4"/>
      <c r="BQ189" s="4"/>
      <c r="BR189" s="4"/>
      <c r="CN189" s="4"/>
      <c r="CO189" s="4"/>
    </row>
    <row r="190" spans="14:125" ht="20" thickBot="1" x14ac:dyDescent="0.25">
      <c r="N190" s="341" t="s">
        <v>365</v>
      </c>
      <c r="O190" s="341"/>
      <c r="P190" s="341"/>
      <c r="S190" s="4"/>
      <c r="T190" s="4"/>
      <c r="U190" s="4"/>
      <c r="V190" s="61" t="s">
        <v>266</v>
      </c>
      <c r="W190" s="61" t="s">
        <v>257</v>
      </c>
      <c r="X190" s="13">
        <v>4690</v>
      </c>
      <c r="Y190" s="13">
        <f t="shared" si="63"/>
        <v>4948.2314000000006</v>
      </c>
      <c r="Z190" s="13">
        <f t="shared" si="64"/>
        <v>1419.5686901105582</v>
      </c>
      <c r="AA190" s="13">
        <v>1</v>
      </c>
      <c r="AB190" s="13">
        <f t="shared" si="65"/>
        <v>1419.5686901105582</v>
      </c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61" t="s">
        <v>266</v>
      </c>
      <c r="AN190" s="13" t="s">
        <v>303</v>
      </c>
      <c r="AO190" s="13">
        <v>700</v>
      </c>
      <c r="AP190" s="13">
        <v>798</v>
      </c>
      <c r="AQ190" s="61">
        <f>AP190*AO190*(AD217/1000)</f>
        <v>160253.43323591491</v>
      </c>
      <c r="AR190" s="13">
        <v>1</v>
      </c>
      <c r="AS190" s="13">
        <f>AQ190*AR190</f>
        <v>160253.43323591491</v>
      </c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61" t="s">
        <v>266</v>
      </c>
      <c r="BE190" s="13" t="s">
        <v>179</v>
      </c>
      <c r="BF190" s="13">
        <v>93200</v>
      </c>
      <c r="BG190" s="61">
        <f>BF190*Btu_to_kJ</f>
        <v>98331.592000000004</v>
      </c>
      <c r="BH190" s="61">
        <f>BG190*($AV$217/1000)</f>
        <v>28209.76586744222</v>
      </c>
      <c r="BI190" s="13">
        <v>1</v>
      </c>
      <c r="BJ190" s="13">
        <f>BH190*BI190</f>
        <v>28209.76586744222</v>
      </c>
      <c r="BK190" s="4"/>
      <c r="BL190" s="4"/>
      <c r="BM190" s="4"/>
      <c r="BN190" s="4"/>
      <c r="BO190" s="4"/>
      <c r="BP190" s="4"/>
      <c r="BQ190" s="4"/>
      <c r="BR190" s="4"/>
      <c r="CP190" s="128"/>
    </row>
    <row r="191" spans="14:125" ht="16" x14ac:dyDescent="0.2">
      <c r="N191" s="101" t="s">
        <v>489</v>
      </c>
      <c r="O191" s="321" t="s">
        <v>345</v>
      </c>
      <c r="P191" s="103" t="s">
        <v>318</v>
      </c>
      <c r="S191" s="4"/>
      <c r="T191" s="4"/>
      <c r="U191" s="4"/>
      <c r="V191" s="61" t="s">
        <v>266</v>
      </c>
      <c r="W191" s="13" t="s">
        <v>259</v>
      </c>
      <c r="X191" s="13">
        <v>1760</v>
      </c>
      <c r="Y191" s="13">
        <f t="shared" si="63"/>
        <v>1856.9056000000003</v>
      </c>
      <c r="Z191" s="13">
        <f t="shared" si="64"/>
        <v>532.71660865556134</v>
      </c>
      <c r="AA191" s="13">
        <v>1</v>
      </c>
      <c r="AB191" s="13">
        <f t="shared" si="65"/>
        <v>532.71660865556134</v>
      </c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61" t="s">
        <v>266</v>
      </c>
      <c r="BE191" s="13" t="s">
        <v>248</v>
      </c>
      <c r="BF191" s="13">
        <v>585</v>
      </c>
      <c r="BG191" s="61">
        <f>BF191*Btu_to_kJ</f>
        <v>617.21010000000001</v>
      </c>
      <c r="BH191" s="61">
        <f>BG191*($AV$217/1000)</f>
        <v>177.0677363997178</v>
      </c>
      <c r="BI191" s="13">
        <v>1</v>
      </c>
      <c r="BJ191" s="13">
        <f t="shared" ref="BJ191:BJ194" si="66">BH191*BI191</f>
        <v>177.0677363997178</v>
      </c>
      <c r="BK191" s="4"/>
      <c r="BL191" s="4"/>
      <c r="BM191" s="4"/>
      <c r="BN191" s="4"/>
      <c r="BO191" s="4"/>
      <c r="BP191" s="4"/>
      <c r="BQ191" s="4"/>
      <c r="BR191" s="4"/>
    </row>
    <row r="192" spans="14:125" ht="16" x14ac:dyDescent="0.2">
      <c r="N192" s="75" t="s">
        <v>48</v>
      </c>
      <c r="O192" s="322"/>
      <c r="P192" s="104" t="s">
        <v>48</v>
      </c>
      <c r="S192" s="4"/>
      <c r="T192" s="4"/>
      <c r="U192" s="4"/>
      <c r="V192" s="61" t="s">
        <v>266</v>
      </c>
      <c r="W192" s="13" t="s">
        <v>260</v>
      </c>
      <c r="X192" s="13">
        <v>2360</v>
      </c>
      <c r="Y192" s="13">
        <f t="shared" si="63"/>
        <v>2489.9416000000001</v>
      </c>
      <c r="Z192" s="13">
        <f t="shared" si="64"/>
        <v>714.32454342450262</v>
      </c>
      <c r="AA192" s="13">
        <v>1</v>
      </c>
      <c r="AB192" s="13">
        <f t="shared" si="65"/>
        <v>714.32454342450262</v>
      </c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72"/>
      <c r="AY192" s="4"/>
      <c r="AZ192" s="4"/>
      <c r="BA192" s="4"/>
      <c r="BB192" s="4"/>
      <c r="BC192" s="4"/>
      <c r="BD192" s="61" t="s">
        <v>266</v>
      </c>
      <c r="BE192" s="13" t="s">
        <v>249</v>
      </c>
      <c r="BF192" s="13">
        <v>359</v>
      </c>
      <c r="BG192" s="61">
        <f>BF192*Btu_to_kJ</f>
        <v>378.76654000000002</v>
      </c>
      <c r="BH192" s="61">
        <f>BG192*($AV$217/1000)</f>
        <v>108.66208097008324</v>
      </c>
      <c r="BI192" s="13">
        <v>1</v>
      </c>
      <c r="BJ192" s="13">
        <f t="shared" si="66"/>
        <v>108.66208097008324</v>
      </c>
      <c r="BK192" s="4"/>
      <c r="BL192" s="4"/>
      <c r="BM192" s="4"/>
      <c r="BN192" s="4"/>
      <c r="BO192" s="4"/>
      <c r="BP192" s="4"/>
      <c r="BQ192" s="4"/>
      <c r="BR192" s="4"/>
    </row>
    <row r="193" spans="5:94" ht="16" thickBot="1" x14ac:dyDescent="0.25">
      <c r="N193" s="102">
        <f>0-U206</f>
        <v>-8746311.5419027284</v>
      </c>
      <c r="O193" s="140" t="s">
        <v>342</v>
      </c>
      <c r="P193" s="104">
        <f>((N210*(T210-0)/AB195))</f>
        <v>112.97498946045621</v>
      </c>
      <c r="S193" s="4"/>
      <c r="T193" s="4"/>
      <c r="U193" s="4"/>
      <c r="V193" s="61" t="s">
        <v>266</v>
      </c>
      <c r="W193" s="61" t="s">
        <v>262</v>
      </c>
      <c r="X193" s="61">
        <v>143</v>
      </c>
      <c r="Y193" s="13">
        <f t="shared" si="63"/>
        <v>150.87358</v>
      </c>
      <c r="Z193" s="13">
        <f t="shared" si="64"/>
        <v>43.283224453264353</v>
      </c>
      <c r="AA193" s="13">
        <v>1</v>
      </c>
      <c r="AB193" s="13">
        <f t="shared" si="65"/>
        <v>43.283224453264353</v>
      </c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61" t="s">
        <v>266</v>
      </c>
      <c r="BE193" s="13" t="s">
        <v>250</v>
      </c>
      <c r="BF193" s="13">
        <v>238</v>
      </c>
      <c r="BG193" s="61">
        <f>BF193*Btu_to_kJ</f>
        <v>251.10428000000002</v>
      </c>
      <c r="BH193" s="61">
        <f>BG193*($AV$217/1000)</f>
        <v>72.037814125013398</v>
      </c>
      <c r="BI193" s="13">
        <v>1</v>
      </c>
      <c r="BJ193" s="13">
        <f t="shared" si="66"/>
        <v>72.037814125013398</v>
      </c>
      <c r="BK193" s="4"/>
      <c r="BL193" s="4"/>
      <c r="BM193" s="4"/>
      <c r="BN193" s="4"/>
      <c r="BO193" s="4"/>
      <c r="BP193" s="4"/>
      <c r="BQ193" s="4"/>
      <c r="BR193" s="4"/>
    </row>
    <row r="194" spans="5:94" ht="16" thickBot="1" x14ac:dyDescent="0.25">
      <c r="N194" s="4"/>
      <c r="O194" s="140" t="s">
        <v>343</v>
      </c>
      <c r="P194" s="104">
        <f>U206/AB195</f>
        <v>112.92932406235479</v>
      </c>
      <c r="S194" s="4"/>
      <c r="T194" s="4"/>
      <c r="U194" s="4"/>
      <c r="V194" s="61" t="s">
        <v>266</v>
      </c>
      <c r="W194" s="61" t="s">
        <v>263</v>
      </c>
      <c r="X194" s="61">
        <v>6</v>
      </c>
      <c r="Y194" s="13">
        <f t="shared" si="63"/>
        <v>6.3303600000000007</v>
      </c>
      <c r="Z194" s="13">
        <f t="shared" si="64"/>
        <v>1.8160793476894135</v>
      </c>
      <c r="AA194" s="13">
        <v>1</v>
      </c>
      <c r="AB194" s="13">
        <f t="shared" si="65"/>
        <v>1.8160793476894135</v>
      </c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BB194" s="4"/>
      <c r="BC194" s="4"/>
      <c r="BD194" s="61" t="s">
        <v>266</v>
      </c>
      <c r="BE194" s="61" t="s">
        <v>239</v>
      </c>
      <c r="BF194" s="61">
        <v>121</v>
      </c>
      <c r="BG194" s="61">
        <f>BF194*Btu_to_kJ</f>
        <v>127.66226000000002</v>
      </c>
      <c r="BH194" s="61">
        <f>BG194*($AV$217/1000)</f>
        <v>36.62426684506984</v>
      </c>
      <c r="BI194" s="13">
        <v>1</v>
      </c>
      <c r="BJ194" s="13">
        <f t="shared" si="66"/>
        <v>36.62426684506984</v>
      </c>
      <c r="BK194" s="4"/>
      <c r="BL194" s="4"/>
      <c r="BM194" s="4"/>
      <c r="BN194" s="4"/>
      <c r="BO194" s="4"/>
      <c r="BP194" s="4"/>
      <c r="BQ194" s="4"/>
      <c r="BR194" s="4"/>
    </row>
    <row r="195" spans="5:94" ht="16" thickBot="1" x14ac:dyDescent="0.25">
      <c r="N195" s="4"/>
      <c r="O195" s="141" t="s">
        <v>344</v>
      </c>
      <c r="P195" s="100">
        <f>U210/AB195</f>
        <v>112.97501431215093</v>
      </c>
      <c r="S195" s="4"/>
      <c r="T195" s="4"/>
      <c r="U195" s="4"/>
      <c r="V195" s="336" t="s">
        <v>522</v>
      </c>
      <c r="W195" s="337"/>
      <c r="X195" s="265"/>
      <c r="Y195" s="265"/>
      <c r="Z195" s="265">
        <f>SUM(Z185:Z186,Z187:Z188,Z189:Z190,Z191:Z192,Z193:Z194)</f>
        <v>77449.427901236573</v>
      </c>
      <c r="AA195" s="264">
        <v>1</v>
      </c>
      <c r="AB195" s="266">
        <f>Z195*AA195</f>
        <v>77449.427901236573</v>
      </c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W195" s="4"/>
      <c r="AX195" s="4"/>
      <c r="BB195" s="4"/>
      <c r="BC195" s="4"/>
      <c r="BD195" s="61"/>
      <c r="BE195" s="13" t="s">
        <v>19</v>
      </c>
      <c r="BF195" s="13">
        <f>SUM(BF190:BF194)</f>
        <v>94503</v>
      </c>
      <c r="BG195" s="13">
        <f>SUM(BG190:BG194)</f>
        <v>99706.335179999995</v>
      </c>
      <c r="BH195" s="13">
        <f>SUM(BH190:BH194)</f>
        <v>28604.157765782104</v>
      </c>
      <c r="BI195" s="13"/>
      <c r="BJ195" s="13">
        <f>SUM(BJ190:BJ194)</f>
        <v>28604.157765782104</v>
      </c>
      <c r="BQ195" s="4"/>
      <c r="BR195" s="4"/>
      <c r="CH195"/>
    </row>
    <row r="196" spans="5:94" x14ac:dyDescent="0.2">
      <c r="S196" s="4"/>
      <c r="T196" s="4"/>
      <c r="U196" s="4"/>
      <c r="V196" s="172"/>
      <c r="W196" s="172"/>
      <c r="X196" s="172"/>
      <c r="Y196" s="172"/>
      <c r="Z196" s="172"/>
      <c r="AA196" s="172"/>
      <c r="AB196" s="172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W196" s="4"/>
      <c r="AX196" s="4"/>
      <c r="BB196" s="4"/>
      <c r="BC196" s="4"/>
      <c r="BD196" s="4"/>
      <c r="BE196" s="4"/>
      <c r="BF196" s="4"/>
      <c r="BS196" s="4"/>
      <c r="BT196" s="4"/>
    </row>
    <row r="197" spans="5:94" x14ac:dyDescent="0.2">
      <c r="S197" s="4"/>
      <c r="T197" s="4"/>
      <c r="U197" s="4"/>
      <c r="V197" s="172"/>
      <c r="W197" s="172"/>
      <c r="X197" s="172"/>
      <c r="Y197" s="172"/>
      <c r="Z197" s="172"/>
      <c r="AA197" s="172"/>
      <c r="AB197" s="172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W197" s="4"/>
      <c r="AX197" s="4"/>
      <c r="BB197" s="4"/>
      <c r="BC197" s="4"/>
      <c r="BD197" s="4"/>
      <c r="BE197" s="4"/>
      <c r="BF197" s="4"/>
      <c r="BS197" s="4"/>
      <c r="BT197" s="4"/>
    </row>
    <row r="198" spans="5:94" x14ac:dyDescent="0.2">
      <c r="S198" s="4"/>
      <c r="T198" s="4"/>
      <c r="U198" s="4"/>
      <c r="V198" s="172"/>
      <c r="W198" s="172"/>
      <c r="X198" s="172"/>
      <c r="Y198" s="172"/>
      <c r="Z198" s="172"/>
      <c r="AA198" s="172"/>
      <c r="AB198" s="172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W198" s="4"/>
      <c r="AX198" s="4"/>
      <c r="BB198" s="4"/>
      <c r="BC198" s="4"/>
      <c r="BD198" s="4"/>
      <c r="BE198" s="4"/>
      <c r="BF198" s="4"/>
      <c r="BK198" s="16" t="s">
        <v>243</v>
      </c>
      <c r="BL198" s="3" t="s">
        <v>245</v>
      </c>
      <c r="BM198" s="3" t="s">
        <v>246</v>
      </c>
      <c r="BN198" s="3" t="s">
        <v>247</v>
      </c>
      <c r="BS198" s="4"/>
      <c r="BT198" s="4"/>
    </row>
    <row r="199" spans="5:94" x14ac:dyDescent="0.2">
      <c r="I199" s="4"/>
      <c r="S199" s="4"/>
      <c r="T199" s="4"/>
      <c r="U199" s="4"/>
      <c r="V199" s="172"/>
      <c r="W199" s="172"/>
      <c r="X199" s="172"/>
      <c r="Y199" s="172"/>
      <c r="Z199" s="172"/>
      <c r="AA199" s="172"/>
      <c r="AB199" s="172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W199" s="4"/>
      <c r="AX199" s="4"/>
      <c r="BB199" s="4"/>
      <c r="BC199" s="4"/>
      <c r="BD199" s="4"/>
      <c r="BE199" s="4"/>
      <c r="BF199" s="4"/>
      <c r="BS199" s="4"/>
      <c r="BT199" s="4"/>
    </row>
    <row r="200" spans="5:94" x14ac:dyDescent="0.2">
      <c r="S200" s="4"/>
      <c r="T200" s="4"/>
      <c r="U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X200" s="4"/>
      <c r="AY200" s="4"/>
      <c r="BC200" s="4"/>
      <c r="BD200" s="4"/>
      <c r="BE200" s="4"/>
      <c r="BF200" s="4"/>
      <c r="BG200" s="4"/>
      <c r="BT200" s="4"/>
      <c r="BU200" s="4"/>
    </row>
    <row r="201" spans="5:94" x14ac:dyDescent="0.2">
      <c r="S201" s="4"/>
      <c r="T201" s="4"/>
      <c r="U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T201" s="4"/>
      <c r="BU201" s="4"/>
    </row>
    <row r="202" spans="5:94" x14ac:dyDescent="0.2">
      <c r="S202" s="4"/>
      <c r="T202" s="4"/>
      <c r="U202" s="4"/>
      <c r="Y202" s="4" t="s">
        <v>198</v>
      </c>
      <c r="Z202" s="4"/>
      <c r="AA202" s="4"/>
      <c r="AB202" s="4"/>
      <c r="AD202" s="4"/>
      <c r="AE202" s="4"/>
      <c r="AF202" s="4"/>
      <c r="AG202" s="4"/>
      <c r="AO202" s="4"/>
      <c r="AP202" s="4"/>
      <c r="AQ202" s="4"/>
      <c r="AR202" s="4"/>
      <c r="AS202" s="4"/>
      <c r="AT202" s="4"/>
      <c r="AX202" s="4"/>
      <c r="AY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CI202" s="4"/>
      <c r="CJ202" s="4"/>
    </row>
    <row r="203" spans="5:94" ht="16" thickBot="1" x14ac:dyDescent="0.25">
      <c r="S203" s="4"/>
      <c r="T203" s="4"/>
      <c r="U203" s="4"/>
      <c r="Y203" s="16" t="s">
        <v>199</v>
      </c>
      <c r="Z203" s="3" t="s">
        <v>200</v>
      </c>
      <c r="AA203" s="3" t="s">
        <v>201</v>
      </c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V203" s="4"/>
      <c r="BW203" s="4"/>
      <c r="BX203" s="4"/>
      <c r="CK203" s="4"/>
      <c r="CL203" s="4"/>
    </row>
    <row r="204" spans="5:94" x14ac:dyDescent="0.2"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63" t="s">
        <v>1</v>
      </c>
      <c r="U204" s="58" t="s">
        <v>0</v>
      </c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63" t="s">
        <v>1</v>
      </c>
      <c r="AN204" s="58" t="s">
        <v>0</v>
      </c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63" t="s">
        <v>1</v>
      </c>
      <c r="BF204" s="58" t="s">
        <v>0</v>
      </c>
      <c r="BG204" s="25"/>
      <c r="BH204" s="25"/>
      <c r="BI204" s="25"/>
      <c r="BJ204" s="25"/>
      <c r="BK204" s="25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63" t="s">
        <v>1</v>
      </c>
      <c r="BX204" s="58" t="s">
        <v>0</v>
      </c>
      <c r="BY204" s="4"/>
      <c r="BZ204" s="4"/>
      <c r="CN204" s="4"/>
      <c r="CO204" s="63" t="s">
        <v>1</v>
      </c>
      <c r="CP204" s="58" t="s">
        <v>0</v>
      </c>
    </row>
    <row r="205" spans="5:94" ht="18" x14ac:dyDescent="0.25"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65" t="s">
        <v>90</v>
      </c>
      <c r="U205" s="64" t="s">
        <v>94</v>
      </c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 t="s">
        <v>541</v>
      </c>
      <c r="AJ205" s="4"/>
      <c r="AK205" s="4"/>
      <c r="AL205" s="4"/>
      <c r="AM205" s="65" t="s">
        <v>90</v>
      </c>
      <c r="AN205" s="64" t="s">
        <v>94</v>
      </c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 t="s">
        <v>561</v>
      </c>
      <c r="BA205" s="4"/>
      <c r="BB205" s="4"/>
      <c r="BC205" s="4"/>
      <c r="BD205" s="4"/>
      <c r="BE205" s="65" t="s">
        <v>90</v>
      </c>
      <c r="BF205" s="64" t="s">
        <v>94</v>
      </c>
      <c r="BG205" s="1"/>
      <c r="BH205" s="1"/>
      <c r="BI205" s="1"/>
      <c r="BJ205" s="1"/>
      <c r="BK205" s="1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65" t="s">
        <v>90</v>
      </c>
      <c r="BX205" s="64" t="s">
        <v>94</v>
      </c>
      <c r="BY205" s="4"/>
      <c r="BZ205" s="4"/>
      <c r="CN205" s="4"/>
      <c r="CO205" s="65" t="s">
        <v>90</v>
      </c>
      <c r="CP205" s="64" t="s">
        <v>94</v>
      </c>
    </row>
    <row r="206" spans="5:94" ht="15" customHeight="1" thickBot="1" x14ac:dyDescent="0.25">
      <c r="J206" s="4"/>
      <c r="K206" s="4"/>
      <c r="L206" s="4"/>
      <c r="M206" s="4"/>
      <c r="N206" s="4"/>
      <c r="O206" s="340" t="s">
        <v>429</v>
      </c>
      <c r="P206" s="340"/>
      <c r="Q206" s="340"/>
      <c r="R206" s="4"/>
      <c r="S206" s="4"/>
      <c r="T206" s="50">
        <f>K217</f>
        <v>286.88405520213911</v>
      </c>
      <c r="U206" s="48">
        <f>U217</f>
        <v>8746311.5419027284</v>
      </c>
      <c r="V206" s="310" t="s">
        <v>420</v>
      </c>
      <c r="W206" s="310"/>
      <c r="X206" s="310"/>
      <c r="Y206" s="310"/>
      <c r="Z206" s="310"/>
      <c r="AA206" s="310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50">
        <f>AD217</f>
        <v>286.88405520213911</v>
      </c>
      <c r="AN206" s="48">
        <f>AN217</f>
        <v>8746311.5419027284</v>
      </c>
      <c r="AO206" s="310" t="s">
        <v>562</v>
      </c>
      <c r="AP206" s="310"/>
      <c r="AQ206" s="310"/>
      <c r="AR206" s="310"/>
      <c r="AS206" s="310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50">
        <f>AV217</f>
        <v>286.88405520213911</v>
      </c>
      <c r="BF206" s="48">
        <f>BF217</f>
        <v>8746311.5419027284</v>
      </c>
      <c r="BG206" s="310" t="s">
        <v>466</v>
      </c>
      <c r="BH206" s="310"/>
      <c r="BI206" s="310"/>
      <c r="BJ206" s="310"/>
      <c r="BK206" s="310"/>
      <c r="BL206" s="4"/>
      <c r="BM206" s="4"/>
      <c r="BN206" s="4"/>
      <c r="BO206" s="4"/>
      <c r="BP206" s="4"/>
      <c r="BQ206" s="4"/>
      <c r="BR206" s="4"/>
      <c r="BS206" s="4" t="s">
        <v>542</v>
      </c>
      <c r="BT206" s="4"/>
      <c r="BU206" s="4"/>
      <c r="BV206" s="4"/>
      <c r="BW206" s="50">
        <f>BN217</f>
        <v>286.88405520213911</v>
      </c>
      <c r="BX206" s="48">
        <f>BX217</f>
        <v>8746311.5419027284</v>
      </c>
      <c r="BY206" s="310" t="s">
        <v>440</v>
      </c>
      <c r="BZ206" s="310"/>
      <c r="CA206" s="310"/>
      <c r="CB206" s="310"/>
      <c r="CC206" s="310"/>
      <c r="CK206" s="3" t="s">
        <v>545</v>
      </c>
      <c r="CN206" s="4"/>
      <c r="CO206" s="50">
        <f>CF211</f>
        <v>198.80764502323905</v>
      </c>
      <c r="CP206" s="48">
        <f>CP211</f>
        <v>6791339.3350291392</v>
      </c>
    </row>
    <row r="207" spans="5:94" ht="15" customHeight="1" thickBot="1" x14ac:dyDescent="0.25"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310"/>
      <c r="W207" s="310"/>
      <c r="X207" s="310"/>
      <c r="Y207" s="310"/>
      <c r="Z207" s="310"/>
      <c r="AA207" s="310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310"/>
      <c r="AP207" s="310"/>
      <c r="AQ207" s="310"/>
      <c r="AR207" s="310"/>
      <c r="AS207" s="310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310"/>
      <c r="BH207" s="310"/>
      <c r="BI207" s="310"/>
      <c r="BJ207" s="310"/>
      <c r="BK207" s="310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310"/>
      <c r="BZ207" s="310"/>
      <c r="CA207" s="310"/>
      <c r="CB207" s="310"/>
      <c r="CC207" s="310"/>
      <c r="CN207" s="4"/>
      <c r="CO207" s="4"/>
    </row>
    <row r="208" spans="5:94" ht="19.25" customHeight="1" x14ac:dyDescent="0.25">
      <c r="E208" s="312" t="s">
        <v>452</v>
      </c>
      <c r="F208" s="312"/>
      <c r="G208" s="312"/>
      <c r="H208" s="312"/>
      <c r="J208" s="4"/>
      <c r="K208" s="1" t="s">
        <v>577</v>
      </c>
      <c r="L208" s="1" t="s">
        <v>578</v>
      </c>
      <c r="M208" s="1" t="s">
        <v>580</v>
      </c>
      <c r="N208" s="1" t="s">
        <v>86</v>
      </c>
      <c r="O208" s="1" t="s">
        <v>6</v>
      </c>
      <c r="P208" s="1" t="s">
        <v>7</v>
      </c>
      <c r="Q208" s="1" t="s">
        <v>8</v>
      </c>
      <c r="R208" s="1" t="s">
        <v>9</v>
      </c>
      <c r="S208" s="1" t="s">
        <v>49</v>
      </c>
      <c r="T208" s="1" t="s">
        <v>579</v>
      </c>
      <c r="U208" s="1" t="s">
        <v>50</v>
      </c>
      <c r="V208" s="4"/>
      <c r="W208" s="22" t="s">
        <v>434</v>
      </c>
      <c r="X208" s="22" t="s">
        <v>489</v>
      </c>
      <c r="Y208" s="258" t="s">
        <v>338</v>
      </c>
      <c r="Z208" s="321" t="s">
        <v>345</v>
      </c>
      <c r="AA208" s="103" t="s">
        <v>318</v>
      </c>
      <c r="AB208" s="1"/>
      <c r="AC208" s="4"/>
      <c r="AD208" s="1" t="s">
        <v>577</v>
      </c>
      <c r="AE208" s="1" t="s">
        <v>578</v>
      </c>
      <c r="AF208" s="1" t="s">
        <v>580</v>
      </c>
      <c r="AG208" s="1" t="s">
        <v>86</v>
      </c>
      <c r="AH208" s="1" t="s">
        <v>6</v>
      </c>
      <c r="AI208" s="1" t="s">
        <v>7</v>
      </c>
      <c r="AJ208" s="1" t="s">
        <v>8</v>
      </c>
      <c r="AK208" s="1" t="s">
        <v>9</v>
      </c>
      <c r="AL208" s="1" t="s">
        <v>49</v>
      </c>
      <c r="AM208" s="1" t="s">
        <v>579</v>
      </c>
      <c r="AN208" s="1" t="s">
        <v>50</v>
      </c>
      <c r="AO208" s="22" t="s">
        <v>434</v>
      </c>
      <c r="AP208" s="22" t="s">
        <v>489</v>
      </c>
      <c r="AQ208" s="162" t="s">
        <v>338</v>
      </c>
      <c r="AR208" s="321" t="s">
        <v>345</v>
      </c>
      <c r="AS208" s="139" t="s">
        <v>318</v>
      </c>
      <c r="AT208" s="1"/>
      <c r="AU208" s="4"/>
      <c r="AV208" s="1" t="s">
        <v>577</v>
      </c>
      <c r="AW208" s="1" t="s">
        <v>578</v>
      </c>
      <c r="AX208" s="1" t="s">
        <v>580</v>
      </c>
      <c r="AY208" s="1" t="s">
        <v>86</v>
      </c>
      <c r="AZ208" s="1" t="s">
        <v>6</v>
      </c>
      <c r="BA208" s="1" t="s">
        <v>7</v>
      </c>
      <c r="BB208" s="1" t="s">
        <v>8</v>
      </c>
      <c r="BC208" s="1" t="s">
        <v>9</v>
      </c>
      <c r="BD208" s="1" t="s">
        <v>49</v>
      </c>
      <c r="BE208" s="1" t="s">
        <v>579</v>
      </c>
      <c r="BF208" s="1" t="s">
        <v>50</v>
      </c>
      <c r="BG208" s="22" t="s">
        <v>434</v>
      </c>
      <c r="BH208" s="22" t="s">
        <v>489</v>
      </c>
      <c r="BI208" s="162" t="s">
        <v>338</v>
      </c>
      <c r="BJ208" s="321" t="s">
        <v>345</v>
      </c>
      <c r="BK208" s="139" t="s">
        <v>318</v>
      </c>
      <c r="BL208" s="1"/>
      <c r="BM208" s="4"/>
      <c r="BN208" s="1" t="s">
        <v>577</v>
      </c>
      <c r="BO208" s="1" t="s">
        <v>578</v>
      </c>
      <c r="BP208" s="1" t="s">
        <v>580</v>
      </c>
      <c r="BQ208" s="1" t="s">
        <v>86</v>
      </c>
      <c r="BR208" s="1" t="s">
        <v>6</v>
      </c>
      <c r="BS208" s="1" t="s">
        <v>7</v>
      </c>
      <c r="BT208" s="1" t="s">
        <v>8</v>
      </c>
      <c r="BU208" s="1" t="s">
        <v>9</v>
      </c>
      <c r="BV208" s="1" t="s">
        <v>49</v>
      </c>
      <c r="BW208" s="1" t="s">
        <v>579</v>
      </c>
      <c r="BX208" s="1" t="s">
        <v>50</v>
      </c>
      <c r="BY208" s="22" t="s">
        <v>434</v>
      </c>
      <c r="BZ208" s="22" t="s">
        <v>489</v>
      </c>
      <c r="CA208" s="193" t="s">
        <v>338</v>
      </c>
      <c r="CB208" s="321" t="s">
        <v>345</v>
      </c>
      <c r="CC208" s="139" t="s">
        <v>318</v>
      </c>
      <c r="CD208" s="1"/>
      <c r="CE208" s="4"/>
      <c r="CF208" s="1" t="s">
        <v>577</v>
      </c>
      <c r="CG208" s="1" t="s">
        <v>578</v>
      </c>
      <c r="CH208" s="1" t="s">
        <v>580</v>
      </c>
      <c r="CI208" s="1" t="s">
        <v>86</v>
      </c>
      <c r="CJ208" s="1" t="s">
        <v>6</v>
      </c>
      <c r="CK208" s="1" t="s">
        <v>7</v>
      </c>
      <c r="CL208" s="1" t="s">
        <v>8</v>
      </c>
      <c r="CM208" s="1" t="s">
        <v>9</v>
      </c>
      <c r="CN208" s="1" t="s">
        <v>49</v>
      </c>
      <c r="CO208" s="1" t="s">
        <v>579</v>
      </c>
      <c r="CP208" s="1" t="s">
        <v>50</v>
      </c>
    </row>
    <row r="209" spans="2:94" ht="18" x14ac:dyDescent="0.25">
      <c r="E209" s="312"/>
      <c r="F209" s="312"/>
      <c r="G209" s="312"/>
      <c r="H209" s="312"/>
      <c r="J209" s="4" t="s">
        <v>41</v>
      </c>
      <c r="K209" s="1" t="s">
        <v>89</v>
      </c>
      <c r="L209" s="4" t="s">
        <v>284</v>
      </c>
      <c r="M209" s="2" t="s">
        <v>91</v>
      </c>
      <c r="N209" s="2" t="s">
        <v>87</v>
      </c>
      <c r="O209" s="2" t="s">
        <v>96</v>
      </c>
      <c r="P209" s="2" t="s">
        <v>25</v>
      </c>
      <c r="Q209" s="2" t="s">
        <v>99</v>
      </c>
      <c r="R209" s="2" t="s">
        <v>96</v>
      </c>
      <c r="S209" s="2" t="s">
        <v>96</v>
      </c>
      <c r="T209" s="2" t="s">
        <v>95</v>
      </c>
      <c r="U209" s="2" t="s">
        <v>93</v>
      </c>
      <c r="V209" s="4"/>
      <c r="W209" s="214" t="s">
        <v>48</v>
      </c>
      <c r="X209" s="9" t="s">
        <v>48</v>
      </c>
      <c r="Y209" s="64" t="s">
        <v>90</v>
      </c>
      <c r="Z209" s="322"/>
      <c r="AA209" s="137" t="s">
        <v>83</v>
      </c>
      <c r="AB209" s="4"/>
      <c r="AC209" s="4" t="s">
        <v>41</v>
      </c>
      <c r="AD209" s="1" t="s">
        <v>89</v>
      </c>
      <c r="AE209" s="4" t="s">
        <v>284</v>
      </c>
      <c r="AF209" s="2" t="s">
        <v>91</v>
      </c>
      <c r="AG209" s="2" t="s">
        <v>87</v>
      </c>
      <c r="AH209" s="2" t="s">
        <v>96</v>
      </c>
      <c r="AI209" s="2" t="s">
        <v>25</v>
      </c>
      <c r="AJ209" s="2" t="s">
        <v>99</v>
      </c>
      <c r="AK209" s="2" t="s">
        <v>96</v>
      </c>
      <c r="AL209" s="2" t="s">
        <v>96</v>
      </c>
      <c r="AM209" s="2" t="s">
        <v>95</v>
      </c>
      <c r="AN209" s="2" t="s">
        <v>93</v>
      </c>
      <c r="AO209" s="214" t="s">
        <v>48</v>
      </c>
      <c r="AP209" s="9" t="s">
        <v>48</v>
      </c>
      <c r="AQ209" s="1" t="s">
        <v>90</v>
      </c>
      <c r="AR209" s="322"/>
      <c r="AS209" s="137" t="s">
        <v>83</v>
      </c>
      <c r="AT209" s="4"/>
      <c r="AU209" s="4" t="s">
        <v>41</v>
      </c>
      <c r="AV209" s="1" t="s">
        <v>89</v>
      </c>
      <c r="AW209" s="4" t="s">
        <v>284</v>
      </c>
      <c r="AX209" s="2" t="s">
        <v>91</v>
      </c>
      <c r="AY209" s="2" t="s">
        <v>87</v>
      </c>
      <c r="AZ209" s="2" t="s">
        <v>96</v>
      </c>
      <c r="BA209" s="2" t="s">
        <v>25</v>
      </c>
      <c r="BB209" s="2" t="s">
        <v>99</v>
      </c>
      <c r="BC209" s="2" t="s">
        <v>96</v>
      </c>
      <c r="BD209" s="2" t="s">
        <v>96</v>
      </c>
      <c r="BE209" s="2" t="s">
        <v>95</v>
      </c>
      <c r="BF209" s="2" t="s">
        <v>93</v>
      </c>
      <c r="BG209" s="214" t="s">
        <v>48</v>
      </c>
      <c r="BH209" s="9" t="s">
        <v>48</v>
      </c>
      <c r="BI209" s="1" t="s">
        <v>90</v>
      </c>
      <c r="BJ209" s="322"/>
      <c r="BK209" s="137" t="s">
        <v>83</v>
      </c>
      <c r="BL209" s="4"/>
      <c r="BM209" s="4" t="s">
        <v>41</v>
      </c>
      <c r="BN209" s="1" t="s">
        <v>89</v>
      </c>
      <c r="BO209" s="4" t="s">
        <v>284</v>
      </c>
      <c r="BP209" s="2" t="s">
        <v>91</v>
      </c>
      <c r="BQ209" s="2" t="s">
        <v>87</v>
      </c>
      <c r="BR209" s="2" t="s">
        <v>96</v>
      </c>
      <c r="BS209" s="2" t="s">
        <v>25</v>
      </c>
      <c r="BT209" s="2" t="s">
        <v>99</v>
      </c>
      <c r="BU209" s="2" t="s">
        <v>96</v>
      </c>
      <c r="BV209" s="2" t="s">
        <v>96</v>
      </c>
      <c r="BW209" s="2" t="s">
        <v>95</v>
      </c>
      <c r="BX209" s="2" t="s">
        <v>93</v>
      </c>
      <c r="BY209" s="214" t="s">
        <v>48</v>
      </c>
      <c r="BZ209" s="9" t="s">
        <v>48</v>
      </c>
      <c r="CA209" s="9" t="s">
        <v>90</v>
      </c>
      <c r="CB209" s="322"/>
      <c r="CC209" s="137" t="s">
        <v>83</v>
      </c>
      <c r="CD209" s="4"/>
      <c r="CE209" s="4" t="s">
        <v>41</v>
      </c>
      <c r="CF209" s="1" t="s">
        <v>89</v>
      </c>
      <c r="CG209" s="4" t="s">
        <v>284</v>
      </c>
      <c r="CH209" s="2" t="s">
        <v>91</v>
      </c>
      <c r="CI209" s="2" t="s">
        <v>87</v>
      </c>
      <c r="CJ209" s="2" t="s">
        <v>96</v>
      </c>
      <c r="CK209" s="2" t="s">
        <v>25</v>
      </c>
      <c r="CL209" s="2" t="s">
        <v>99</v>
      </c>
      <c r="CM209" s="2" t="s">
        <v>96</v>
      </c>
      <c r="CN209" s="2" t="s">
        <v>96</v>
      </c>
      <c r="CO209" s="2" t="s">
        <v>95</v>
      </c>
      <c r="CP209" s="2" t="s">
        <v>93</v>
      </c>
    </row>
    <row r="210" spans="2:94" ht="16" thickBot="1" x14ac:dyDescent="0.25">
      <c r="I210" s="212" t="s">
        <v>429</v>
      </c>
      <c r="J210" s="62" t="str">
        <f>_xlfn.CONCAT("C"," ",mol_C_Coal_in," ","H"," ",mol_H_Coal," ","O",mol_O_Coal," ","N"," ",mol_N_Coal)</f>
        <v>C 1 H 2.49286325694876 O0.00856679817712224 N 0.00259072137794826</v>
      </c>
      <c r="K210" s="62">
        <f>COG_needed+C_for_BF</f>
        <v>268.39032078137268</v>
      </c>
      <c r="L210" s="62">
        <f t="shared" ref="L210:L216" si="67">K210/$AV$217</f>
        <v>0.93553585817888796</v>
      </c>
      <c r="M210" s="62" t="s">
        <v>390</v>
      </c>
      <c r="N210" s="62">
        <f>mol_Coal</f>
        <v>1162788108.6625118</v>
      </c>
      <c r="O210" s="62">
        <f>AH210</f>
        <v>7.5253875053686598E-3</v>
      </c>
      <c r="P210" s="62">
        <f t="shared" ref="P210:P216" si="68">N210/$AY$217</f>
        <v>0.99999978002485901</v>
      </c>
      <c r="Q210" s="62">
        <f>LN(P210)</f>
        <v>-2.1997516518601452E-7</v>
      </c>
      <c r="R210" s="62">
        <f t="shared" ref="R210:R216" si="69">RT0*Q210</f>
        <v>-4.9955680290483474E-7</v>
      </c>
      <c r="S210" s="62">
        <f>R210+O210</f>
        <v>7.5248879485657547E-3</v>
      </c>
      <c r="T210" s="62">
        <f>S210*P210</f>
        <v>7.5248862932774671E-3</v>
      </c>
      <c r="U210" s="62">
        <f t="shared" ref="U210:U216" si="70">T210*$AY$217</f>
        <v>8749850.2256101035</v>
      </c>
      <c r="V210" s="4"/>
      <c r="W210" s="105">
        <f>AN227</f>
        <v>569.94401045704944</v>
      </c>
      <c r="X210" s="100">
        <f>SUM(AB195,U206,U222,U236) - SUM(AN206,AN227)</f>
        <v>97694.96069194749</v>
      </c>
      <c r="Y210" s="259">
        <f>AM206-T206</f>
        <v>0</v>
      </c>
      <c r="Z210" s="140" t="s">
        <v>342</v>
      </c>
      <c r="AA210" s="104">
        <f>(($AG$210*($AM$210-T210))/AB195)</f>
        <v>0</v>
      </c>
      <c r="AB210" s="212" t="s">
        <v>557</v>
      </c>
      <c r="AC210" s="62" t="str">
        <f>_xlfn.CONCAT("C"," ",mol_C_Coal_in," ","H"," ",mol_H_Coal," ","O",mol_O_Coal," ","N"," ",mol_N_Coal)</f>
        <v>C 1 H 2.49286325694876 O0.00856679817712224 N 0.00259072137794826</v>
      </c>
      <c r="AD210" s="62">
        <f>COG_needed+C_for_BF</f>
        <v>268.39032078137268</v>
      </c>
      <c r="AE210" s="62">
        <f t="shared" ref="AE210:AE216" si="71">AD210/$AV$217</f>
        <v>0.93553585817888796</v>
      </c>
      <c r="AF210" s="62" t="s">
        <v>390</v>
      </c>
      <c r="AG210" s="62">
        <f>mol_Coal</f>
        <v>1162788108.6625118</v>
      </c>
      <c r="AH210" s="62">
        <f>AZ210</f>
        <v>7.5253875053686598E-3</v>
      </c>
      <c r="AI210" s="62">
        <f t="shared" ref="AI210:AI216" si="72">AG210/$AY$217</f>
        <v>0.99999978002485901</v>
      </c>
      <c r="AJ210" s="62">
        <f>LN(AI210)</f>
        <v>-2.1997516518601452E-7</v>
      </c>
      <c r="AK210" s="62">
        <f t="shared" ref="AK210:AK216" si="73">RT0*AJ210</f>
        <v>-4.9955680290483474E-7</v>
      </c>
      <c r="AL210" s="62">
        <f>AK210+AH210</f>
        <v>7.5248879485657547E-3</v>
      </c>
      <c r="AM210" s="62">
        <f>AL210*AI210</f>
        <v>7.5248862932774671E-3</v>
      </c>
      <c r="AN210" s="62">
        <f t="shared" ref="AN210:AN216" si="74">AM210*$AY$217</f>
        <v>8749850.2256101035</v>
      </c>
      <c r="AO210" s="105">
        <f>0</f>
        <v>0</v>
      </c>
      <c r="AP210" s="100">
        <f>AN206+AS190-BF206</f>
        <v>160253.43323591538</v>
      </c>
      <c r="AQ210" s="142">
        <f>BE206-AM206</f>
        <v>0</v>
      </c>
      <c r="AR210" s="140" t="s">
        <v>342</v>
      </c>
      <c r="AS210" s="137">
        <f>((AY210*(BE210-AM210))/AS190)</f>
        <v>0</v>
      </c>
      <c r="AT210" s="212" t="s">
        <v>561</v>
      </c>
      <c r="AU210" s="201" t="str">
        <f>_xlfn.CONCAT("C"," ",mol_C_Coal_in," ","H"," ",mol_H_Coal," ","O",mol_O_Coal," ","N"," ",mol_N_Coal)</f>
        <v>C 1 H 2.49286325694876 O0.00856679817712224 N 0.00259072137794826</v>
      </c>
      <c r="AV210" s="62">
        <f>COG_needed+C_for_BF</f>
        <v>268.39032078137268</v>
      </c>
      <c r="AW210" s="62">
        <f t="shared" ref="AW210:AW216" si="75">AV210/$AV$217</f>
        <v>0.93553585817888796</v>
      </c>
      <c r="AX210" s="62" t="s">
        <v>390</v>
      </c>
      <c r="AY210" s="62">
        <f>mol_Coal</f>
        <v>1162788108.6625118</v>
      </c>
      <c r="AZ210" s="62">
        <f>BR210</f>
        <v>7.5253875053686598E-3</v>
      </c>
      <c r="BA210" s="62">
        <f t="shared" ref="BA210:BA216" si="76">AY210/$AY$217</f>
        <v>0.99999978002485901</v>
      </c>
      <c r="BB210" s="62">
        <f>LN(BA210)</f>
        <v>-2.1997516518601452E-7</v>
      </c>
      <c r="BC210" s="62">
        <f t="shared" ref="BC210:BC216" si="77">RT0*BB210</f>
        <v>-4.9955680290483474E-7</v>
      </c>
      <c r="BD210" s="62">
        <f>BC210+AZ210</f>
        <v>7.5248879485657547E-3</v>
      </c>
      <c r="BE210" s="62">
        <f>BD210*BA210</f>
        <v>7.5248862932774671E-3</v>
      </c>
      <c r="BF210" s="62">
        <f t="shared" ref="BF210:BF216" si="78">BE210*$AY$217</f>
        <v>8749850.2256101035</v>
      </c>
      <c r="BG210" s="105">
        <f>CA217</f>
        <v>0</v>
      </c>
      <c r="BH210" s="100">
        <f>(BJ195+BF206)-BX206</f>
        <v>28604.157765781507</v>
      </c>
      <c r="BI210" s="142">
        <f>BW206-BE206</f>
        <v>0</v>
      </c>
      <c r="BJ210" s="140" t="s">
        <v>342</v>
      </c>
      <c r="BK210" s="137">
        <f>((BQ210*(BW210-BE210))/BJ195)</f>
        <v>0</v>
      </c>
      <c r="BL210" s="212" t="s">
        <v>496</v>
      </c>
      <c r="BM210" s="201" t="str">
        <f>_xlfn.CONCAT("C"," ",mol_C_Coal_in," ","H"," ",mol_H_Coal," ","O",mol_O_Coal," ","N"," ",mol_N_Coal)</f>
        <v>C 1 H 2.49286325694876 O0.00856679817712224 N 0.00259072137794826</v>
      </c>
      <c r="BN210" s="62">
        <f>COG_needed+C_for_BF</f>
        <v>268.39032078137268</v>
      </c>
      <c r="BO210" s="62">
        <f>BN210/$BN$217</f>
        <v>0.93553585817888796</v>
      </c>
      <c r="BP210" s="62" t="s">
        <v>390</v>
      </c>
      <c r="BQ210" s="62">
        <f>mol_Coal</f>
        <v>1162788108.6625118</v>
      </c>
      <c r="BR210" s="62">
        <f>(b_ch_coal*BN210)/BQ210</f>
        <v>7.5253875053686598E-3</v>
      </c>
      <c r="BS210" s="62">
        <f>BQ210/$BQ$217</f>
        <v>0.99999978002485901</v>
      </c>
      <c r="BT210" s="62">
        <f>LN(BS210)</f>
        <v>-2.1997516518601452E-7</v>
      </c>
      <c r="BU210" s="62">
        <f t="shared" ref="BU210:BU216" si="79">RT0*BT210</f>
        <v>-4.9955680290483474E-7</v>
      </c>
      <c r="BV210" s="62">
        <f>BU210+BR210</f>
        <v>7.5248879485657547E-3</v>
      </c>
      <c r="BW210" s="62">
        <f>BV210*BS210</f>
        <v>7.5248862932774671E-3</v>
      </c>
      <c r="BX210" s="62">
        <f>BW210*$BQ$217</f>
        <v>8749850.2256101035</v>
      </c>
      <c r="BY210" s="105">
        <f>SUM(BX206,BX225,BX242,BX254) - SUM(CP250,CP233,CP217,CP206)</f>
        <v>-2265181.0799943823</v>
      </c>
      <c r="BZ210" s="100">
        <f>SUM(BX254,BX206,BX225,BX242) - SUM(CP206,CP217,CP233,CP250)</f>
        <v>-2265181.0799943805</v>
      </c>
      <c r="CA210" s="195">
        <f>ROUND(CO206+CO217+CO233+CO250-BW206-BW225-BW242-BW254, 10)</f>
        <v>0</v>
      </c>
      <c r="CB210" s="140" t="s">
        <v>342</v>
      </c>
      <c r="CC210" s="137" t="s">
        <v>99</v>
      </c>
      <c r="CD210" s="257" t="s">
        <v>553</v>
      </c>
      <c r="CE210" s="96" t="s">
        <v>18</v>
      </c>
      <c r="CF210" s="171">
        <f>C_for_BF</f>
        <v>198.80764502323905</v>
      </c>
      <c r="CG210" s="96">
        <f>CF210/CF211</f>
        <v>1</v>
      </c>
      <c r="CH210" s="96">
        <f>MW_C</f>
        <v>1.2010999999999999E-2</v>
      </c>
      <c r="CI210" s="96">
        <f>CF210/CH210</f>
        <v>16552.130965218472</v>
      </c>
      <c r="CJ210" s="96">
        <f>b_ch_C</f>
        <v>410.3</v>
      </c>
      <c r="CK210" s="96">
        <f>CI210/CI211</f>
        <v>1</v>
      </c>
      <c r="CL210" s="96">
        <f>LN(CK210)</f>
        <v>0</v>
      </c>
      <c r="CM210" s="96">
        <f>RT0*CL210</f>
        <v>0</v>
      </c>
      <c r="CN210" s="97">
        <f>CM210+CJ210</f>
        <v>410.3</v>
      </c>
      <c r="CO210" s="97">
        <f>CN210*CK210</f>
        <v>410.3</v>
      </c>
      <c r="CP210" s="96">
        <f>CO210*CI211</f>
        <v>6791339.3350291392</v>
      </c>
    </row>
    <row r="211" spans="2:94" ht="17" x14ac:dyDescent="0.25">
      <c r="I211" s="333" t="s">
        <v>559</v>
      </c>
      <c r="J211" s="62" t="s">
        <v>308</v>
      </c>
      <c r="K211" s="62">
        <f t="shared" ref="K211:K216" si="80">AD211</f>
        <v>6.8833679514092623</v>
      </c>
      <c r="L211" s="62">
        <f t="shared" si="67"/>
        <v>2.3993553585817892E-2</v>
      </c>
      <c r="M211" s="62">
        <f>MW_Al2O3</f>
        <v>0.10196127799999999</v>
      </c>
      <c r="N211" s="62">
        <f t="shared" ref="N211:N216" si="81">K211/M211</f>
        <v>67.509628031626505</v>
      </c>
      <c r="O211" s="62">
        <f>b_ch_Al2O3</f>
        <v>31.875999999999976</v>
      </c>
      <c r="P211" s="62">
        <f t="shared" si="68"/>
        <v>5.8058396605757329E-8</v>
      </c>
      <c r="Q211" s="62">
        <f t="shared" ref="Q211:Q216" si="82">LN(P211)</f>
        <v>-16.661816494891141</v>
      </c>
      <c r="R211" s="62">
        <f t="shared" si="69"/>
        <v>-37.838470409768085</v>
      </c>
      <c r="S211" s="62">
        <f t="shared" ref="S211:S216" si="83">R211+O211</f>
        <v>-5.9624704097681089</v>
      </c>
      <c r="T211" s="62">
        <f t="shared" ref="T211:T216" si="84">S211*P211</f>
        <v>-3.4617147180040931E-7</v>
      </c>
      <c r="U211" s="62">
        <f t="shared" si="70"/>
        <v>-402.52415951302476</v>
      </c>
      <c r="V211" s="4"/>
      <c r="W211" s="4"/>
      <c r="X211" s="4"/>
      <c r="Y211" s="4"/>
      <c r="Z211" s="140" t="s">
        <v>343</v>
      </c>
      <c r="AA211" s="104">
        <f>(AN206+AN227)/($AB$195+U206+U222+U236)</f>
        <v>0.98895425221527189</v>
      </c>
      <c r="AB211" s="333" t="s">
        <v>558</v>
      </c>
      <c r="AC211" s="62" t="s">
        <v>308</v>
      </c>
      <c r="AD211" s="62">
        <f t="shared" ref="AD211:AD216" si="85">AV211</f>
        <v>6.8833679514092623</v>
      </c>
      <c r="AE211" s="62">
        <f t="shared" si="71"/>
        <v>2.3993553585817892E-2</v>
      </c>
      <c r="AF211" s="62">
        <f>MW_Al2O3</f>
        <v>0.10196127799999999</v>
      </c>
      <c r="AG211" s="62">
        <f t="shared" ref="AG211:AG216" si="86">AD211/AF211</f>
        <v>67.509628031626505</v>
      </c>
      <c r="AH211" s="62">
        <f>b_ch_Al2O3</f>
        <v>31.875999999999976</v>
      </c>
      <c r="AI211" s="62">
        <f t="shared" si="72"/>
        <v>5.8058396605757329E-8</v>
      </c>
      <c r="AJ211" s="62">
        <f t="shared" ref="AJ211:AJ216" si="87">LN(AI211)</f>
        <v>-16.661816494891141</v>
      </c>
      <c r="AK211" s="62">
        <f t="shared" si="73"/>
        <v>-37.838470409768085</v>
      </c>
      <c r="AL211" s="62">
        <f t="shared" ref="AL211:AL216" si="88">AK211+AH211</f>
        <v>-5.9624704097681089</v>
      </c>
      <c r="AM211" s="62">
        <f t="shared" ref="AM211:AM216" si="89">AL211*AI211</f>
        <v>-3.4617147180040931E-7</v>
      </c>
      <c r="AN211" s="62">
        <f t="shared" si="74"/>
        <v>-402.52415951302476</v>
      </c>
      <c r="AO211" s="4"/>
      <c r="AP211" s="4"/>
      <c r="AR211" s="140" t="s">
        <v>343</v>
      </c>
      <c r="AS211" s="137">
        <f>BF206/(AN206+AS190)</f>
        <v>0.9820072683820037</v>
      </c>
      <c r="AT211" s="333" t="s">
        <v>556</v>
      </c>
      <c r="AU211" s="62" t="s">
        <v>308</v>
      </c>
      <c r="AV211" s="62">
        <f>CF221</f>
        <v>6.8833679514092623</v>
      </c>
      <c r="AW211" s="62">
        <f t="shared" si="75"/>
        <v>2.3993553585817892E-2</v>
      </c>
      <c r="AX211" s="62">
        <f>MW_Al2O3</f>
        <v>0.10196127799999999</v>
      </c>
      <c r="AY211" s="62">
        <f t="shared" ref="AY211:AY216" si="90">AV211/AX211</f>
        <v>67.509628031626505</v>
      </c>
      <c r="AZ211" s="62">
        <f>b_ch_Al2O3</f>
        <v>31.875999999999976</v>
      </c>
      <c r="BA211" s="62">
        <f t="shared" si="76"/>
        <v>5.8058396605757329E-8</v>
      </c>
      <c r="BB211" s="62">
        <f t="shared" ref="BB211:BB216" si="91">LN(BA211)</f>
        <v>-16.661816494891141</v>
      </c>
      <c r="BC211" s="62">
        <f t="shared" si="77"/>
        <v>-37.838470409768085</v>
      </c>
      <c r="BD211" s="62">
        <f t="shared" ref="BD211:BD216" si="92">BC211+AZ211</f>
        <v>-5.9624704097681089</v>
      </c>
      <c r="BE211" s="62">
        <f t="shared" ref="BE211:BE216" si="93">BD211*BA211</f>
        <v>-3.4617147180040931E-7</v>
      </c>
      <c r="BF211" s="62">
        <f t="shared" si="78"/>
        <v>-402.52415951302476</v>
      </c>
      <c r="BG211" s="4"/>
      <c r="BH211" s="4"/>
      <c r="BJ211" s="140" t="s">
        <v>343</v>
      </c>
      <c r="BK211" s="137">
        <f>BX206/(BJ195+BF206)</f>
        <v>0.99674023560512814</v>
      </c>
      <c r="BL211" s="333" t="s">
        <v>555</v>
      </c>
      <c r="BM211" s="62" t="s">
        <v>308</v>
      </c>
      <c r="BN211" s="62">
        <f>AV211</f>
        <v>6.8833679514092623</v>
      </c>
      <c r="BO211" s="62">
        <f t="shared" ref="BO211:BO216" si="94">BN211/$BN$217</f>
        <v>2.3993553585817892E-2</v>
      </c>
      <c r="BP211" s="62">
        <f>MW_Al2O3</f>
        <v>0.10196127799999999</v>
      </c>
      <c r="BQ211" s="62">
        <f t="shared" ref="BQ211:BQ216" si="95">BN211/BP211</f>
        <v>67.509628031626505</v>
      </c>
      <c r="BR211" s="62">
        <f>b_ch_Al2O3</f>
        <v>31.875999999999976</v>
      </c>
      <c r="BS211" s="62">
        <f t="shared" ref="BS211:BS216" si="96">BQ211/$BQ$217</f>
        <v>5.8058396605757329E-8</v>
      </c>
      <c r="BT211" s="62">
        <f t="shared" ref="BT211:BT216" si="97">LN(BS211)</f>
        <v>-16.661816494891141</v>
      </c>
      <c r="BU211" s="62">
        <f t="shared" si="79"/>
        <v>-37.838470409768085</v>
      </c>
      <c r="BV211" s="62">
        <f t="shared" ref="BV211:BV216" si="98">BU211+BR211</f>
        <v>-5.9624704097681089</v>
      </c>
      <c r="BW211" s="62">
        <f t="shared" ref="BW211:BW216" si="99">BV211*BS211</f>
        <v>-3.4617147180040931E-7</v>
      </c>
      <c r="BX211" s="62">
        <f>BW211*$BQ$217</f>
        <v>-402.52415951302476</v>
      </c>
      <c r="BY211" s="4"/>
      <c r="BZ211" s="4"/>
      <c r="CB211" s="140" t="s">
        <v>343</v>
      </c>
      <c r="CC211" s="137">
        <f>(CP217+CP206+CP233+CP250)/(BX254+BX206+BX225+BX242)</f>
        <v>1.2153716768418652</v>
      </c>
      <c r="CD211" s="4"/>
      <c r="CE211" s="17"/>
      <c r="CF211" s="17">
        <f>SUM(CF210)</f>
        <v>198.80764502323905</v>
      </c>
      <c r="CG211" s="17"/>
      <c r="CH211" s="17"/>
      <c r="CI211" s="17">
        <f>SUM(CI210)</f>
        <v>16552.130965218472</v>
      </c>
      <c r="CJ211" s="17"/>
      <c r="CK211" s="17"/>
      <c r="CL211" s="17"/>
      <c r="CM211" s="17"/>
      <c r="CN211" s="62"/>
      <c r="CO211" s="62"/>
      <c r="CP211" s="17">
        <f>SUM(CP210)</f>
        <v>6791339.3350291392</v>
      </c>
    </row>
    <row r="212" spans="2:94" ht="19" thickBot="1" x14ac:dyDescent="0.3">
      <c r="I212" s="333"/>
      <c r="J212" s="4" t="s">
        <v>124</v>
      </c>
      <c r="K212" s="4">
        <f t="shared" si="80"/>
        <v>1.2908626625694963</v>
      </c>
      <c r="L212" s="4">
        <f t="shared" si="67"/>
        <v>4.4995970991136185E-3</v>
      </c>
      <c r="M212" s="4">
        <f>MW_CaO</f>
        <v>5.6077400000000006E-2</v>
      </c>
      <c r="N212" s="4">
        <f t="shared" si="81"/>
        <v>23.019303009224682</v>
      </c>
      <c r="O212" s="4">
        <f>b_ch_CaO</f>
        <v>122.25799999999992</v>
      </c>
      <c r="P212" s="4">
        <f t="shared" si="68"/>
        <v>1.9796640311387453E-8</v>
      </c>
      <c r="Q212" s="4">
        <f t="shared" si="82"/>
        <v>-17.73775359488647</v>
      </c>
      <c r="R212" s="4">
        <f t="shared" si="69"/>
        <v>-40.281890317401093</v>
      </c>
      <c r="S212" s="4">
        <f t="shared" si="83"/>
        <v>81.976109682598832</v>
      </c>
      <c r="T212" s="4">
        <f t="shared" si="84"/>
        <v>1.6228515575132553E-6</v>
      </c>
      <c r="U212" s="4">
        <f t="shared" si="70"/>
        <v>1887.0329083011798</v>
      </c>
      <c r="V212" s="4"/>
      <c r="W212" s="4"/>
      <c r="X212" s="4"/>
      <c r="Y212" s="4"/>
      <c r="Z212" s="141" t="s">
        <v>409</v>
      </c>
      <c r="AA212" s="100">
        <f>$AN$210/($AB$195+U206+U222+U236)</f>
        <v>0.98928990872916378</v>
      </c>
      <c r="AB212" s="333"/>
      <c r="AC212" s="4" t="s">
        <v>124</v>
      </c>
      <c r="AD212" s="4">
        <f t="shared" si="85"/>
        <v>1.2908626625694963</v>
      </c>
      <c r="AE212" s="4">
        <f t="shared" si="71"/>
        <v>4.4995970991136185E-3</v>
      </c>
      <c r="AF212" s="4">
        <f>MW_CaO</f>
        <v>5.6077400000000006E-2</v>
      </c>
      <c r="AG212" s="4">
        <f t="shared" si="86"/>
        <v>23.019303009224682</v>
      </c>
      <c r="AH212" s="4">
        <f>b_ch_CaO</f>
        <v>122.25799999999992</v>
      </c>
      <c r="AI212" s="4">
        <f t="shared" si="72"/>
        <v>1.9796640311387453E-8</v>
      </c>
      <c r="AJ212" s="4">
        <f t="shared" si="87"/>
        <v>-17.73775359488647</v>
      </c>
      <c r="AK212" s="4">
        <f t="shared" si="73"/>
        <v>-40.281890317401093</v>
      </c>
      <c r="AL212" s="4">
        <f t="shared" si="88"/>
        <v>81.976109682598832</v>
      </c>
      <c r="AM212" s="4">
        <f t="shared" si="89"/>
        <v>1.6228515575132553E-6</v>
      </c>
      <c r="AN212" s="4">
        <f t="shared" si="74"/>
        <v>1887.0329083011798</v>
      </c>
      <c r="AO212" s="4"/>
      <c r="AP212" s="4"/>
      <c r="AR212" s="141" t="s">
        <v>409</v>
      </c>
      <c r="AS212" s="138">
        <f>BF210/(AN206+AS190)</f>
        <v>0.98240458022077126</v>
      </c>
      <c r="AT212" s="333"/>
      <c r="AU212" s="4" t="s">
        <v>124</v>
      </c>
      <c r="AV212" s="4">
        <f t="shared" ref="AV212:AV216" si="100">CF222</f>
        <v>1.2908626625694963</v>
      </c>
      <c r="AW212" s="4">
        <f t="shared" si="75"/>
        <v>4.4995970991136185E-3</v>
      </c>
      <c r="AX212" s="4">
        <f>MW_CaO</f>
        <v>5.6077400000000006E-2</v>
      </c>
      <c r="AY212" s="4">
        <f t="shared" si="90"/>
        <v>23.019303009224682</v>
      </c>
      <c r="AZ212" s="4">
        <f>b_ch_CaO</f>
        <v>122.25799999999992</v>
      </c>
      <c r="BA212" s="4">
        <f t="shared" si="76"/>
        <v>1.9796640311387453E-8</v>
      </c>
      <c r="BB212" s="4">
        <f t="shared" si="91"/>
        <v>-17.73775359488647</v>
      </c>
      <c r="BC212" s="4">
        <f t="shared" si="77"/>
        <v>-40.281890317401093</v>
      </c>
      <c r="BD212" s="4">
        <f t="shared" si="92"/>
        <v>81.976109682598832</v>
      </c>
      <c r="BE212" s="4">
        <f t="shared" si="93"/>
        <v>1.6228515575132553E-6</v>
      </c>
      <c r="BF212" s="4">
        <f t="shared" si="78"/>
        <v>1887.0329083011798</v>
      </c>
      <c r="BG212" s="4"/>
      <c r="BH212" s="4"/>
      <c r="BJ212" s="141" t="s">
        <v>409</v>
      </c>
      <c r="BK212" s="138">
        <f>BX210/(BJ195+BF206)</f>
        <v>0.99714350827787968</v>
      </c>
      <c r="BL212" s="333"/>
      <c r="BM212" s="4" t="s">
        <v>124</v>
      </c>
      <c r="BN212" s="4">
        <f t="shared" ref="BN212:BN216" si="101">AV212</f>
        <v>1.2908626625694963</v>
      </c>
      <c r="BO212" s="4">
        <f t="shared" si="94"/>
        <v>4.4995970991136185E-3</v>
      </c>
      <c r="BP212" s="4">
        <f>MW_CaO</f>
        <v>5.6077400000000006E-2</v>
      </c>
      <c r="BQ212" s="4">
        <f t="shared" si="95"/>
        <v>23.019303009224682</v>
      </c>
      <c r="BR212" s="4">
        <f>b_ch_CaO</f>
        <v>122.25799999999992</v>
      </c>
      <c r="BS212" s="4">
        <f t="shared" si="96"/>
        <v>1.9796640311387453E-8</v>
      </c>
      <c r="BT212" s="4">
        <f t="shared" si="97"/>
        <v>-17.73775359488647</v>
      </c>
      <c r="BU212" s="4">
        <f t="shared" si="79"/>
        <v>-40.281890317401093</v>
      </c>
      <c r="BV212" s="4">
        <f t="shared" si="98"/>
        <v>81.976109682598832</v>
      </c>
      <c r="BW212" s="4">
        <f t="shared" si="99"/>
        <v>1.6228515575132553E-6</v>
      </c>
      <c r="BX212" s="4">
        <f t="shared" ref="BX212:BX216" si="102">BW212*$BQ$217</f>
        <v>1887.0329083011798</v>
      </c>
      <c r="BY212" s="4"/>
      <c r="BZ212" s="4"/>
      <c r="CB212" s="141" t="s">
        <v>409</v>
      </c>
      <c r="CC212" s="138">
        <f>CP206/(BX254+BX206+BX225+BX242)</f>
        <v>0.6457153264722536</v>
      </c>
      <c r="CD212" s="4"/>
      <c r="CF212" s="1" t="s">
        <v>90</v>
      </c>
      <c r="CG212" s="1"/>
      <c r="CH212" s="3" t="s">
        <v>92</v>
      </c>
      <c r="CI212" s="3" t="s">
        <v>88</v>
      </c>
      <c r="CJ212" s="4"/>
      <c r="CK212" s="4"/>
      <c r="CO212" s="3" t="s">
        <v>97</v>
      </c>
      <c r="CP212" s="1" t="s">
        <v>94</v>
      </c>
    </row>
    <row r="213" spans="2:94" x14ac:dyDescent="0.2">
      <c r="I213" s="333"/>
      <c r="J213" s="4" t="s">
        <v>180</v>
      </c>
      <c r="K213" s="4">
        <f t="shared" si="80"/>
        <v>0.22932230681750362</v>
      </c>
      <c r="L213" s="4">
        <f t="shared" si="67"/>
        <v>7.993553585817889E-4</v>
      </c>
      <c r="M213" s="4">
        <f>MW_MgO</f>
        <v>4.0304400000000004E-2</v>
      </c>
      <c r="N213" s="4">
        <f t="shared" si="81"/>
        <v>5.6897586074350093</v>
      </c>
      <c r="O213" s="4">
        <f>b_ch_MgO</f>
        <v>62.576000000000022</v>
      </c>
      <c r="P213" s="4">
        <f t="shared" si="68"/>
        <v>4.8932022209739977E-9</v>
      </c>
      <c r="Q213" s="4">
        <f t="shared" si="82"/>
        <v>-19.135418896866003</v>
      </c>
      <c r="R213" s="4">
        <f t="shared" si="69"/>
        <v>-43.455945030338775</v>
      </c>
      <c r="S213" s="4">
        <f t="shared" si="83"/>
        <v>19.120054969661247</v>
      </c>
      <c r="T213" s="4">
        <f t="shared" si="84"/>
        <v>9.3558295442691335E-8</v>
      </c>
      <c r="U213" s="4">
        <f t="shared" si="70"/>
        <v>108.7884973382606</v>
      </c>
      <c r="V213" s="4"/>
      <c r="W213" s="4"/>
      <c r="X213" s="4"/>
      <c r="Y213" s="4"/>
      <c r="Z213" s="4"/>
      <c r="AA213" s="4"/>
      <c r="AB213" s="333"/>
      <c r="AC213" s="4" t="s">
        <v>180</v>
      </c>
      <c r="AD213" s="4">
        <f t="shared" si="85"/>
        <v>0.22932230681750362</v>
      </c>
      <c r="AE213" s="4">
        <f t="shared" si="71"/>
        <v>7.993553585817889E-4</v>
      </c>
      <c r="AF213" s="4">
        <f>MW_MgO</f>
        <v>4.0304400000000004E-2</v>
      </c>
      <c r="AG213" s="4">
        <f t="shared" si="86"/>
        <v>5.6897586074350093</v>
      </c>
      <c r="AH213" s="4">
        <f>b_ch_MgO</f>
        <v>62.576000000000022</v>
      </c>
      <c r="AI213" s="4">
        <f t="shared" si="72"/>
        <v>4.8932022209739977E-9</v>
      </c>
      <c r="AJ213" s="4">
        <f t="shared" si="87"/>
        <v>-19.135418896866003</v>
      </c>
      <c r="AK213" s="4">
        <f t="shared" si="73"/>
        <v>-43.455945030338775</v>
      </c>
      <c r="AL213" s="4">
        <f t="shared" si="88"/>
        <v>19.120054969661247</v>
      </c>
      <c r="AM213" s="4">
        <f t="shared" si="89"/>
        <v>9.3558295442691335E-8</v>
      </c>
      <c r="AN213" s="4">
        <f t="shared" si="74"/>
        <v>108.7884973382606</v>
      </c>
      <c r="AO213" s="4"/>
      <c r="AP213" s="4"/>
      <c r="AR213" s="4"/>
      <c r="AS213" s="4"/>
      <c r="AT213" s="333"/>
      <c r="AU213" s="4" t="s">
        <v>180</v>
      </c>
      <c r="AV213" s="4">
        <f t="shared" si="100"/>
        <v>0.22932230681750362</v>
      </c>
      <c r="AW213" s="4">
        <f t="shared" si="75"/>
        <v>7.993553585817889E-4</v>
      </c>
      <c r="AX213" s="4">
        <f>MW_MgO</f>
        <v>4.0304400000000004E-2</v>
      </c>
      <c r="AY213" s="4">
        <f t="shared" si="90"/>
        <v>5.6897586074350093</v>
      </c>
      <c r="AZ213" s="4">
        <f>b_ch_MgO</f>
        <v>62.576000000000022</v>
      </c>
      <c r="BA213" s="4">
        <f t="shared" si="76"/>
        <v>4.8932022209739977E-9</v>
      </c>
      <c r="BB213" s="4">
        <f t="shared" si="91"/>
        <v>-19.135418896866003</v>
      </c>
      <c r="BC213" s="4">
        <f t="shared" si="77"/>
        <v>-43.455945030338775</v>
      </c>
      <c r="BD213" s="4">
        <f t="shared" si="92"/>
        <v>19.120054969661247</v>
      </c>
      <c r="BE213" s="4">
        <f t="shared" si="93"/>
        <v>9.3558295442691335E-8</v>
      </c>
      <c r="BF213" s="4">
        <f t="shared" si="78"/>
        <v>108.7884973382606</v>
      </c>
      <c r="BG213" s="4"/>
      <c r="BH213" s="4"/>
      <c r="BI213" s="4"/>
      <c r="BJ213" s="4"/>
      <c r="BK213" s="4"/>
      <c r="BL213" s="333"/>
      <c r="BM213" s="4" t="s">
        <v>180</v>
      </c>
      <c r="BN213" s="4">
        <f t="shared" si="101"/>
        <v>0.22932230681750362</v>
      </c>
      <c r="BO213" s="4">
        <f t="shared" si="94"/>
        <v>7.993553585817889E-4</v>
      </c>
      <c r="BP213" s="4">
        <f>MW_MgO</f>
        <v>4.0304400000000004E-2</v>
      </c>
      <c r="BQ213" s="4">
        <f t="shared" si="95"/>
        <v>5.6897586074350093</v>
      </c>
      <c r="BR213" s="4">
        <f>b_ch_MgO</f>
        <v>62.576000000000022</v>
      </c>
      <c r="BS213" s="4">
        <f t="shared" si="96"/>
        <v>4.8932022209739977E-9</v>
      </c>
      <c r="BT213" s="4">
        <f t="shared" si="97"/>
        <v>-19.135418896866003</v>
      </c>
      <c r="BU213" s="4">
        <f t="shared" si="79"/>
        <v>-43.455945030338775</v>
      </c>
      <c r="BV213" s="4">
        <f t="shared" si="98"/>
        <v>19.120054969661247</v>
      </c>
      <c r="BW213" s="4">
        <f t="shared" si="99"/>
        <v>9.3558295442691335E-8</v>
      </c>
      <c r="BX213" s="4">
        <f t="shared" si="102"/>
        <v>108.7884973382606</v>
      </c>
      <c r="BY213" s="4"/>
      <c r="BZ213" s="4"/>
      <c r="CN213" s="4"/>
      <c r="CO213" s="4"/>
    </row>
    <row r="214" spans="2:94" ht="19" thickBot="1" x14ac:dyDescent="0.3">
      <c r="I214" s="333"/>
      <c r="J214" s="4" t="s">
        <v>309</v>
      </c>
      <c r="K214" s="4">
        <f t="shared" si="80"/>
        <v>7.0276190798912411E-2</v>
      </c>
      <c r="L214" s="4">
        <f t="shared" si="67"/>
        <v>2.4496373892022569E-4</v>
      </c>
      <c r="M214" s="4">
        <f>MW_Na2O</f>
        <v>6.1978936000000005E-2</v>
      </c>
      <c r="N214" s="4">
        <f t="shared" si="81"/>
        <v>1.1338721722959622</v>
      </c>
      <c r="O214" s="4">
        <f>b_ch_Na2O</f>
        <v>298.64000000000004</v>
      </c>
      <c r="P214" s="4">
        <f t="shared" si="68"/>
        <v>9.7513202485059706E-10</v>
      </c>
      <c r="Q214" s="4">
        <f t="shared" si="82"/>
        <v>-20.748448243994645</v>
      </c>
      <c r="R214" s="4">
        <f t="shared" si="69"/>
        <v>-47.119084835061095</v>
      </c>
      <c r="S214" s="4">
        <f t="shared" si="83"/>
        <v>251.52091516493894</v>
      </c>
      <c r="T214" s="4">
        <f t="shared" si="84"/>
        <v>2.4526609929706214E-7</v>
      </c>
      <c r="U214" s="4">
        <f t="shared" si="70"/>
        <v>285.19256645593771</v>
      </c>
      <c r="V214" s="4"/>
      <c r="W214" s="4" t="s">
        <v>381</v>
      </c>
      <c r="X214" s="1" t="s">
        <v>132</v>
      </c>
      <c r="Y214" s="1" t="s">
        <v>283</v>
      </c>
      <c r="Z214" s="1" t="s">
        <v>283</v>
      </c>
      <c r="AA214" s="4"/>
      <c r="AB214" s="333"/>
      <c r="AC214" s="4" t="s">
        <v>309</v>
      </c>
      <c r="AD214" s="4">
        <f t="shared" si="85"/>
        <v>7.0276190798912411E-2</v>
      </c>
      <c r="AE214" s="4">
        <f t="shared" si="71"/>
        <v>2.4496373892022569E-4</v>
      </c>
      <c r="AF214" s="4">
        <f>MW_Na2O</f>
        <v>6.1978936000000005E-2</v>
      </c>
      <c r="AG214" s="4">
        <f t="shared" si="86"/>
        <v>1.1338721722959622</v>
      </c>
      <c r="AH214" s="4">
        <f>b_ch_Na2O</f>
        <v>298.64000000000004</v>
      </c>
      <c r="AI214" s="4">
        <f t="shared" si="72"/>
        <v>9.7513202485059706E-10</v>
      </c>
      <c r="AJ214" s="4">
        <f t="shared" si="87"/>
        <v>-20.748448243994645</v>
      </c>
      <c r="AK214" s="4">
        <f t="shared" si="73"/>
        <v>-47.119084835061095</v>
      </c>
      <c r="AL214" s="4">
        <f t="shared" si="88"/>
        <v>251.52091516493894</v>
      </c>
      <c r="AM214" s="4">
        <f t="shared" si="89"/>
        <v>2.4526609929706214E-7</v>
      </c>
      <c r="AN214" s="4">
        <f t="shared" si="74"/>
        <v>285.19256645593771</v>
      </c>
      <c r="AO214" s="4"/>
      <c r="AP214" s="4"/>
      <c r="AQ214" s="4"/>
      <c r="AR214" s="4"/>
      <c r="AS214" s="4"/>
      <c r="AT214" s="333"/>
      <c r="AU214" s="4" t="s">
        <v>309</v>
      </c>
      <c r="AV214" s="4">
        <f t="shared" si="100"/>
        <v>7.0276190798912411E-2</v>
      </c>
      <c r="AW214" s="4">
        <f t="shared" si="75"/>
        <v>2.4496373892022569E-4</v>
      </c>
      <c r="AX214" s="4">
        <f>MW_Na2O</f>
        <v>6.1978936000000005E-2</v>
      </c>
      <c r="AY214" s="4">
        <f t="shared" si="90"/>
        <v>1.1338721722959622</v>
      </c>
      <c r="AZ214" s="4">
        <f>b_ch_Na2O</f>
        <v>298.64000000000004</v>
      </c>
      <c r="BA214" s="4">
        <f t="shared" si="76"/>
        <v>9.7513202485059706E-10</v>
      </c>
      <c r="BB214" s="4">
        <f t="shared" si="91"/>
        <v>-20.748448243994645</v>
      </c>
      <c r="BC214" s="4">
        <f t="shared" si="77"/>
        <v>-47.119084835061095</v>
      </c>
      <c r="BD214" s="4">
        <f t="shared" si="92"/>
        <v>251.52091516493894</v>
      </c>
      <c r="BE214" s="4">
        <f t="shared" si="93"/>
        <v>2.4526609929706214E-7</v>
      </c>
      <c r="BF214" s="4">
        <f t="shared" si="78"/>
        <v>285.19256645593771</v>
      </c>
      <c r="BG214" s="4"/>
      <c r="BH214" s="4"/>
      <c r="BI214" s="4"/>
      <c r="BJ214" s="4"/>
      <c r="BK214" s="4"/>
      <c r="BL214" s="333"/>
      <c r="BM214" s="4" t="s">
        <v>309</v>
      </c>
      <c r="BN214" s="4">
        <f t="shared" si="101"/>
        <v>7.0276190798912411E-2</v>
      </c>
      <c r="BO214" s="4">
        <f t="shared" si="94"/>
        <v>2.4496373892022569E-4</v>
      </c>
      <c r="BP214" s="4">
        <f>MW_Na2O</f>
        <v>6.1978936000000005E-2</v>
      </c>
      <c r="BQ214" s="4">
        <f t="shared" si="95"/>
        <v>1.1338721722959622</v>
      </c>
      <c r="BR214" s="4">
        <f>b_ch_Na2O</f>
        <v>298.64000000000004</v>
      </c>
      <c r="BS214" s="4">
        <f t="shared" si="96"/>
        <v>9.7513202485059706E-10</v>
      </c>
      <c r="BT214" s="4">
        <f t="shared" si="97"/>
        <v>-20.748448243994645</v>
      </c>
      <c r="BU214" s="4">
        <f t="shared" si="79"/>
        <v>-47.119084835061095</v>
      </c>
      <c r="BV214" s="4">
        <f t="shared" si="98"/>
        <v>251.52091516493894</v>
      </c>
      <c r="BW214" s="4">
        <f t="shared" si="99"/>
        <v>2.4526609929706214E-7</v>
      </c>
      <c r="BX214" s="4">
        <f t="shared" si="102"/>
        <v>285.19256645593771</v>
      </c>
      <c r="BY214" s="4"/>
      <c r="BZ214" s="4"/>
      <c r="CN214" s="4"/>
      <c r="CO214" s="4"/>
    </row>
    <row r="215" spans="2:94" ht="18" x14ac:dyDescent="0.25">
      <c r="I215" s="333"/>
      <c r="J215" s="1" t="s">
        <v>15</v>
      </c>
      <c r="K215" s="4">
        <f t="shared" si="80"/>
        <v>0.80262807386126278</v>
      </c>
      <c r="L215" s="4">
        <f t="shared" si="67"/>
        <v>2.7977437550362615E-3</v>
      </c>
      <c r="M215" s="4">
        <f>MW_Fe2O3</f>
        <v>0.1596882</v>
      </c>
      <c r="N215" s="4">
        <f t="shared" si="81"/>
        <v>5.0262203084590018</v>
      </c>
      <c r="O215" s="4">
        <f>b_ch_Fe2O3</f>
        <v>17.358400000000074</v>
      </c>
      <c r="P215" s="4">
        <f t="shared" si="68"/>
        <v>4.3225581388141737E-9</v>
      </c>
      <c r="Q215" s="4">
        <f t="shared" si="82"/>
        <v>-19.259418448186445</v>
      </c>
      <c r="R215" s="4">
        <f t="shared" si="69"/>
        <v>-43.737544179801361</v>
      </c>
      <c r="S215" s="4">
        <f t="shared" si="83"/>
        <v>-26.379144179801287</v>
      </c>
      <c r="T215" s="4">
        <f t="shared" si="84"/>
        <v>-1.1402538436935259E-7</v>
      </c>
      <c r="U215" s="4">
        <f t="shared" si="70"/>
        <v>-132.5873901962853</v>
      </c>
      <c r="V215" s="4"/>
      <c r="W215" s="4" t="s">
        <v>41</v>
      </c>
      <c r="X215" s="1" t="s">
        <v>89</v>
      </c>
      <c r="Y215" s="4" t="s">
        <v>284</v>
      </c>
      <c r="Z215" s="4" t="s">
        <v>284</v>
      </c>
      <c r="AA215" s="16"/>
      <c r="AB215" s="333"/>
      <c r="AC215" s="1" t="s">
        <v>15</v>
      </c>
      <c r="AD215" s="4">
        <f t="shared" si="85"/>
        <v>0.80262807386126278</v>
      </c>
      <c r="AE215" s="4">
        <f t="shared" si="71"/>
        <v>2.7977437550362615E-3</v>
      </c>
      <c r="AF215" s="4">
        <f>MW_Fe2O3</f>
        <v>0.1596882</v>
      </c>
      <c r="AG215" s="4">
        <f t="shared" si="86"/>
        <v>5.0262203084590018</v>
      </c>
      <c r="AH215" s="4">
        <f>b_ch_Fe2O3</f>
        <v>17.358400000000074</v>
      </c>
      <c r="AI215" s="4">
        <f t="shared" si="72"/>
        <v>4.3225581388141737E-9</v>
      </c>
      <c r="AJ215" s="4">
        <f t="shared" si="87"/>
        <v>-19.259418448186445</v>
      </c>
      <c r="AK215" s="4">
        <f t="shared" si="73"/>
        <v>-43.737544179801361</v>
      </c>
      <c r="AL215" s="4">
        <f t="shared" si="88"/>
        <v>-26.379144179801287</v>
      </c>
      <c r="AM215" s="4">
        <f t="shared" si="89"/>
        <v>-1.1402538436935259E-7</v>
      </c>
      <c r="AN215" s="4">
        <f t="shared" si="74"/>
        <v>-132.5873901962853</v>
      </c>
      <c r="AO215" s="4"/>
      <c r="AP215" s="4"/>
      <c r="AQ215" s="4"/>
      <c r="AR215" s="4"/>
      <c r="AS215" s="4"/>
      <c r="AT215" s="333"/>
      <c r="AU215" s="1" t="s">
        <v>15</v>
      </c>
      <c r="AV215" s="4">
        <f t="shared" si="100"/>
        <v>0.80262807386126278</v>
      </c>
      <c r="AW215" s="4">
        <f t="shared" si="75"/>
        <v>2.7977437550362615E-3</v>
      </c>
      <c r="AX215" s="4">
        <f>MW_Fe2O3</f>
        <v>0.1596882</v>
      </c>
      <c r="AY215" s="4">
        <f t="shared" si="90"/>
        <v>5.0262203084590018</v>
      </c>
      <c r="AZ215" s="4">
        <f>b_ch_Fe2O3</f>
        <v>17.358400000000074</v>
      </c>
      <c r="BA215" s="4">
        <f t="shared" si="76"/>
        <v>4.3225581388141737E-9</v>
      </c>
      <c r="BB215" s="4">
        <f t="shared" si="91"/>
        <v>-19.259418448186445</v>
      </c>
      <c r="BC215" s="4">
        <f t="shared" si="77"/>
        <v>-43.737544179801361</v>
      </c>
      <c r="BD215" s="4">
        <f t="shared" si="92"/>
        <v>-26.379144179801287</v>
      </c>
      <c r="BE215" s="4">
        <f t="shared" si="93"/>
        <v>-1.1402538436935259E-7</v>
      </c>
      <c r="BF215" s="4">
        <f t="shared" si="78"/>
        <v>-132.5873901962853</v>
      </c>
      <c r="BG215" s="4"/>
      <c r="BH215" s="4"/>
      <c r="BI215" s="4"/>
      <c r="BJ215" s="4"/>
      <c r="BK215" s="4"/>
      <c r="BL215" s="333"/>
      <c r="BM215" s="1" t="s">
        <v>15</v>
      </c>
      <c r="BN215" s="4">
        <f t="shared" si="101"/>
        <v>0.80262807386126278</v>
      </c>
      <c r="BO215" s="4">
        <f t="shared" si="94"/>
        <v>2.7977437550362615E-3</v>
      </c>
      <c r="BP215" s="4">
        <f>MW_Fe2O3</f>
        <v>0.1596882</v>
      </c>
      <c r="BQ215" s="4">
        <f t="shared" si="95"/>
        <v>5.0262203084590018</v>
      </c>
      <c r="BR215" s="4">
        <f>b_ch_Fe2O3</f>
        <v>17.358400000000074</v>
      </c>
      <c r="BS215" s="4">
        <f t="shared" si="96"/>
        <v>4.3225581388141737E-9</v>
      </c>
      <c r="BT215" s="4">
        <f t="shared" si="97"/>
        <v>-19.259418448186445</v>
      </c>
      <c r="BU215" s="4">
        <f t="shared" si="79"/>
        <v>-43.737544179801361</v>
      </c>
      <c r="BV215" s="4">
        <f t="shared" si="98"/>
        <v>-26.379144179801287</v>
      </c>
      <c r="BW215" s="4">
        <f t="shared" si="99"/>
        <v>-1.1402538436935259E-7</v>
      </c>
      <c r="BX215" s="4">
        <f t="shared" si="102"/>
        <v>-132.5873901962853</v>
      </c>
      <c r="BY215" s="4"/>
      <c r="BZ215" s="4"/>
      <c r="CN215" s="4"/>
      <c r="CO215" s="63" t="s">
        <v>1</v>
      </c>
      <c r="CP215" s="58" t="s">
        <v>0</v>
      </c>
    </row>
    <row r="216" spans="2:94" ht="18.5" customHeight="1" x14ac:dyDescent="0.25">
      <c r="I216" s="333"/>
      <c r="J216" s="1" t="s">
        <v>17</v>
      </c>
      <c r="K216" s="4">
        <f t="shared" si="80"/>
        <v>9.2172772353099859</v>
      </c>
      <c r="L216" s="4">
        <f t="shared" si="67"/>
        <v>3.2128928283642229E-2</v>
      </c>
      <c r="M216" s="3">
        <f>MW_SIO2</f>
        <v>6.00843E-2</v>
      </c>
      <c r="N216" s="4">
        <f t="shared" si="81"/>
        <v>153.40575217336286</v>
      </c>
      <c r="O216" s="3">
        <f>b_ch_SiO2</f>
        <v>1.5260000000000673</v>
      </c>
      <c r="P216" s="4">
        <f t="shared" si="68"/>
        <v>1.3192921159502107E-7</v>
      </c>
      <c r="Q216" s="4">
        <f t="shared" si="82"/>
        <v>-15.841000334002629</v>
      </c>
      <c r="R216" s="4">
        <f t="shared" si="69"/>
        <v>-35.974422271609647</v>
      </c>
      <c r="S216" s="4">
        <f t="shared" si="83"/>
        <v>-34.44842227160958</v>
      </c>
      <c r="T216" s="4">
        <f t="shared" si="84"/>
        <v>-4.5447531909858167E-6</v>
      </c>
      <c r="U216" s="4">
        <f t="shared" si="70"/>
        <v>-5284.5861297618922</v>
      </c>
      <c r="V216" s="333" t="s">
        <v>381</v>
      </c>
      <c r="W216" s="62" t="s">
        <v>308</v>
      </c>
      <c r="X216" s="62">
        <f t="shared" ref="X216:X221" si="103">$X$222*Y216</f>
        <v>16.732655961692366</v>
      </c>
      <c r="Y216" s="173">
        <v>0.3715</v>
      </c>
      <c r="Z216" s="173">
        <v>0.37219999999999998</v>
      </c>
      <c r="AB216" s="333"/>
      <c r="AC216" s="1" t="s">
        <v>17</v>
      </c>
      <c r="AD216" s="4">
        <f t="shared" si="85"/>
        <v>9.2172772353099859</v>
      </c>
      <c r="AE216" s="4">
        <f t="shared" si="71"/>
        <v>3.2128928283642229E-2</v>
      </c>
      <c r="AF216" s="3">
        <f>MW_SIO2</f>
        <v>6.00843E-2</v>
      </c>
      <c r="AG216" s="4">
        <f t="shared" si="86"/>
        <v>153.40575217336286</v>
      </c>
      <c r="AH216" s="3">
        <f>b_ch_SiO2</f>
        <v>1.5260000000000673</v>
      </c>
      <c r="AI216" s="4">
        <f t="shared" si="72"/>
        <v>1.3192921159502107E-7</v>
      </c>
      <c r="AJ216" s="4">
        <f t="shared" si="87"/>
        <v>-15.841000334002629</v>
      </c>
      <c r="AK216" s="4">
        <f t="shared" si="73"/>
        <v>-35.974422271609647</v>
      </c>
      <c r="AL216" s="4">
        <f t="shared" si="88"/>
        <v>-34.44842227160958</v>
      </c>
      <c r="AM216" s="4">
        <f t="shared" si="89"/>
        <v>-4.5447531909858167E-6</v>
      </c>
      <c r="AN216" s="4">
        <f t="shared" si="74"/>
        <v>-5284.5861297618922</v>
      </c>
      <c r="AO216" s="4"/>
      <c r="AP216" s="4"/>
      <c r="AQ216" s="4"/>
      <c r="AR216" s="4"/>
      <c r="AS216" s="4"/>
      <c r="AT216" s="333"/>
      <c r="AU216" s="1" t="s">
        <v>17</v>
      </c>
      <c r="AV216" s="4">
        <f t="shared" si="100"/>
        <v>9.2172772353099859</v>
      </c>
      <c r="AW216" s="4">
        <f t="shared" si="75"/>
        <v>3.2128928283642229E-2</v>
      </c>
      <c r="AX216" s="3">
        <f>MW_SIO2</f>
        <v>6.00843E-2</v>
      </c>
      <c r="AY216" s="4">
        <f t="shared" si="90"/>
        <v>153.40575217336286</v>
      </c>
      <c r="AZ216" s="3">
        <f>b_ch_SiO2</f>
        <v>1.5260000000000673</v>
      </c>
      <c r="BA216" s="4">
        <f t="shared" si="76"/>
        <v>1.3192921159502107E-7</v>
      </c>
      <c r="BB216" s="4">
        <f t="shared" si="91"/>
        <v>-15.841000334002629</v>
      </c>
      <c r="BC216" s="4">
        <f t="shared" si="77"/>
        <v>-35.974422271609647</v>
      </c>
      <c r="BD216" s="4">
        <f t="shared" si="92"/>
        <v>-34.44842227160958</v>
      </c>
      <c r="BE216" s="4">
        <f t="shared" si="93"/>
        <v>-4.5447531909858167E-6</v>
      </c>
      <c r="BF216" s="4">
        <f t="shared" si="78"/>
        <v>-5284.5861297618922</v>
      </c>
      <c r="BG216" s="4"/>
      <c r="BH216" s="4"/>
      <c r="BI216" s="4"/>
      <c r="BJ216" s="4"/>
      <c r="BK216" s="4"/>
      <c r="BL216" s="333"/>
      <c r="BM216" s="1" t="s">
        <v>17</v>
      </c>
      <c r="BN216" s="4">
        <f t="shared" si="101"/>
        <v>9.2172772353099859</v>
      </c>
      <c r="BO216" s="4">
        <f t="shared" si="94"/>
        <v>3.2128928283642229E-2</v>
      </c>
      <c r="BP216" s="3">
        <f>MW_SIO2</f>
        <v>6.00843E-2</v>
      </c>
      <c r="BQ216" s="4">
        <f t="shared" si="95"/>
        <v>153.40575217336286</v>
      </c>
      <c r="BR216" s="3">
        <f>b_ch_SiO2</f>
        <v>1.5260000000000673</v>
      </c>
      <c r="BS216" s="4">
        <f t="shared" si="96"/>
        <v>1.3192921159502107E-7</v>
      </c>
      <c r="BT216" s="4">
        <f t="shared" si="97"/>
        <v>-15.841000334002629</v>
      </c>
      <c r="BU216" s="4">
        <f t="shared" si="79"/>
        <v>-35.974422271609647</v>
      </c>
      <c r="BV216" s="4">
        <f t="shared" si="98"/>
        <v>-34.44842227160958</v>
      </c>
      <c r="BW216" s="4">
        <f t="shared" si="99"/>
        <v>-4.5447531909858167E-6</v>
      </c>
      <c r="BX216" s="4">
        <f t="shared" si="102"/>
        <v>-5284.5861297618922</v>
      </c>
      <c r="BY216" s="4"/>
      <c r="BZ216" s="4"/>
      <c r="CN216" s="4"/>
      <c r="CO216" s="65" t="s">
        <v>90</v>
      </c>
      <c r="CP216" s="64" t="s">
        <v>94</v>
      </c>
    </row>
    <row r="217" spans="2:94" ht="16" thickBot="1" x14ac:dyDescent="0.25">
      <c r="J217" s="62" t="s">
        <v>19</v>
      </c>
      <c r="K217" s="62">
        <f>SUM(K210:K216)</f>
        <v>286.88405520213911</v>
      </c>
      <c r="L217" s="17"/>
      <c r="M217" s="62">
        <f>SUM(M210:M216)</f>
        <v>0.48009451399999997</v>
      </c>
      <c r="N217" s="62">
        <f>SUM(N210:N216)</f>
        <v>1162788364.4470463</v>
      </c>
      <c r="O217" s="17"/>
      <c r="P217" s="62">
        <f>SUM(P210:P216)</f>
        <v>0.99999999999999978</v>
      </c>
      <c r="Q217" s="17"/>
      <c r="R217" s="17"/>
      <c r="S217" s="17"/>
      <c r="T217" s="62">
        <f>SUM(T210:T216)</f>
        <v>7.5218430191825655E-3</v>
      </c>
      <c r="U217" s="62">
        <f>SUM(U210:U216)</f>
        <v>8746311.5419027284</v>
      </c>
      <c r="V217" s="333"/>
      <c r="W217" s="4" t="s">
        <v>124</v>
      </c>
      <c r="X217" s="4">
        <f t="shared" si="103"/>
        <v>3.143847607338162</v>
      </c>
      <c r="Y217" s="4">
        <v>6.9800000000000001E-2</v>
      </c>
      <c r="Z217" s="4">
        <f>Y217</f>
        <v>6.9800000000000001E-2</v>
      </c>
      <c r="AC217" s="62" t="s">
        <v>19</v>
      </c>
      <c r="AD217" s="62">
        <f>SUM(AD210:AD216)</f>
        <v>286.88405520213911</v>
      </c>
      <c r="AE217" s="17"/>
      <c r="AF217" s="62">
        <f>SUM(AF210:AF216)</f>
        <v>0.48009451399999997</v>
      </c>
      <c r="AG217" s="62">
        <f>SUM(AG210:AG216)</f>
        <v>1162788364.4470463</v>
      </c>
      <c r="AH217" s="17"/>
      <c r="AI217" s="62">
        <f>SUM(AI210:AI216)</f>
        <v>0.99999999999999978</v>
      </c>
      <c r="AJ217" s="17"/>
      <c r="AK217" s="17"/>
      <c r="AL217" s="17"/>
      <c r="AM217" s="62">
        <f>SUM(AM210:AM216)</f>
        <v>7.5218430191825655E-3</v>
      </c>
      <c r="AN217" s="62">
        <f>SUM(AN210:AN216)</f>
        <v>8746311.5419027284</v>
      </c>
      <c r="AO217" s="4"/>
      <c r="AP217" s="4"/>
      <c r="AQ217" s="4"/>
      <c r="AR217" s="4"/>
      <c r="AS217" s="4"/>
      <c r="AT217" s="4"/>
      <c r="AU217" s="62" t="s">
        <v>19</v>
      </c>
      <c r="AV217" s="62">
        <f>SUM(AV210:AV216)</f>
        <v>286.88405520213911</v>
      </c>
      <c r="AW217" s="17"/>
      <c r="AX217" s="62">
        <f>SUM(AX210:AX216)</f>
        <v>0.48009451399999997</v>
      </c>
      <c r="AY217" s="62">
        <f>SUM(AY210:AY216)</f>
        <v>1162788364.4470463</v>
      </c>
      <c r="AZ217" s="17"/>
      <c r="BA217" s="62">
        <f>SUM(BA210:BA216)</f>
        <v>0.99999999999999978</v>
      </c>
      <c r="BB217" s="17"/>
      <c r="BC217" s="17"/>
      <c r="BD217" s="17"/>
      <c r="BE217" s="62">
        <f>SUM(BE210:BE216)</f>
        <v>7.5218430191825655E-3</v>
      </c>
      <c r="BF217" s="62">
        <f>SUM(BF210:BF216)</f>
        <v>8746311.5419027284</v>
      </c>
      <c r="BG217" s="4"/>
      <c r="BH217" s="4"/>
      <c r="BI217" s="4"/>
      <c r="BJ217" s="4"/>
      <c r="BK217" s="4"/>
      <c r="BL217" s="4"/>
      <c r="BM217" s="62" t="s">
        <v>19</v>
      </c>
      <c r="BN217" s="62">
        <f>SUM(BN210:BN216)</f>
        <v>286.88405520213911</v>
      </c>
      <c r="BO217" s="62">
        <f>SUM(BO210:BO216)</f>
        <v>1</v>
      </c>
      <c r="BP217" s="62">
        <f>SUM(BP210:BP216)</f>
        <v>0.48009451399999997</v>
      </c>
      <c r="BQ217" s="62">
        <f>SUM(BQ210:BQ216)</f>
        <v>1162788364.4470463</v>
      </c>
      <c r="BR217" s="17"/>
      <c r="BS217" s="62">
        <f>SUM(BS210:BS216)</f>
        <v>0.99999999999999978</v>
      </c>
      <c r="BT217" s="17"/>
      <c r="BU217" s="17"/>
      <c r="BV217" s="17"/>
      <c r="BW217" s="62">
        <f>SUM(BW210:BW216)</f>
        <v>7.5218430191825655E-3</v>
      </c>
      <c r="BX217" s="62">
        <f>SUM(BX210:BX216)</f>
        <v>8746311.5419027284</v>
      </c>
      <c r="BY217" s="4"/>
      <c r="BZ217" s="4"/>
      <c r="CK217" s="3" t="s">
        <v>546</v>
      </c>
      <c r="CN217" s="4"/>
      <c r="CO217" s="50">
        <f>CF227</f>
        <v>18.493734420766422</v>
      </c>
      <c r="CP217" s="48">
        <f>CP227</f>
        <v>5366.0434241372932</v>
      </c>
    </row>
    <row r="218" spans="2:94" ht="18" customHeight="1" x14ac:dyDescent="0.25">
      <c r="K218" s="1" t="s">
        <v>90</v>
      </c>
      <c r="L218" s="1"/>
      <c r="M218" s="3" t="s">
        <v>92</v>
      </c>
      <c r="N218" s="3" t="s">
        <v>88</v>
      </c>
      <c r="O218" s="4"/>
      <c r="P218" s="4"/>
      <c r="T218" s="3" t="s">
        <v>97</v>
      </c>
      <c r="U218" s="1" t="s">
        <v>94</v>
      </c>
      <c r="V218" s="333"/>
      <c r="W218" s="4" t="s">
        <v>180</v>
      </c>
      <c r="X218" s="4">
        <f t="shared" si="103"/>
        <v>0.55850587866752444</v>
      </c>
      <c r="Y218" s="4">
        <v>1.24E-2</v>
      </c>
      <c r="Z218" s="4">
        <f t="shared" ref="Z218:Z221" si="104">Y218</f>
        <v>1.24E-2</v>
      </c>
      <c r="AD218" s="1" t="s">
        <v>90</v>
      </c>
      <c r="AE218" s="1"/>
      <c r="AF218" s="3" t="s">
        <v>92</v>
      </c>
      <c r="AG218" s="3" t="s">
        <v>88</v>
      </c>
      <c r="AH218" s="4"/>
      <c r="AI218" s="4"/>
      <c r="AM218" s="3" t="s">
        <v>97</v>
      </c>
      <c r="AN218" s="1" t="s">
        <v>94</v>
      </c>
      <c r="AP218" s="4"/>
      <c r="AQ218" s="4"/>
      <c r="AR218" s="4"/>
      <c r="AS218" s="4"/>
      <c r="AT218" s="4"/>
      <c r="AV218" s="1" t="s">
        <v>90</v>
      </c>
      <c r="AW218" s="1"/>
      <c r="AX218" s="3" t="s">
        <v>92</v>
      </c>
      <c r="AY218" s="3" t="s">
        <v>88</v>
      </c>
      <c r="AZ218" s="4"/>
      <c r="BA218" s="4"/>
      <c r="BE218" s="3" t="s">
        <v>97</v>
      </c>
      <c r="BF218" s="1" t="s">
        <v>94</v>
      </c>
      <c r="BG218" s="1"/>
      <c r="BH218" s="1"/>
      <c r="BI218" s="1"/>
      <c r="BJ218" s="1"/>
      <c r="BK218" s="1"/>
      <c r="BL218" s="4"/>
      <c r="BN218" s="1" t="s">
        <v>90</v>
      </c>
      <c r="BO218" s="1"/>
      <c r="BP218" s="3" t="s">
        <v>92</v>
      </c>
      <c r="BQ218" s="3" t="s">
        <v>88</v>
      </c>
      <c r="BR218" s="4"/>
      <c r="BS218" s="4"/>
      <c r="BW218" s="3" t="s">
        <v>97</v>
      </c>
      <c r="BX218" s="1" t="s">
        <v>94</v>
      </c>
      <c r="BY218" s="4"/>
      <c r="BZ218" s="4"/>
      <c r="CN218" s="4"/>
      <c r="CO218" s="4"/>
    </row>
    <row r="219" spans="2:94" ht="19" thickBot="1" x14ac:dyDescent="0.3">
      <c r="V219" s="333"/>
      <c r="W219" s="4" t="s">
        <v>309</v>
      </c>
      <c r="X219" s="4">
        <f t="shared" si="103"/>
        <v>0.17115502733359619</v>
      </c>
      <c r="Y219" s="4">
        <v>3.8E-3</v>
      </c>
      <c r="Z219" s="4">
        <f t="shared" si="104"/>
        <v>3.8E-3</v>
      </c>
      <c r="AO219" s="4"/>
      <c r="AP219" s="4"/>
      <c r="AQ219" s="4"/>
      <c r="AR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CE219" s="4"/>
      <c r="CF219" s="1" t="s">
        <v>577</v>
      </c>
      <c r="CG219" s="1" t="s">
        <v>578</v>
      </c>
      <c r="CH219" s="1" t="s">
        <v>580</v>
      </c>
      <c r="CI219" s="1" t="s">
        <v>86</v>
      </c>
      <c r="CJ219" s="1" t="s">
        <v>6</v>
      </c>
      <c r="CK219" s="1" t="s">
        <v>7</v>
      </c>
      <c r="CL219" s="1" t="s">
        <v>8</v>
      </c>
      <c r="CM219" s="1" t="s">
        <v>9</v>
      </c>
      <c r="CN219" s="1" t="s">
        <v>49</v>
      </c>
      <c r="CO219" s="1" t="s">
        <v>579</v>
      </c>
      <c r="CP219" s="1" t="s">
        <v>50</v>
      </c>
    </row>
    <row r="220" spans="2:94" ht="18" x14ac:dyDescent="0.25"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63" t="s">
        <v>1</v>
      </c>
      <c r="U220" s="58" t="s">
        <v>0</v>
      </c>
      <c r="V220" s="333"/>
      <c r="W220" s="1" t="s">
        <v>15</v>
      </c>
      <c r="X220" s="4">
        <f t="shared" si="103"/>
        <v>1.9547705753363356</v>
      </c>
      <c r="Y220" s="4">
        <v>4.3400000000000001E-2</v>
      </c>
      <c r="Z220" s="4">
        <f t="shared" si="104"/>
        <v>4.3400000000000001E-2</v>
      </c>
      <c r="AO220" s="4"/>
      <c r="AP220" s="4"/>
      <c r="AQ220" s="4"/>
      <c r="AR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CE220" s="4" t="s">
        <v>41</v>
      </c>
      <c r="CF220" s="1" t="s">
        <v>89</v>
      </c>
      <c r="CG220" s="4" t="s">
        <v>284</v>
      </c>
      <c r="CH220" s="2" t="s">
        <v>91</v>
      </c>
      <c r="CI220" s="2" t="s">
        <v>87</v>
      </c>
      <c r="CJ220" s="2" t="s">
        <v>96</v>
      </c>
      <c r="CK220" s="2" t="s">
        <v>25</v>
      </c>
      <c r="CL220" s="2" t="s">
        <v>99</v>
      </c>
      <c r="CM220" s="2" t="s">
        <v>96</v>
      </c>
      <c r="CN220" s="2" t="s">
        <v>96</v>
      </c>
      <c r="CO220" s="2" t="s">
        <v>95</v>
      </c>
      <c r="CP220" s="2" t="s">
        <v>93</v>
      </c>
    </row>
    <row r="221" spans="2:94" ht="18" customHeight="1" x14ac:dyDescent="0.25"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65" t="s">
        <v>90</v>
      </c>
      <c r="U221" s="64" t="s">
        <v>94</v>
      </c>
      <c r="V221" s="333"/>
      <c r="W221" s="1" t="s">
        <v>17</v>
      </c>
      <c r="X221" s="4">
        <f t="shared" si="103"/>
        <v>22.448333058701145</v>
      </c>
      <c r="Y221" s="4">
        <v>0.49840000000000001</v>
      </c>
      <c r="Z221" s="4">
        <f t="shared" si="104"/>
        <v>0.49840000000000001</v>
      </c>
      <c r="AP221" s="4"/>
      <c r="CD221" s="334" t="s">
        <v>546</v>
      </c>
      <c r="CE221" s="62" t="s">
        <v>308</v>
      </c>
      <c r="CF221" s="62">
        <f>Z216*$CF$227</f>
        <v>6.8833679514092623</v>
      </c>
      <c r="CG221" s="62">
        <f>CF221/$CF$227</f>
        <v>0.37219999999999998</v>
      </c>
      <c r="CH221" s="62">
        <f>MW_Al2O3</f>
        <v>0.10196127799999999</v>
      </c>
      <c r="CI221" s="62">
        <f t="shared" ref="CI221:CI226" si="105">CF221/CH221</f>
        <v>67.509628031626505</v>
      </c>
      <c r="CJ221" s="62">
        <f>b_ch_Al2O3</f>
        <v>31.875999999999976</v>
      </c>
      <c r="CK221" s="62">
        <f t="shared" ref="CK221:CK226" si="106">CI221/$CI$227</f>
        <v>0.26393162595128805</v>
      </c>
      <c r="CL221" s="62">
        <f t="shared" ref="CL221:CL226" si="107">LN(CK221)</f>
        <v>-1.3320652019889558</v>
      </c>
      <c r="CM221" s="62">
        <f t="shared" ref="CM221:CM226" si="108">RT0*CL221</f>
        <v>-3.0250789129021771</v>
      </c>
      <c r="CN221" s="62">
        <f t="shared" ref="CN221:CN226" si="109">CM221+CJ221</f>
        <v>28.850921087097799</v>
      </c>
      <c r="CO221" s="62">
        <f t="shared" ref="CO221:CO225" si="110">CN221*CK221</f>
        <v>7.6146705127100249</v>
      </c>
      <c r="CP221" s="62">
        <f>CO221*$CI$227</f>
        <v>1947.7149509597818</v>
      </c>
    </row>
    <row r="222" spans="2:94" ht="16" thickBot="1" x14ac:dyDescent="0.25">
      <c r="B222" s="312" t="s">
        <v>499</v>
      </c>
      <c r="C222" s="312"/>
      <c r="D222" s="312"/>
      <c r="E222" s="312"/>
      <c r="F222" s="312"/>
      <c r="G222" s="312"/>
      <c r="H222" s="312"/>
      <c r="J222" s="4"/>
      <c r="K222" s="4"/>
      <c r="L222" s="4"/>
      <c r="M222" s="4"/>
      <c r="N222" s="4"/>
      <c r="O222" s="4"/>
      <c r="P222" s="4" t="s">
        <v>531</v>
      </c>
      <c r="Q222" s="4"/>
      <c r="R222" s="4"/>
      <c r="S222" s="4"/>
      <c r="T222" s="50">
        <f>L227</f>
        <v>0.48766657832528126</v>
      </c>
      <c r="U222" s="48">
        <f>U227</f>
        <v>20815.376944573403</v>
      </c>
      <c r="W222" s="17" t="s">
        <v>19</v>
      </c>
      <c r="X222" s="62">
        <f>($AD$210*0.157)/$AE$210</f>
        <v>45.040796666735844</v>
      </c>
      <c r="Y222" s="17">
        <f>SUM(Y216:Y221)</f>
        <v>0.99930000000000008</v>
      </c>
      <c r="Z222" s="17">
        <f>SUM(Z216:Z221)</f>
        <v>1</v>
      </c>
      <c r="CD222" s="334"/>
      <c r="CE222" s="4" t="s">
        <v>124</v>
      </c>
      <c r="CF222" s="4">
        <f>Y217*$CF$227</f>
        <v>1.2908626625694963</v>
      </c>
      <c r="CG222" s="4">
        <f t="shared" ref="CG222:CG226" si="111">CF222/$CF$227</f>
        <v>6.9800000000000001E-2</v>
      </c>
      <c r="CH222" s="4">
        <f>MW_CaO</f>
        <v>5.6077400000000006E-2</v>
      </c>
      <c r="CI222" s="4">
        <f t="shared" si="105"/>
        <v>23.019303009224682</v>
      </c>
      <c r="CJ222" s="4">
        <f>b_ch_CaO</f>
        <v>122.25799999999992</v>
      </c>
      <c r="CK222" s="4">
        <f t="shared" si="106"/>
        <v>8.9994897744716112E-2</v>
      </c>
      <c r="CL222" s="4">
        <f t="shared" si="107"/>
        <v>-2.4080023019842853</v>
      </c>
      <c r="CM222" s="4">
        <f t="shared" si="108"/>
        <v>-5.4684988205351805</v>
      </c>
      <c r="CN222" s="4">
        <f t="shared" si="109"/>
        <v>116.78950117946475</v>
      </c>
      <c r="CO222" s="4">
        <f t="shared" si="110"/>
        <v>10.510459216302332</v>
      </c>
      <c r="CP222" s="4">
        <f t="shared" ref="CP222:CP226" si="112">CO222*$CI$227</f>
        <v>2688.4129159463023</v>
      </c>
    </row>
    <row r="223" spans="2:94" x14ac:dyDescent="0.2">
      <c r="B223" s="313"/>
      <c r="C223" s="313"/>
      <c r="D223" s="313"/>
      <c r="E223" s="313"/>
      <c r="F223" s="313"/>
      <c r="G223" s="313"/>
      <c r="H223" s="313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BG223" s="25"/>
      <c r="BH223" s="25"/>
      <c r="BI223" s="25"/>
      <c r="BJ223" s="25"/>
      <c r="BK223" s="25"/>
      <c r="BW223" s="63" t="s">
        <v>1</v>
      </c>
      <c r="BX223" s="58" t="s">
        <v>0</v>
      </c>
      <c r="CD223" s="334"/>
      <c r="CE223" s="4" t="s">
        <v>180</v>
      </c>
      <c r="CF223" s="4">
        <f>Y218*$CF$227</f>
        <v>0.22932230681750362</v>
      </c>
      <c r="CG223" s="4">
        <f t="shared" si="111"/>
        <v>1.24E-2</v>
      </c>
      <c r="CH223" s="4">
        <f>MW_MgO</f>
        <v>4.0304400000000004E-2</v>
      </c>
      <c r="CI223" s="4">
        <f t="shared" si="105"/>
        <v>5.6897586074350093</v>
      </c>
      <c r="CJ223" s="4">
        <f>b_ch_MgO</f>
        <v>62.576000000000022</v>
      </c>
      <c r="CK223" s="4">
        <f t="shared" si="106"/>
        <v>2.2244341797101112E-2</v>
      </c>
      <c r="CL223" s="4">
        <f t="shared" si="107"/>
        <v>-3.8056676039638173</v>
      </c>
      <c r="CM223" s="4">
        <f t="shared" si="108"/>
        <v>-8.6425535334728654</v>
      </c>
      <c r="CN223" s="4">
        <f t="shared" si="109"/>
        <v>53.933446466527158</v>
      </c>
      <c r="CO223" s="4">
        <f t="shared" si="110"/>
        <v>1.1997140174970853</v>
      </c>
      <c r="CP223" s="4">
        <f t="shared" si="112"/>
        <v>306.86829126155817</v>
      </c>
    </row>
    <row r="224" spans="2:94" ht="19" thickBot="1" x14ac:dyDescent="0.3">
      <c r="B224" s="61" t="s">
        <v>265</v>
      </c>
      <c r="C224" s="13" t="s">
        <v>264</v>
      </c>
      <c r="D224" s="13" t="s">
        <v>236</v>
      </c>
      <c r="E224" s="13" t="s">
        <v>236</v>
      </c>
      <c r="F224" s="13" t="s">
        <v>236</v>
      </c>
      <c r="G224" s="106" t="s">
        <v>323</v>
      </c>
      <c r="H224" s="13" t="s">
        <v>317</v>
      </c>
      <c r="J224" s="4"/>
      <c r="K224" s="3" t="s">
        <v>583</v>
      </c>
      <c r="L224" s="1" t="s">
        <v>577</v>
      </c>
      <c r="M224" s="3" t="s">
        <v>5</v>
      </c>
      <c r="N224" s="1" t="s">
        <v>86</v>
      </c>
      <c r="O224" s="1" t="s">
        <v>6</v>
      </c>
      <c r="P224" s="1" t="s">
        <v>7</v>
      </c>
      <c r="Q224" s="1" t="s">
        <v>8</v>
      </c>
      <c r="R224" s="1" t="s">
        <v>9</v>
      </c>
      <c r="S224" s="1" t="s">
        <v>49</v>
      </c>
      <c r="T224" s="1" t="s">
        <v>579</v>
      </c>
      <c r="U224" s="1" t="s">
        <v>50</v>
      </c>
      <c r="X224" s="3" t="s">
        <v>311</v>
      </c>
      <c r="BG224" s="1"/>
      <c r="BH224" s="1"/>
      <c r="BI224" s="1"/>
      <c r="BJ224" s="1"/>
      <c r="BK224" s="1"/>
      <c r="BW224" s="65" t="s">
        <v>90</v>
      </c>
      <c r="BX224" s="64" t="s">
        <v>94</v>
      </c>
      <c r="CD224" s="334"/>
      <c r="CE224" s="4" t="s">
        <v>309</v>
      </c>
      <c r="CF224" s="4">
        <f>Y219*$CF$227</f>
        <v>7.0276190798912411E-2</v>
      </c>
      <c r="CG224" s="4">
        <f t="shared" si="111"/>
        <v>3.8000000000000004E-3</v>
      </c>
      <c r="CH224" s="4">
        <f>MW_Na2O</f>
        <v>6.1978936000000005E-2</v>
      </c>
      <c r="CI224" s="4">
        <f t="shared" si="105"/>
        <v>1.1338721722959622</v>
      </c>
      <c r="CJ224" s="4">
        <f>b_ch_Na2O</f>
        <v>298.64000000000004</v>
      </c>
      <c r="CK224" s="4">
        <f t="shared" si="106"/>
        <v>4.4329191965743692E-3</v>
      </c>
      <c r="CL224" s="4">
        <f t="shared" si="107"/>
        <v>-5.4186969510924596</v>
      </c>
      <c r="CM224" s="4">
        <f t="shared" si="108"/>
        <v>-12.305693338195185</v>
      </c>
      <c r="CN224" s="4">
        <f t="shared" si="109"/>
        <v>286.33430666180487</v>
      </c>
      <c r="CO224" s="4">
        <f t="shared" si="110"/>
        <v>1.269296844638927</v>
      </c>
      <c r="CP224" s="4">
        <f t="shared" si="112"/>
        <v>324.66650229747881</v>
      </c>
    </row>
    <row r="225" spans="2:150" ht="19" thickBot="1" x14ac:dyDescent="0.3">
      <c r="B225" s="61" t="s">
        <v>99</v>
      </c>
      <c r="C225" s="61" t="s">
        <v>99</v>
      </c>
      <c r="D225" s="13" t="s">
        <v>232</v>
      </c>
      <c r="E225" s="13" t="s">
        <v>235</v>
      </c>
      <c r="F225" s="13" t="s">
        <v>48</v>
      </c>
      <c r="G225" s="34" t="s">
        <v>99</v>
      </c>
      <c r="H225" s="13" t="s">
        <v>48</v>
      </c>
      <c r="J225" s="4" t="s">
        <v>41</v>
      </c>
      <c r="K225" s="3" t="s">
        <v>582</v>
      </c>
      <c r="L225" s="1" t="s">
        <v>89</v>
      </c>
      <c r="M225" s="1" t="s">
        <v>91</v>
      </c>
      <c r="N225" s="1" t="s">
        <v>87</v>
      </c>
      <c r="O225" s="1" t="s">
        <v>96</v>
      </c>
      <c r="P225" s="1" t="s">
        <v>25</v>
      </c>
      <c r="Q225" s="1" t="s">
        <v>99</v>
      </c>
      <c r="R225" s="1" t="s">
        <v>96</v>
      </c>
      <c r="S225" s="1" t="s">
        <v>96</v>
      </c>
      <c r="T225" s="1" t="s">
        <v>95</v>
      </c>
      <c r="U225" s="1" t="s">
        <v>93</v>
      </c>
      <c r="X225" s="16" t="s">
        <v>310</v>
      </c>
      <c r="AD225" s="4"/>
      <c r="AE225" s="4"/>
      <c r="AM225" s="63" t="s">
        <v>1</v>
      </c>
      <c r="AN225" s="58" t="s">
        <v>0</v>
      </c>
      <c r="BS225" s="3" t="s">
        <v>543</v>
      </c>
      <c r="BW225" s="50">
        <f>BN233</f>
        <v>10.437401363720047</v>
      </c>
      <c r="BX225" s="48">
        <f>BX233</f>
        <v>891683.71589033271</v>
      </c>
      <c r="CD225" s="334"/>
      <c r="CE225" s="1" t="s">
        <v>15</v>
      </c>
      <c r="CF225" s="4">
        <f>Y220*$CF$227</f>
        <v>0.80262807386126278</v>
      </c>
      <c r="CG225" s="4">
        <f t="shared" si="111"/>
        <v>4.3400000000000001E-2</v>
      </c>
      <c r="CH225" s="4">
        <f>MW_Fe2O3</f>
        <v>0.1596882</v>
      </c>
      <c r="CI225" s="4">
        <f t="shared" si="105"/>
        <v>5.0262203084590018</v>
      </c>
      <c r="CJ225" s="4">
        <f>b_ch_Fe2O3</f>
        <v>17.358400000000074</v>
      </c>
      <c r="CK225" s="4">
        <f t="shared" si="106"/>
        <v>1.9650211933911133E-2</v>
      </c>
      <c r="CL225" s="4">
        <f t="shared" si="107"/>
        <v>-3.929667155284259</v>
      </c>
      <c r="CM225" s="4">
        <f t="shared" si="108"/>
        <v>-8.9241526829354534</v>
      </c>
      <c r="CN225" s="4">
        <f t="shared" si="109"/>
        <v>8.4342473170646208</v>
      </c>
      <c r="CO225" s="4">
        <f t="shared" si="110"/>
        <v>0.16573474728334117</v>
      </c>
      <c r="CP225" s="4">
        <f t="shared" si="112"/>
        <v>42.392385151596045</v>
      </c>
      <c r="CU225" s="3" t="s">
        <v>464</v>
      </c>
    </row>
    <row r="226" spans="2:150" ht="18" x14ac:dyDescent="0.25">
      <c r="B226" s="61" t="s">
        <v>279</v>
      </c>
      <c r="C226" s="61" t="s">
        <v>253</v>
      </c>
      <c r="D226" s="61">
        <v>57000</v>
      </c>
      <c r="E226" s="13">
        <f>D226*Btu_to_kJ</f>
        <v>60138.420000000006</v>
      </c>
      <c r="F226" s="13">
        <f>E226*($T$206/1000)</f>
        <v>17252.753803049429</v>
      </c>
      <c r="G226" s="13">
        <v>1.06</v>
      </c>
      <c r="H226" s="13">
        <f>F226*G226</f>
        <v>18287.919031232395</v>
      </c>
      <c r="I226" s="223" t="s">
        <v>531</v>
      </c>
      <c r="J226" s="97" t="s">
        <v>502</v>
      </c>
      <c r="K226" s="96">
        <f>F229</f>
        <v>20969.662867987096</v>
      </c>
      <c r="L226" s="96">
        <f>K226/LHV_Diesel</f>
        <v>0.48766657832528126</v>
      </c>
      <c r="M226" s="96">
        <f>MW_C12H23</f>
        <v>0.16731462</v>
      </c>
      <c r="N226" s="96">
        <f>L226/M226</f>
        <v>2.9146680566544707</v>
      </c>
      <c r="O226" s="96">
        <f>b_ch_C12H23</f>
        <v>7141.5943565339712</v>
      </c>
      <c r="P226" s="96">
        <f>N226/N227</f>
        <v>1</v>
      </c>
      <c r="Q226" s="96">
        <f>LN(P226)</f>
        <v>0</v>
      </c>
      <c r="R226" s="96">
        <f>RT0*Q226</f>
        <v>0</v>
      </c>
      <c r="S226" s="96">
        <f>R226+O226</f>
        <v>7141.5943565339712</v>
      </c>
      <c r="T226" s="96">
        <f>P226*S226</f>
        <v>7141.5943565339712</v>
      </c>
      <c r="U226" s="96">
        <f>T226*N227</f>
        <v>20815.376944573403</v>
      </c>
      <c r="AD226" s="4"/>
      <c r="AE226" s="4"/>
      <c r="AM226" s="65" t="s">
        <v>90</v>
      </c>
      <c r="AN226" s="64" t="s">
        <v>94</v>
      </c>
      <c r="CD226" s="334"/>
      <c r="CE226" s="1" t="s">
        <v>17</v>
      </c>
      <c r="CF226" s="4">
        <f>Y221*$CF$227</f>
        <v>9.2172772353099859</v>
      </c>
      <c r="CG226" s="4">
        <f t="shared" si="111"/>
        <v>0.49840000000000007</v>
      </c>
      <c r="CH226" s="3">
        <f>MW_SIO2</f>
        <v>6.00843E-2</v>
      </c>
      <c r="CI226" s="4">
        <f t="shared" si="105"/>
        <v>153.40575217336286</v>
      </c>
      <c r="CJ226" s="3">
        <f>b_ch_SiO2</f>
        <v>1.5260000000000673</v>
      </c>
      <c r="CK226" s="4">
        <f t="shared" si="106"/>
        <v>0.59974600337640915</v>
      </c>
      <c r="CL226" s="4">
        <f t="shared" si="107"/>
        <v>-0.51124904110044445</v>
      </c>
      <c r="CM226" s="4">
        <f t="shared" si="108"/>
        <v>-1.1610307747437392</v>
      </c>
      <c r="CN226" s="4">
        <f t="shared" si="109"/>
        <v>0.36496922525632813</v>
      </c>
      <c r="CO226" s="4">
        <f>CN226*CK226</f>
        <v>0.2188888342028672</v>
      </c>
      <c r="CP226" s="4">
        <f t="shared" si="112"/>
        <v>55.988378520576518</v>
      </c>
      <c r="CR226" s="323" t="s">
        <v>443</v>
      </c>
      <c r="CS226" s="323"/>
      <c r="CT226" s="323"/>
      <c r="CU226" s="323"/>
      <c r="CV226" s="323"/>
      <c r="CW226" s="323"/>
    </row>
    <row r="227" spans="2:150" ht="19" thickBot="1" x14ac:dyDescent="0.3">
      <c r="B227" s="61" t="s">
        <v>279</v>
      </c>
      <c r="C227" s="13" t="s">
        <v>258</v>
      </c>
      <c r="D227" s="13">
        <v>11000</v>
      </c>
      <c r="E227" s="13">
        <f>D227*Btu_to_kJ</f>
        <v>11605.660000000002</v>
      </c>
      <c r="F227" s="13">
        <f>E227*($T$206/1000)</f>
        <v>3329.4788040972585</v>
      </c>
      <c r="G227" s="13">
        <v>1.06</v>
      </c>
      <c r="H227" s="13">
        <f>F227*G227</f>
        <v>3529.247532343094</v>
      </c>
      <c r="J227" s="17" t="s">
        <v>19</v>
      </c>
      <c r="K227" s="17">
        <f>SUM(K226)</f>
        <v>20969.662867987096</v>
      </c>
      <c r="L227" s="17">
        <f>SUM(L226)</f>
        <v>0.48766657832528126</v>
      </c>
      <c r="M227" s="17">
        <f>SUM(M226)</f>
        <v>0.16731462</v>
      </c>
      <c r="N227" s="17">
        <f>SUM(N226)</f>
        <v>2.9146680566544707</v>
      </c>
      <c r="O227" s="17"/>
      <c r="P227" s="17"/>
      <c r="Q227" s="17"/>
      <c r="R227" s="17"/>
      <c r="S227" s="17"/>
      <c r="T227" s="17">
        <f>SUM(T226)</f>
        <v>7141.5943565339712</v>
      </c>
      <c r="U227" s="17">
        <f>SUM(U226)</f>
        <v>20815.376944573403</v>
      </c>
      <c r="AB227" s="1"/>
      <c r="AC227" s="1"/>
      <c r="AD227" s="1"/>
      <c r="AG227" s="4"/>
      <c r="AH227" s="4"/>
      <c r="AI227" s="3" t="s">
        <v>540</v>
      </c>
      <c r="AM227" s="50">
        <f>AD234</f>
        <v>7.5924566391801989</v>
      </c>
      <c r="AN227" s="48">
        <f>AN234</f>
        <v>569.94401045704944</v>
      </c>
      <c r="BG227" s="1"/>
      <c r="BH227" s="1"/>
      <c r="BI227" s="1"/>
      <c r="BJ227" s="1"/>
      <c r="BK227" s="1"/>
      <c r="BM227" s="4"/>
      <c r="BN227" s="1" t="s">
        <v>577</v>
      </c>
      <c r="BO227" s="1" t="s">
        <v>578</v>
      </c>
      <c r="BP227" s="1" t="s">
        <v>580</v>
      </c>
      <c r="BQ227" s="1" t="s">
        <v>86</v>
      </c>
      <c r="BR227" s="1" t="s">
        <v>6</v>
      </c>
      <c r="BS227" s="1" t="s">
        <v>7</v>
      </c>
      <c r="BT227" s="1" t="s">
        <v>8</v>
      </c>
      <c r="BU227" s="1" t="s">
        <v>9</v>
      </c>
      <c r="BV227" s="1" t="s">
        <v>49</v>
      </c>
      <c r="BW227" s="1" t="s">
        <v>579</v>
      </c>
      <c r="BX227" s="1" t="s">
        <v>50</v>
      </c>
      <c r="CE227" s="62" t="s">
        <v>19</v>
      </c>
      <c r="CF227" s="62">
        <f>Ash_in_coal</f>
        <v>18.493734420766422</v>
      </c>
      <c r="CG227" s="62">
        <f>SUM(CG221:CG226)</f>
        <v>1</v>
      </c>
      <c r="CH227" s="62">
        <f>SUM(CH221:CH226)</f>
        <v>0.48009451399999997</v>
      </c>
      <c r="CI227" s="62">
        <f>SUM(CI221:CI226)</f>
        <v>255.78453430240404</v>
      </c>
      <c r="CJ227" s="17"/>
      <c r="CK227" s="62">
        <f>SUM(CK221:CK226)</f>
        <v>1</v>
      </c>
      <c r="CL227" s="17"/>
      <c r="CM227" s="17"/>
      <c r="CN227" s="17"/>
      <c r="CO227" s="62">
        <f>SUM(CO221:CO226)</f>
        <v>20.97876417263458</v>
      </c>
      <c r="CP227" s="62">
        <f>SUM(CP221:CP226)</f>
        <v>5366.0434241372932</v>
      </c>
      <c r="CR227" s="61" t="s">
        <v>265</v>
      </c>
      <c r="CS227" s="13" t="s">
        <v>236</v>
      </c>
      <c r="CT227" s="13" t="s">
        <v>236</v>
      </c>
      <c r="CU227" s="13" t="s">
        <v>236</v>
      </c>
      <c r="CV227" s="106" t="s">
        <v>323</v>
      </c>
      <c r="CW227" s="13" t="s">
        <v>317</v>
      </c>
    </row>
    <row r="228" spans="2:150" ht="18" x14ac:dyDescent="0.25">
      <c r="B228" s="61" t="s">
        <v>279</v>
      </c>
      <c r="C228" s="13" t="s">
        <v>261</v>
      </c>
      <c r="D228" s="13">
        <v>1280</v>
      </c>
      <c r="E228" s="13">
        <f>D228*Btu_to_kJ</f>
        <v>1350.4768000000001</v>
      </c>
      <c r="F228" s="13">
        <f>E228*($T$206/1000)</f>
        <v>387.43026084040821</v>
      </c>
      <c r="G228" s="13">
        <v>1.06</v>
      </c>
      <c r="H228" s="13">
        <f>F228*G228</f>
        <v>410.67607649083271</v>
      </c>
      <c r="K228" s="3" t="s">
        <v>48</v>
      </c>
      <c r="L228" s="1" t="s">
        <v>90</v>
      </c>
      <c r="M228" s="3" t="s">
        <v>92</v>
      </c>
      <c r="N228" s="3" t="s">
        <v>88</v>
      </c>
      <c r="O228" s="4"/>
      <c r="P228" s="4"/>
      <c r="T228" s="3" t="s">
        <v>97</v>
      </c>
      <c r="U228" s="1" t="s">
        <v>94</v>
      </c>
      <c r="AC228" s="1"/>
      <c r="AD228" s="1"/>
      <c r="AE228" s="4"/>
      <c r="AF228" s="4"/>
      <c r="AG228" s="4"/>
      <c r="AH228" s="4"/>
      <c r="AI228" s="4"/>
      <c r="AJ228" s="4"/>
      <c r="AK228" s="4"/>
      <c r="AL228" s="4"/>
      <c r="AM228" s="4"/>
      <c r="BG228" s="1"/>
      <c r="BH228" s="1"/>
      <c r="BI228" s="1"/>
      <c r="BJ228" s="1"/>
      <c r="BK228" s="1"/>
      <c r="BM228" s="4" t="s">
        <v>41</v>
      </c>
      <c r="BN228" s="1" t="s">
        <v>89</v>
      </c>
      <c r="BO228" s="4" t="s">
        <v>284</v>
      </c>
      <c r="BP228" s="2" t="s">
        <v>91</v>
      </c>
      <c r="BQ228" s="2" t="s">
        <v>87</v>
      </c>
      <c r="BR228" s="2" t="s">
        <v>96</v>
      </c>
      <c r="BS228" s="2" t="s">
        <v>25</v>
      </c>
      <c r="BT228" s="2" t="s">
        <v>99</v>
      </c>
      <c r="BU228" s="2" t="s">
        <v>96</v>
      </c>
      <c r="BV228" s="2" t="s">
        <v>96</v>
      </c>
      <c r="BW228" s="2" t="s">
        <v>95</v>
      </c>
      <c r="BX228" s="2" t="s">
        <v>93</v>
      </c>
      <c r="CF228" s="1" t="s">
        <v>90</v>
      </c>
      <c r="CG228" s="1"/>
      <c r="CH228" s="3" t="s">
        <v>92</v>
      </c>
      <c r="CI228" s="3" t="s">
        <v>88</v>
      </c>
      <c r="CJ228" s="4"/>
      <c r="CK228" s="4"/>
      <c r="CO228" s="3" t="s">
        <v>97</v>
      </c>
      <c r="CP228" s="1" t="s">
        <v>94</v>
      </c>
      <c r="CR228" s="61" t="s">
        <v>99</v>
      </c>
      <c r="CS228" s="13" t="s">
        <v>589</v>
      </c>
      <c r="CT228" s="13" t="s">
        <v>463</v>
      </c>
      <c r="CU228" s="13" t="s">
        <v>48</v>
      </c>
      <c r="CV228" s="34" t="s">
        <v>99</v>
      </c>
      <c r="CW228" s="13" t="s">
        <v>48</v>
      </c>
    </row>
    <row r="229" spans="2:150" ht="18" x14ac:dyDescent="0.25">
      <c r="B229" s="3" t="s">
        <v>19</v>
      </c>
      <c r="E229" s="3">
        <f>SUM(E226:E228)</f>
        <v>73094.556800000006</v>
      </c>
      <c r="F229" s="3">
        <f>SUM(F226:F228)</f>
        <v>20969.662867987096</v>
      </c>
      <c r="G229" s="3">
        <v>1.06</v>
      </c>
      <c r="H229" s="3">
        <f>F229*G229</f>
        <v>22227.842640066323</v>
      </c>
      <c r="AC229" s="4"/>
      <c r="AD229" s="1" t="s">
        <v>577</v>
      </c>
      <c r="AE229" s="1" t="s">
        <v>578</v>
      </c>
      <c r="AF229" s="1" t="s">
        <v>580</v>
      </c>
      <c r="AG229" s="1" t="s">
        <v>86</v>
      </c>
      <c r="AH229" s="1" t="s">
        <v>6</v>
      </c>
      <c r="AI229" s="1" t="s">
        <v>7</v>
      </c>
      <c r="AJ229" s="1" t="s">
        <v>8</v>
      </c>
      <c r="AK229" s="1" t="s">
        <v>9</v>
      </c>
      <c r="AL229" s="1" t="s">
        <v>49</v>
      </c>
      <c r="AM229" s="1" t="s">
        <v>579</v>
      </c>
      <c r="AN229" s="1" t="s">
        <v>50</v>
      </c>
      <c r="BL229" s="318" t="s">
        <v>554</v>
      </c>
      <c r="BM229" s="17" t="s">
        <v>66</v>
      </c>
      <c r="BN229" s="17">
        <f>H2_to_coke_oven</f>
        <v>5.8592015710173317</v>
      </c>
      <c r="BO229" s="17">
        <f>BN229/$BN$233</f>
        <v>0.56136593456908357</v>
      </c>
      <c r="BP229" s="17">
        <f>MW_H*2</f>
        <v>2.0158800000000003E-3</v>
      </c>
      <c r="BQ229" s="17">
        <f>BN229/BP229</f>
        <v>2906.5229929446846</v>
      </c>
      <c r="BR229" s="17">
        <f>b_ch_H2</f>
        <v>236.1</v>
      </c>
      <c r="BS229" s="17">
        <f>BQ229/$BQ$233</f>
        <v>0.91544766952145873</v>
      </c>
      <c r="BT229" s="17">
        <f>LN(BS229)</f>
        <v>-8.8342077045854117E-2</v>
      </c>
      <c r="BU229" s="17">
        <f>RT0*BT229</f>
        <v>-0.20062212720095396</v>
      </c>
      <c r="BV229" s="17">
        <f>BR229+BU229</f>
        <v>235.89937787279905</v>
      </c>
      <c r="BW229" s="17">
        <f>BV229*BS229</f>
        <v>215.95353571521585</v>
      </c>
      <c r="BX229" s="17">
        <f>BW229*$BQ$233</f>
        <v>685646.96580863697</v>
      </c>
      <c r="CF229" s="1"/>
      <c r="CG229" s="1"/>
      <c r="CJ229" s="4"/>
      <c r="CK229" s="4"/>
      <c r="CP229" s="1"/>
      <c r="CR229" s="61" t="s">
        <v>266</v>
      </c>
      <c r="CS229" s="13">
        <f>0.2</f>
        <v>0.2</v>
      </c>
      <c r="CT229" s="61">
        <f>CS229*CO233</f>
        <v>13.916535151626732</v>
      </c>
      <c r="CU229" s="61">
        <f>3600*CT229</f>
        <v>50099.526545856235</v>
      </c>
      <c r="CV229" s="13">
        <v>1</v>
      </c>
      <c r="CW229" s="13">
        <f>CU229*CV229</f>
        <v>50099.526545856235</v>
      </c>
    </row>
    <row r="230" spans="2:150" ht="19" thickBot="1" x14ac:dyDescent="0.3">
      <c r="AC230" s="4" t="s">
        <v>41</v>
      </c>
      <c r="AD230" s="1" t="s">
        <v>89</v>
      </c>
      <c r="AE230" s="4" t="s">
        <v>284</v>
      </c>
      <c r="AF230" s="2" t="s">
        <v>91</v>
      </c>
      <c r="AG230" s="2" t="s">
        <v>87</v>
      </c>
      <c r="AH230" s="2" t="s">
        <v>96</v>
      </c>
      <c r="AI230" s="2" t="s">
        <v>25</v>
      </c>
      <c r="AJ230" s="2" t="s">
        <v>99</v>
      </c>
      <c r="AK230" s="2" t="s">
        <v>96</v>
      </c>
      <c r="AL230" s="2" t="s">
        <v>96</v>
      </c>
      <c r="AM230" s="2" t="s">
        <v>95</v>
      </c>
      <c r="AN230" s="2" t="s">
        <v>93</v>
      </c>
      <c r="BL230" s="318"/>
      <c r="BM230" s="3" t="s">
        <v>65</v>
      </c>
      <c r="BN230" s="3">
        <f>CH4_to_coke_oven</f>
        <v>4.0053644833975302</v>
      </c>
      <c r="BO230" s="3">
        <f>BN230/$BN$233</f>
        <v>0.3837511219334731</v>
      </c>
      <c r="BP230" s="3">
        <f>MW_CH4</f>
        <v>1.604276E-2</v>
      </c>
      <c r="BQ230" s="3">
        <f>BN230/BP230</f>
        <v>249.66804236911418</v>
      </c>
      <c r="BR230" s="3">
        <f>b_ch_CH4</f>
        <v>831.8</v>
      </c>
      <c r="BS230" s="3">
        <f>BQ230/$BQ$233</f>
        <v>7.8636235837663701E-2</v>
      </c>
      <c r="BT230" s="3">
        <f>LN(BS230)</f>
        <v>-2.5429226700357286</v>
      </c>
      <c r="BU230" s="3">
        <f>RT0*BT230</f>
        <v>-5.7748988073406355</v>
      </c>
      <c r="BV230" s="3">
        <f>BR230+BU230</f>
        <v>826.02510119265935</v>
      </c>
      <c r="BW230" s="3">
        <f>BV230*BS230</f>
        <v>64.955504665215983</v>
      </c>
      <c r="BX230" s="3">
        <f>BW230*$BQ$233</f>
        <v>206232.06996252068</v>
      </c>
    </row>
    <row r="231" spans="2:150" ht="18" customHeight="1" x14ac:dyDescent="0.25">
      <c r="AB231" s="318" t="s">
        <v>540</v>
      </c>
      <c r="AC231" s="17" t="s">
        <v>23</v>
      </c>
      <c r="AD231" s="8">
        <f>CO2_out_Coal_Ext</f>
        <v>1.5392874988770233</v>
      </c>
      <c r="AE231" s="8">
        <f>AD231/AD234</f>
        <v>0.20273905693891839</v>
      </c>
      <c r="AF231" s="1">
        <f>MW_CO2</f>
        <v>4.4009800000000002E-2</v>
      </c>
      <c r="AG231" s="1">
        <f>AD231/AF231</f>
        <v>34.97601667985365</v>
      </c>
      <c r="AH231" s="1">
        <f>b_ch_CO2</f>
        <v>19.900000000000034</v>
      </c>
      <c r="AI231" s="1">
        <f>AG231/$AG$234</f>
        <v>0.13297872340425532</v>
      </c>
      <c r="AJ231" s="1">
        <f>LN(AI231)</f>
        <v>-2.0175661379617487</v>
      </c>
      <c r="AK231" s="1">
        <f>RT0*AJ231</f>
        <v>-4.5818303565174681</v>
      </c>
      <c r="AL231" s="1">
        <f>AH231+AK231</f>
        <v>15.318169643482566</v>
      </c>
      <c r="AM231" s="1">
        <f>AL231*AI231</f>
        <v>2.0369906440801286</v>
      </c>
      <c r="AN231" s="8">
        <f>$AG$234*AM231</f>
        <v>535.76855695527411</v>
      </c>
      <c r="BL231" s="318"/>
      <c r="BM231" s="240" t="s">
        <v>24</v>
      </c>
      <c r="BN231" s="3">
        <f>O2_to_coke_oven</f>
        <v>0.37452468339450529</v>
      </c>
      <c r="BO231" s="3">
        <f>BN231/$BN$233</f>
        <v>3.5882943497443413E-2</v>
      </c>
      <c r="BP231" s="3">
        <f>MW_O2</f>
        <v>3.1998800000000001E-2</v>
      </c>
      <c r="BQ231" s="3">
        <f>BN231/BP231</f>
        <v>11.704335268650864</v>
      </c>
      <c r="BR231" s="3">
        <f>b_ch_O2</f>
        <v>4</v>
      </c>
      <c r="BS231" s="3">
        <f>BQ231/$BQ$233</f>
        <v>3.6864344341996287E-3</v>
      </c>
      <c r="BT231" s="3">
        <f>LN(BS231)</f>
        <v>-5.6030955660719171</v>
      </c>
      <c r="BU231" s="3">
        <f>RT0*BT231</f>
        <v>-12.724456894896331</v>
      </c>
      <c r="BV231" s="3">
        <f>BR231+BU231</f>
        <v>-8.7244568948963312</v>
      </c>
      <c r="BW231" s="3">
        <f>BV231*BS231</f>
        <v>-3.2162138317036203E-2</v>
      </c>
      <c r="BX231" s="3">
        <f>BW231*$BQ$233</f>
        <v>-102.11396853475932</v>
      </c>
      <c r="CO231" s="63" t="s">
        <v>1</v>
      </c>
      <c r="CP231" s="58" t="s">
        <v>0</v>
      </c>
      <c r="DH231" s="63" t="s">
        <v>1</v>
      </c>
      <c r="DI231" s="58" t="s">
        <v>0</v>
      </c>
      <c r="EM231" s="63" t="s">
        <v>1</v>
      </c>
      <c r="EN231" s="58" t="s">
        <v>0</v>
      </c>
    </row>
    <row r="232" spans="2:150" ht="18" x14ac:dyDescent="0.25">
      <c r="AB232" s="318"/>
      <c r="AC232" s="3" t="s">
        <v>68</v>
      </c>
      <c r="AD232" s="1">
        <f>H2O_out_Coal_Ext</f>
        <v>0.60384845319839076</v>
      </c>
      <c r="AE232" s="1">
        <f>AD232/AD234</f>
        <v>7.9532683806488189E-2</v>
      </c>
      <c r="AF232" s="6">
        <f>MW_H2O</f>
        <v>1.8015280000000002E-2</v>
      </c>
      <c r="AG232" s="1">
        <f t="shared" ref="AG232" si="113">AD232/AF232</f>
        <v>33.518682651526412</v>
      </c>
      <c r="AH232" s="6">
        <f>b_ch_H2O</f>
        <v>9.5113440000000082</v>
      </c>
      <c r="AI232" s="1">
        <f t="shared" ref="AI232:AI233" si="114">AG232/$AG$234</f>
        <v>0.12743794326241134</v>
      </c>
      <c r="AJ232" s="1">
        <f t="shared" ref="AJ232:AJ233" si="115">LN(AI232)</f>
        <v>-2.0601257523805443</v>
      </c>
      <c r="AK232" s="1">
        <f>RT0*AJ232</f>
        <v>-4.6784819257704671</v>
      </c>
      <c r="AL232" s="1">
        <f t="shared" ref="AL232:AL233" si="116">AH232+AK232</f>
        <v>4.8328620742295412</v>
      </c>
      <c r="AM232" s="1">
        <f>AL232*AI232</f>
        <v>0.61589000281072381</v>
      </c>
      <c r="AN232" s="1">
        <f t="shared" ref="AN232:AN233" si="117">$AG$234*AM232</f>
        <v>161.99117016469765</v>
      </c>
      <c r="BL232" s="318"/>
      <c r="BM232" s="7" t="s">
        <v>67</v>
      </c>
      <c r="BN232" s="3">
        <f>N2_to_coke_oven</f>
        <v>0.19831062591068094</v>
      </c>
      <c r="BO232" s="3">
        <f>BN232/$BN$233</f>
        <v>1.9000000000000003E-2</v>
      </c>
      <c r="BP232" s="3">
        <f>MW_N2</f>
        <v>2.801348E-2</v>
      </c>
      <c r="BQ232" s="3">
        <f>BN232/BP232</f>
        <v>7.0791142660847894</v>
      </c>
      <c r="BR232" s="3">
        <f>b_ch_N2</f>
        <v>0.7</v>
      </c>
      <c r="BS232" s="3">
        <f>BQ232/$BQ$233</f>
        <v>2.2296602066780094E-3</v>
      </c>
      <c r="BT232" s="3">
        <f>LN(BS232)</f>
        <v>-6.1059060788071502</v>
      </c>
      <c r="BU232" s="3">
        <f>RT0*BT232</f>
        <v>-13.866324032473202</v>
      </c>
      <c r="BV232" s="3">
        <f>BR232+BU232</f>
        <v>-13.166324032473202</v>
      </c>
      <c r="BW232" s="3">
        <f>BV232*BS232</f>
        <v>-2.9356428763433841E-2</v>
      </c>
      <c r="BX232" s="3">
        <f>BW232*$BQ$233</f>
        <v>-93.205912290176059</v>
      </c>
      <c r="CO232" s="65" t="s">
        <v>90</v>
      </c>
      <c r="CP232" s="64" t="s">
        <v>94</v>
      </c>
      <c r="DH232" s="65" t="s">
        <v>90</v>
      </c>
      <c r="DI232" s="64" t="s">
        <v>94</v>
      </c>
      <c r="EM232" s="65" t="s">
        <v>90</v>
      </c>
      <c r="EN232" s="64" t="s">
        <v>94</v>
      </c>
    </row>
    <row r="233" spans="2:150" ht="16" customHeight="1" thickBot="1" x14ac:dyDescent="0.3">
      <c r="AB233" s="318"/>
      <c r="AC233" s="7" t="s">
        <v>67</v>
      </c>
      <c r="AD233" s="28">
        <f>N2_in_Coal_Ext</f>
        <v>5.4493206871047848</v>
      </c>
      <c r="AE233" s="1">
        <f>AD233/AD234</f>
        <v>0.71772825925459338</v>
      </c>
      <c r="AF233" s="6">
        <f>MW_N2</f>
        <v>2.801348E-2</v>
      </c>
      <c r="AG233" s="1">
        <f>AD233/AF233</f>
        <v>194.52494610111935</v>
      </c>
      <c r="AH233" s="6">
        <f>MW_N2</f>
        <v>2.801348E-2</v>
      </c>
      <c r="AI233" s="1">
        <f t="shared" si="114"/>
        <v>0.73958333333333326</v>
      </c>
      <c r="AJ233" s="1">
        <f t="shared" si="115"/>
        <v>-0.30166831442652092</v>
      </c>
      <c r="AK233" s="1">
        <f>RT0*AJ233</f>
        <v>-0.68507942051171322</v>
      </c>
      <c r="AL233" s="1">
        <f t="shared" si="116"/>
        <v>-0.65706594051171319</v>
      </c>
      <c r="AM233" s="1">
        <f t="shared" ref="AM233" si="118">AL233*AI233</f>
        <v>-0.48595501850345452</v>
      </c>
      <c r="AN233" s="1">
        <f t="shared" si="117"/>
        <v>-127.81571666292231</v>
      </c>
      <c r="BM233" s="17" t="s">
        <v>19</v>
      </c>
      <c r="BN233" s="17">
        <f>SUM(BN229:BN232)</f>
        <v>10.437401363720047</v>
      </c>
      <c r="BO233" s="17">
        <f>SUM(BO229:BO232)</f>
        <v>1</v>
      </c>
      <c r="BP233" s="17"/>
      <c r="BQ233" s="17">
        <f>SUM(BQ229:BQ232)</f>
        <v>3174.9744848485343</v>
      </c>
      <c r="BR233" s="17">
        <f>SUM(BR229:BR232)</f>
        <v>1072.5999999999999</v>
      </c>
      <c r="BS233" s="17">
        <f>SUM(BS229:BS232)</f>
        <v>1</v>
      </c>
      <c r="BT233" s="17"/>
      <c r="BU233" s="17"/>
      <c r="BV233" s="17"/>
      <c r="BW233" s="17">
        <f>SUM(BW229:BW232)</f>
        <v>280.84752181335136</v>
      </c>
      <c r="BX233" s="17">
        <f>SUM(BX229:BX232)</f>
        <v>891683.71589033271</v>
      </c>
      <c r="CK233" s="3" t="s">
        <v>547</v>
      </c>
      <c r="CO233" s="50">
        <f>CF243</f>
        <v>69.582675758133661</v>
      </c>
      <c r="CP233" s="48">
        <f>CP243</f>
        <v>5935408.0537775028</v>
      </c>
      <c r="CR233" s="310" t="s">
        <v>462</v>
      </c>
      <c r="CS233" s="310"/>
      <c r="CT233" s="310"/>
      <c r="CU233" s="310"/>
      <c r="CV233" s="310"/>
      <c r="DD233" s="3" t="s">
        <v>543</v>
      </c>
      <c r="DH233" s="50">
        <f>CY241</f>
        <v>69.582675758133661</v>
      </c>
      <c r="DI233" s="48">
        <f>DI241</f>
        <v>5944558.1059355522</v>
      </c>
      <c r="EH233" s="3" t="s">
        <v>543</v>
      </c>
      <c r="EM233" s="50">
        <f>ED241</f>
        <v>10.437401363720047</v>
      </c>
      <c r="EN233" s="48">
        <f>EN241</f>
        <v>891683.71589033271</v>
      </c>
      <c r="EP233" s="345" t="s">
        <v>424</v>
      </c>
      <c r="EQ233" s="346"/>
      <c r="ER233" s="346"/>
      <c r="ES233" s="346"/>
      <c r="ET233" s="346"/>
    </row>
    <row r="234" spans="2:150" ht="18" customHeight="1" thickBot="1" x14ac:dyDescent="0.3">
      <c r="T234" s="63" t="s">
        <v>1</v>
      </c>
      <c r="U234" s="58" t="s">
        <v>0</v>
      </c>
      <c r="AB234" s="318"/>
      <c r="AC234" s="17" t="s">
        <v>19</v>
      </c>
      <c r="AD234" s="1">
        <f>SUM(AD231:AD233)</f>
        <v>7.5924566391801989</v>
      </c>
      <c r="AE234" s="8">
        <f>SUM(AE231:AE233)</f>
        <v>1</v>
      </c>
      <c r="AF234" s="8">
        <f>SUM(AF231:AF233)</f>
        <v>9.0038560000000004E-2</v>
      </c>
      <c r="AG234" s="8">
        <f>SUM(AG231:AG233)</f>
        <v>263.01964543249943</v>
      </c>
      <c r="AH234" s="62"/>
      <c r="AI234" s="8">
        <f>SUM(AI231:AI233)</f>
        <v>0.99999999999999989</v>
      </c>
      <c r="AJ234" s="17"/>
      <c r="AK234" s="17"/>
      <c r="AL234" s="17"/>
      <c r="AM234" s="8">
        <f>SUM(AM231:AM233)</f>
        <v>2.1669256283873981</v>
      </c>
      <c r="AN234" s="8">
        <f>SUM(AN231:AN233)</f>
        <v>569.94401045704944</v>
      </c>
      <c r="BG234" s="1"/>
      <c r="BH234" s="1"/>
      <c r="BI234" s="1"/>
      <c r="BJ234" s="1"/>
      <c r="BK234" s="1"/>
      <c r="BN234" s="1" t="s">
        <v>90</v>
      </c>
      <c r="BO234" s="1"/>
      <c r="BP234" s="3" t="s">
        <v>92</v>
      </c>
      <c r="BQ234" s="3" t="s">
        <v>88</v>
      </c>
      <c r="BR234" s="4"/>
      <c r="BS234" s="4"/>
      <c r="BW234" s="3" t="s">
        <v>97</v>
      </c>
      <c r="BX234" s="1" t="s">
        <v>94</v>
      </c>
      <c r="CR234" s="310"/>
      <c r="CS234" s="310"/>
      <c r="CT234" s="310"/>
      <c r="CU234" s="310"/>
      <c r="CV234" s="310"/>
      <c r="EP234" s="346"/>
      <c r="EQ234" s="346"/>
      <c r="ER234" s="346"/>
      <c r="ES234" s="346"/>
      <c r="ET234" s="346"/>
    </row>
    <row r="235" spans="2:150" ht="18" x14ac:dyDescent="0.25">
      <c r="T235" s="65" t="s">
        <v>90</v>
      </c>
      <c r="U235" s="64" t="s">
        <v>94</v>
      </c>
      <c r="AD235" s="1" t="s">
        <v>90</v>
      </c>
      <c r="AE235" s="1"/>
      <c r="AF235" s="3" t="s">
        <v>92</v>
      </c>
      <c r="AG235" s="3" t="s">
        <v>88</v>
      </c>
      <c r="AH235" s="4"/>
      <c r="AI235" s="4"/>
      <c r="AM235" s="3" t="s">
        <v>97</v>
      </c>
      <c r="AN235" s="1" t="s">
        <v>94</v>
      </c>
      <c r="CE235" s="4"/>
      <c r="CF235" s="1" t="s">
        <v>577</v>
      </c>
      <c r="CG235" s="1" t="s">
        <v>578</v>
      </c>
      <c r="CH235" s="1" t="s">
        <v>580</v>
      </c>
      <c r="CI235" s="1" t="s">
        <v>86</v>
      </c>
      <c r="CJ235" s="1" t="s">
        <v>6</v>
      </c>
      <c r="CK235" s="1" t="s">
        <v>7</v>
      </c>
      <c r="CL235" s="1" t="s">
        <v>8</v>
      </c>
      <c r="CM235" s="1" t="s">
        <v>9</v>
      </c>
      <c r="CN235" s="1" t="s">
        <v>49</v>
      </c>
      <c r="CO235" s="1" t="s">
        <v>579</v>
      </c>
      <c r="CP235" s="1" t="s">
        <v>50</v>
      </c>
      <c r="CR235" s="22" t="s">
        <v>434</v>
      </c>
      <c r="CS235" s="22" t="s">
        <v>489</v>
      </c>
      <c r="CT235" s="162" t="s">
        <v>338</v>
      </c>
      <c r="CU235" s="314" t="s">
        <v>345</v>
      </c>
      <c r="CV235" s="139" t="s">
        <v>318</v>
      </c>
      <c r="CX235" s="4"/>
      <c r="CY235" s="1" t="s">
        <v>577</v>
      </c>
      <c r="CZ235" s="1" t="s">
        <v>578</v>
      </c>
      <c r="DA235" s="1" t="s">
        <v>580</v>
      </c>
      <c r="DB235" s="1" t="s">
        <v>86</v>
      </c>
      <c r="DC235" s="1" t="s">
        <v>6</v>
      </c>
      <c r="DD235" s="1" t="s">
        <v>7</v>
      </c>
      <c r="DE235" s="1" t="s">
        <v>8</v>
      </c>
      <c r="DF235" s="1" t="s">
        <v>9</v>
      </c>
      <c r="DG235" s="1" t="s">
        <v>49</v>
      </c>
      <c r="DH235" s="1" t="s">
        <v>579</v>
      </c>
      <c r="DI235" s="1" t="s">
        <v>50</v>
      </c>
      <c r="EC235" s="4"/>
      <c r="ED235" s="1" t="s">
        <v>577</v>
      </c>
      <c r="EE235" s="1" t="s">
        <v>578</v>
      </c>
      <c r="EF235" s="1" t="s">
        <v>580</v>
      </c>
      <c r="EG235" s="1" t="s">
        <v>86</v>
      </c>
      <c r="EH235" s="1" t="s">
        <v>6</v>
      </c>
      <c r="EI235" s="1" t="s">
        <v>7</v>
      </c>
      <c r="EJ235" s="1" t="s">
        <v>8</v>
      </c>
      <c r="EK235" s="1" t="s">
        <v>9</v>
      </c>
      <c r="EL235" s="1" t="s">
        <v>49</v>
      </c>
      <c r="EM235" s="1" t="s">
        <v>579</v>
      </c>
      <c r="EN235" s="1" t="s">
        <v>50</v>
      </c>
      <c r="EP235" s="346"/>
      <c r="EQ235" s="346"/>
      <c r="ER235" s="346"/>
      <c r="ES235" s="346"/>
      <c r="ET235" s="346"/>
    </row>
    <row r="236" spans="2:150" ht="19" thickBot="1" x14ac:dyDescent="0.3">
      <c r="P236" s="3" t="s">
        <v>560</v>
      </c>
      <c r="T236" s="50">
        <f>K242</f>
        <v>7.104790060854917</v>
      </c>
      <c r="U236" s="48">
        <f>U242</f>
        <v>9.9856594755010616E-2</v>
      </c>
      <c r="CE236" s="4" t="s">
        <v>41</v>
      </c>
      <c r="CF236" s="1" t="s">
        <v>89</v>
      </c>
      <c r="CG236" s="4" t="s">
        <v>284</v>
      </c>
      <c r="CH236" s="2" t="s">
        <v>91</v>
      </c>
      <c r="CI236" s="2" t="s">
        <v>87</v>
      </c>
      <c r="CJ236" s="2" t="s">
        <v>96</v>
      </c>
      <c r="CK236" s="2" t="s">
        <v>25</v>
      </c>
      <c r="CL236" s="2" t="s">
        <v>99</v>
      </c>
      <c r="CM236" s="2" t="s">
        <v>96</v>
      </c>
      <c r="CN236" s="2" t="s">
        <v>96</v>
      </c>
      <c r="CO236" s="2" t="s">
        <v>95</v>
      </c>
      <c r="CP236" s="2" t="s">
        <v>93</v>
      </c>
      <c r="CR236" s="214" t="s">
        <v>48</v>
      </c>
      <c r="CS236" s="9" t="s">
        <v>48</v>
      </c>
      <c r="CT236" s="1" t="s">
        <v>90</v>
      </c>
      <c r="CU236" s="315"/>
      <c r="CV236" s="137" t="s">
        <v>83</v>
      </c>
      <c r="CX236" s="4" t="s">
        <v>41</v>
      </c>
      <c r="CY236" s="1" t="s">
        <v>89</v>
      </c>
      <c r="CZ236" s="4" t="s">
        <v>284</v>
      </c>
      <c r="DA236" s="2" t="s">
        <v>91</v>
      </c>
      <c r="DB236" s="2" t="s">
        <v>87</v>
      </c>
      <c r="DC236" s="2" t="s">
        <v>96</v>
      </c>
      <c r="DD236" s="2" t="s">
        <v>25</v>
      </c>
      <c r="DE236" s="2" t="s">
        <v>99</v>
      </c>
      <c r="DF236" s="2" t="s">
        <v>96</v>
      </c>
      <c r="DG236" s="2" t="s">
        <v>96</v>
      </c>
      <c r="DH236" s="2" t="s">
        <v>95</v>
      </c>
      <c r="DI236" s="2" t="s">
        <v>93</v>
      </c>
      <c r="EC236" s="4" t="s">
        <v>41</v>
      </c>
      <c r="ED236" s="1" t="s">
        <v>89</v>
      </c>
      <c r="EE236" s="4" t="s">
        <v>284</v>
      </c>
      <c r="EF236" s="2" t="s">
        <v>91</v>
      </c>
      <c r="EG236" s="2" t="s">
        <v>87</v>
      </c>
      <c r="EH236" s="2" t="s">
        <v>96</v>
      </c>
      <c r="EI236" s="2" t="s">
        <v>25</v>
      </c>
      <c r="EJ236" s="2" t="s">
        <v>99</v>
      </c>
      <c r="EK236" s="2" t="s">
        <v>96</v>
      </c>
      <c r="EL236" s="2" t="s">
        <v>96</v>
      </c>
      <c r="EM236" s="2" t="s">
        <v>95</v>
      </c>
      <c r="EN236" s="2" t="s">
        <v>93</v>
      </c>
    </row>
    <row r="237" spans="2:150" ht="18" thickBot="1" x14ac:dyDescent="0.3">
      <c r="CD237" s="318" t="s">
        <v>547</v>
      </c>
      <c r="CE237" s="17" t="s">
        <v>66</v>
      </c>
      <c r="CF237" s="17">
        <f>$CF$243*CG237</f>
        <v>39.801290533652448</v>
      </c>
      <c r="CG237" s="17">
        <v>0.57199999999999995</v>
      </c>
      <c r="CH237" s="17">
        <f>MW_H*2</f>
        <v>2.0158800000000003E-3</v>
      </c>
      <c r="CI237" s="17">
        <f t="shared" ref="CI237:CI242" si="119">CF237/CH237</f>
        <v>19743.878868609463</v>
      </c>
      <c r="CJ237" s="17">
        <f>b_ch_H2</f>
        <v>236.1</v>
      </c>
      <c r="CK237" s="17">
        <f>CI237/$CI$243</f>
        <v>0.92235600940319784</v>
      </c>
      <c r="CL237" s="17">
        <f>LN(CK237)</f>
        <v>-8.0824002618162957E-2</v>
      </c>
      <c r="CM237" s="17">
        <f t="shared" ref="CM237:CM242" si="120">RT0*CL237</f>
        <v>-0.18354881248416716</v>
      </c>
      <c r="CN237" s="17">
        <f>CJ237+CM237</f>
        <v>235.91645118751583</v>
      </c>
      <c r="CO237" s="17">
        <f>CK237*CN237</f>
        <v>217.59895646988141</v>
      </c>
      <c r="CP237" s="17">
        <f>CO237*$CI$243</f>
        <v>4657905.8353585294</v>
      </c>
      <c r="CR237" s="105">
        <f>CP233+CW229-DI233</f>
        <v>40949.47438780684</v>
      </c>
      <c r="CS237" s="100">
        <f>DI233-CW229-CP233</f>
        <v>-40949.47438780684</v>
      </c>
      <c r="CT237" s="142">
        <f>DH233-CO233</f>
        <v>0</v>
      </c>
      <c r="CU237" s="140" t="s">
        <v>342</v>
      </c>
      <c r="CV237" s="137">
        <f>((DB238*(DH238-CO242)))/CW229</f>
        <v>0.32384219142951498</v>
      </c>
      <c r="CW237" s="319" t="s">
        <v>543</v>
      </c>
      <c r="CX237" s="17" t="s">
        <v>66</v>
      </c>
      <c r="CY237" s="17">
        <f>H2_out_COtreatment</f>
        <v>39.061343806782212</v>
      </c>
      <c r="CZ237" s="17">
        <f>CY237/$CY$241</f>
        <v>0.56136593456908346</v>
      </c>
      <c r="DA237" s="17">
        <f>MW_H*2</f>
        <v>2.0158800000000003E-3</v>
      </c>
      <c r="DB237" s="17">
        <f>CY237/DA237</f>
        <v>19376.819952964564</v>
      </c>
      <c r="DC237" s="17">
        <f>b_ch_H2</f>
        <v>236.1</v>
      </c>
      <c r="DD237" s="17">
        <f>DB237/$DB$241</f>
        <v>0.91544766952145851</v>
      </c>
      <c r="DE237" s="17">
        <f>LN(DD237)</f>
        <v>-8.8342077045854353E-2</v>
      </c>
      <c r="DF237" s="17">
        <f>RT0*DE237</f>
        <v>-0.20062212720095451</v>
      </c>
      <c r="DG237" s="17">
        <f>DC237+DF237</f>
        <v>235.89937787279905</v>
      </c>
      <c r="DH237" s="17">
        <f>DG237*DD237</f>
        <v>215.95353571521579</v>
      </c>
      <c r="DI237" s="17">
        <f>DH237*$DB$241</f>
        <v>4570979.7720575798</v>
      </c>
      <c r="EB237" s="344" t="s">
        <v>543</v>
      </c>
      <c r="EC237" s="17" t="s">
        <v>66</v>
      </c>
      <c r="ED237" s="17">
        <f>H2_to_coke_oven</f>
        <v>5.8592015710173317</v>
      </c>
      <c r="EE237" s="17">
        <f>ED237/$BN$233</f>
        <v>0.56136593456908357</v>
      </c>
      <c r="EF237" s="17">
        <f>MW_H*2</f>
        <v>2.0158800000000003E-3</v>
      </c>
      <c r="EG237" s="17">
        <f>ED237/EF237</f>
        <v>2906.5229929446846</v>
      </c>
      <c r="EH237" s="17">
        <f>b_ch_H2</f>
        <v>236.1</v>
      </c>
      <c r="EI237" s="17">
        <f>EG237/$BQ$233</f>
        <v>0.91544766952145873</v>
      </c>
      <c r="EJ237" s="17">
        <f>LN(EI237)</f>
        <v>-8.8342077045854117E-2</v>
      </c>
      <c r="EK237" s="17">
        <f>RT0*EJ237</f>
        <v>-0.20062212720095396</v>
      </c>
      <c r="EL237" s="17">
        <f>EH237+EK237</f>
        <v>235.89937787279905</v>
      </c>
      <c r="EM237" s="17">
        <f>EL237*EI237</f>
        <v>215.95353571521585</v>
      </c>
      <c r="EN237" s="17">
        <f>EM237*$BQ$233</f>
        <v>685646.96580863697</v>
      </c>
    </row>
    <row r="238" spans="2:150" ht="18" x14ac:dyDescent="0.25">
      <c r="E238" s="312" t="s">
        <v>538</v>
      </c>
      <c r="F238" s="312"/>
      <c r="G238" s="312"/>
      <c r="H238" s="312"/>
      <c r="J238" s="4"/>
      <c r="K238" s="1" t="s">
        <v>577</v>
      </c>
      <c r="L238" s="1" t="s">
        <v>578</v>
      </c>
      <c r="M238" s="1" t="s">
        <v>580</v>
      </c>
      <c r="N238" s="1" t="s">
        <v>86</v>
      </c>
      <c r="O238" s="1" t="s">
        <v>6</v>
      </c>
      <c r="P238" s="1" t="s">
        <v>7</v>
      </c>
      <c r="Q238" s="1" t="s">
        <v>8</v>
      </c>
      <c r="R238" s="1" t="s">
        <v>9</v>
      </c>
      <c r="S238" s="1" t="s">
        <v>49</v>
      </c>
      <c r="T238" s="1" t="s">
        <v>579</v>
      </c>
      <c r="U238" s="1" t="s">
        <v>50</v>
      </c>
      <c r="CD238" s="318"/>
      <c r="CE238" s="4" t="s">
        <v>372</v>
      </c>
      <c r="CF238" s="3">
        <f t="shared" ref="CF238:CF242" si="121">$CF$243*CG238</f>
        <v>1.3916535151626732</v>
      </c>
      <c r="CG238" s="3">
        <v>0.02</v>
      </c>
      <c r="CH238" s="3">
        <f>MW_C2H4</f>
        <v>2.8053759999999997E-2</v>
      </c>
      <c r="CI238" s="3">
        <f t="shared" si="119"/>
        <v>49.60666645621383</v>
      </c>
      <c r="CJ238" s="3" cm="1">
        <f t="array" ref="CJ238">b_ch_C2H4</f>
        <v>1361.23</v>
      </c>
      <c r="CK238" s="3">
        <f t="shared" ref="CK238:CK242" si="122">CI238/$CI$243</f>
        <v>2.3174274526721371E-3</v>
      </c>
      <c r="CL238" s="3">
        <f t="shared" ref="CL238:CL242" si="123">LN(CK238)</f>
        <v>-6.0672975651470908</v>
      </c>
      <c r="CM238" s="3">
        <f t="shared" si="120"/>
        <v>-13.778645290954278</v>
      </c>
      <c r="CN238" s="3">
        <f t="shared" ref="CN238:CN242" si="124">CJ238+CM238</f>
        <v>1347.4513547090457</v>
      </c>
      <c r="CO238" s="3">
        <f t="shared" ref="CO238:CO242" si="125">CK238*CN238</f>
        <v>3.1226207605430041</v>
      </c>
      <c r="CP238" s="3">
        <f t="shared" ref="CP238:CP242" si="126">CO238*$CI$243</f>
        <v>66842.569919025103</v>
      </c>
      <c r="CR238" s="4"/>
      <c r="CS238" s="4"/>
      <c r="CU238" s="140" t="s">
        <v>343</v>
      </c>
      <c r="CV238" s="137">
        <f>DI233/(CP233+CW229)</f>
        <v>0.99315856277211589</v>
      </c>
      <c r="CW238" s="319"/>
      <c r="CX238" s="3" t="s">
        <v>65</v>
      </c>
      <c r="CY238" s="3">
        <f>CH4_out_COtreatment</f>
        <v>26.702429889316871</v>
      </c>
      <c r="CZ238" s="3">
        <f t="shared" ref="CZ238:CZ240" si="127">CY238/$CY$241</f>
        <v>0.38375112193347305</v>
      </c>
      <c r="DA238" s="3">
        <f>MW_CH4</f>
        <v>1.604276E-2</v>
      </c>
      <c r="DB238" s="3">
        <f t="shared" ref="DB238:DB240" si="128">CY238/DA238</f>
        <v>1664.4536157940947</v>
      </c>
      <c r="DC238" s="3">
        <f>b_ch_CH4</f>
        <v>831.8</v>
      </c>
      <c r="DD238" s="3">
        <f t="shared" ref="DD238:DD240" si="129">DB238/$DB$241</f>
        <v>7.8636235837663701E-2</v>
      </c>
      <c r="DE238" s="3">
        <f t="shared" ref="DE238:DE240" si="130">LN(DD238)</f>
        <v>-2.5429226700357286</v>
      </c>
      <c r="DF238" s="3">
        <f>RT0*DE238</f>
        <v>-5.7748988073406355</v>
      </c>
      <c r="DG238" s="3">
        <f t="shared" ref="DG238:DG240" si="131">DC238+DF238</f>
        <v>826.02510119265935</v>
      </c>
      <c r="DH238" s="3">
        <f t="shared" ref="DH238:DH240" si="132">DG238*DD238</f>
        <v>64.955504665215983</v>
      </c>
      <c r="DI238" s="3">
        <f t="shared" ref="DI238:DI240" si="133">DH238*$DB$241</f>
        <v>1374880.4664168048</v>
      </c>
      <c r="EB238" s="344"/>
      <c r="EC238" s="3" t="s">
        <v>65</v>
      </c>
      <c r="ED238" s="3">
        <f>CH4_to_coke_oven</f>
        <v>4.0053644833975302</v>
      </c>
      <c r="EE238" s="3">
        <f>ED238/$BN$233</f>
        <v>0.3837511219334731</v>
      </c>
      <c r="EF238" s="3">
        <f>MW_CH4</f>
        <v>1.604276E-2</v>
      </c>
      <c r="EG238" s="3">
        <f>ED238/EF238</f>
        <v>249.66804236911418</v>
      </c>
      <c r="EH238" s="3">
        <f>b_ch_CH4</f>
        <v>831.8</v>
      </c>
      <c r="EI238" s="3">
        <f>EG238/$BQ$233</f>
        <v>7.8636235837663701E-2</v>
      </c>
      <c r="EJ238" s="3">
        <f>LN(EI238)</f>
        <v>-2.5429226700357286</v>
      </c>
      <c r="EK238" s="3">
        <f>RT0*EJ238</f>
        <v>-5.7748988073406355</v>
      </c>
      <c r="EL238" s="3">
        <f>EH238+EK238</f>
        <v>826.02510119265935</v>
      </c>
      <c r="EM238" s="3">
        <f>EL238*EI238</f>
        <v>64.955504665215983</v>
      </c>
      <c r="EN238" s="3">
        <f>EM238*$BQ$233</f>
        <v>206232.06996252068</v>
      </c>
    </row>
    <row r="239" spans="2:150" ht="19" thickBot="1" x14ac:dyDescent="0.3">
      <c r="E239" s="312"/>
      <c r="F239" s="312"/>
      <c r="G239" s="312"/>
      <c r="H239" s="312"/>
      <c r="J239" s="4" t="s">
        <v>41</v>
      </c>
      <c r="K239" s="1" t="s">
        <v>89</v>
      </c>
      <c r="L239" s="4" t="s">
        <v>284</v>
      </c>
      <c r="M239" s="2" t="s">
        <v>91</v>
      </c>
      <c r="N239" s="2" t="s">
        <v>87</v>
      </c>
      <c r="O239" s="2" t="s">
        <v>96</v>
      </c>
      <c r="P239" s="2" t="s">
        <v>25</v>
      </c>
      <c r="Q239" s="2" t="s">
        <v>99</v>
      </c>
      <c r="R239" s="2" t="s">
        <v>96</v>
      </c>
      <c r="S239" s="2" t="s">
        <v>96</v>
      </c>
      <c r="T239" s="2" t="s">
        <v>95</v>
      </c>
      <c r="U239" s="2" t="s">
        <v>93</v>
      </c>
      <c r="CD239" s="318"/>
      <c r="CE239" s="3" t="s">
        <v>123</v>
      </c>
      <c r="CF239" s="3">
        <f t="shared" si="121"/>
        <v>3.1312204091160147</v>
      </c>
      <c r="CG239" s="3">
        <v>4.4999999999999998E-2</v>
      </c>
      <c r="CH239" s="3">
        <f>MW_CO</f>
        <v>2.8010399999999998E-2</v>
      </c>
      <c r="CI239" s="3">
        <f t="shared" si="119"/>
        <v>111.78777915045893</v>
      </c>
      <c r="CJ239" s="3">
        <f>b_ch_CO</f>
        <v>275.02296000000001</v>
      </c>
      <c r="CK239" s="3">
        <f t="shared" si="122"/>
        <v>5.2222833498636167E-3</v>
      </c>
      <c r="CL239" s="3">
        <f t="shared" si="123"/>
        <v>-5.254820549383771</v>
      </c>
      <c r="CM239" s="3">
        <f t="shared" si="120"/>
        <v>-11.933535093695568</v>
      </c>
      <c r="CN239" s="3">
        <f t="shared" si="124"/>
        <v>263.08942490630443</v>
      </c>
      <c r="CO239" s="3">
        <f>CK239*CN239</f>
        <v>1.3739275232133878</v>
      </c>
      <c r="CP239" s="3">
        <f t="shared" si="126"/>
        <v>29410.182528247205</v>
      </c>
      <c r="CR239" s="4"/>
      <c r="CS239" s="4"/>
      <c r="CU239" s="141" t="s">
        <v>409</v>
      </c>
      <c r="CV239" s="138">
        <f>DI238/(CP233+CW229)</f>
        <v>0.22970156631938118</v>
      </c>
      <c r="CW239" s="319"/>
      <c r="CX239" s="240" t="s">
        <v>24</v>
      </c>
      <c r="CY239" s="3">
        <f>O2_out_COtreatment</f>
        <v>2.4968312226300351</v>
      </c>
      <c r="CZ239" s="3">
        <f t="shared" si="127"/>
        <v>3.5882943497443406E-2</v>
      </c>
      <c r="DA239" s="3">
        <f>MW_O2</f>
        <v>3.1998800000000001E-2</v>
      </c>
      <c r="DB239" s="3">
        <f t="shared" si="128"/>
        <v>78.028901791005751</v>
      </c>
      <c r="DC239" s="3">
        <f>b_ch_O2</f>
        <v>4</v>
      </c>
      <c r="DD239" s="3">
        <f t="shared" si="129"/>
        <v>3.6864344341996274E-3</v>
      </c>
      <c r="DE239" s="3">
        <f t="shared" si="130"/>
        <v>-5.6030955660719179</v>
      </c>
      <c r="DF239" s="3">
        <f>RT0*DE239</f>
        <v>-12.724456894896333</v>
      </c>
      <c r="DG239" s="3">
        <f t="shared" si="131"/>
        <v>-8.724456894896333</v>
      </c>
      <c r="DH239" s="3">
        <f t="shared" si="132"/>
        <v>-3.2162138317036203E-2</v>
      </c>
      <c r="DI239" s="3">
        <f t="shared" si="133"/>
        <v>-680.75979023172897</v>
      </c>
      <c r="EB239" s="344"/>
      <c r="EC239" s="240" t="s">
        <v>24</v>
      </c>
      <c r="ED239" s="3">
        <f>O2_to_coke_oven</f>
        <v>0.37452468339450529</v>
      </c>
      <c r="EE239" s="3">
        <f>ED239/$BN$233</f>
        <v>3.5882943497443413E-2</v>
      </c>
      <c r="EF239" s="3">
        <f>MW_O2</f>
        <v>3.1998800000000001E-2</v>
      </c>
      <c r="EG239" s="3">
        <f>ED239/EF239</f>
        <v>11.704335268650864</v>
      </c>
      <c r="EH239" s="3">
        <f>b_ch_O2</f>
        <v>4</v>
      </c>
      <c r="EI239" s="3">
        <f>EG239/$BQ$233</f>
        <v>3.6864344341996287E-3</v>
      </c>
      <c r="EJ239" s="3">
        <f>LN(EI239)</f>
        <v>-5.6030955660719171</v>
      </c>
      <c r="EK239" s="3">
        <f>RT0*EJ239</f>
        <v>-12.724456894896331</v>
      </c>
      <c r="EL239" s="3">
        <f>EH239+EK239</f>
        <v>-8.7244568948963312</v>
      </c>
      <c r="EM239" s="3">
        <f>EL239*EI239</f>
        <v>-3.2162138317036203E-2</v>
      </c>
      <c r="EN239" s="3">
        <f>EM239*$BQ$233</f>
        <v>-102.11396853475932</v>
      </c>
    </row>
    <row r="240" spans="2:150" ht="18" customHeight="1" x14ac:dyDescent="0.25">
      <c r="I240" s="318" t="s">
        <v>544</v>
      </c>
      <c r="J240" s="8" t="s">
        <v>304</v>
      </c>
      <c r="K240" s="17">
        <f>O2_in_Coal_Ext</f>
        <v>1.6554693737501325</v>
      </c>
      <c r="L240" s="17">
        <f>K240/$BN$248</f>
        <v>2.9723052172502405E-3</v>
      </c>
      <c r="M240" s="3">
        <f>MW_O2</f>
        <v>3.1998800000000001E-2</v>
      </c>
      <c r="N240" s="3">
        <f>L240/M240</f>
        <v>9.2888021339870258E-2</v>
      </c>
      <c r="O240" s="3">
        <f>b_ch_O2</f>
        <v>4</v>
      </c>
      <c r="P240" s="3">
        <f>N240/N242</f>
        <v>0.21008403361344538</v>
      </c>
      <c r="Q240" s="1">
        <f>LN(P240)</f>
        <v>-1.5602476682433286</v>
      </c>
      <c r="R240" s="1">
        <f>RT0*Q240</f>
        <v>-3.5432742429276503</v>
      </c>
      <c r="S240" s="1">
        <f>O240+R240</f>
        <v>0.45672575707234975</v>
      </c>
      <c r="T240" s="1">
        <f>S240*P240</f>
        <v>9.5950789300913816E-2</v>
      </c>
      <c r="U240" s="1">
        <f>N242*T240</f>
        <v>4.2424351869404825E-2</v>
      </c>
      <c r="BW240" s="63" t="s">
        <v>1</v>
      </c>
      <c r="BX240" s="58" t="s">
        <v>0</v>
      </c>
      <c r="CD240" s="318"/>
      <c r="CE240" s="7" t="s">
        <v>64</v>
      </c>
      <c r="CF240" s="3">
        <f t="shared" si="121"/>
        <v>0.97415746061387132</v>
      </c>
      <c r="CG240" s="3">
        <v>1.4E-2</v>
      </c>
      <c r="CH240" s="3">
        <f>MW_CO2</f>
        <v>4.4009800000000002E-2</v>
      </c>
      <c r="CI240" s="3">
        <f t="shared" si="119"/>
        <v>22.135012215776289</v>
      </c>
      <c r="CJ240" s="3">
        <f>b_ch_CO2</f>
        <v>19.900000000000034</v>
      </c>
      <c r="CK240" s="3">
        <f t="shared" si="122"/>
        <v>1.0340603116186133E-3</v>
      </c>
      <c r="CL240" s="3">
        <f t="shared" si="123"/>
        <v>-6.8742621761456677</v>
      </c>
      <c r="CM240" s="3">
        <f t="shared" si="120"/>
        <v>-15.611236987325567</v>
      </c>
      <c r="CN240" s="3">
        <f t="shared" si="124"/>
        <v>4.2887630126744671</v>
      </c>
      <c r="CO240" s="3">
        <f t="shared" si="125"/>
        <v>4.4348396173445421E-3</v>
      </c>
      <c r="CP240" s="3">
        <f t="shared" si="126"/>
        <v>94.931821676118844</v>
      </c>
      <c r="CW240" s="319"/>
      <c r="CX240" s="7" t="s">
        <v>67</v>
      </c>
      <c r="CY240" s="3">
        <f>N2_out_COtreatment</f>
        <v>1.3220708394045395</v>
      </c>
      <c r="CZ240" s="3">
        <f t="shared" si="127"/>
        <v>1.9E-2</v>
      </c>
      <c r="DA240" s="3">
        <f>MW_N2</f>
        <v>2.801348E-2</v>
      </c>
      <c r="DB240" s="3">
        <f t="shared" si="128"/>
        <v>47.194095107231931</v>
      </c>
      <c r="DC240" s="3">
        <f>b_ch_N2</f>
        <v>0.7</v>
      </c>
      <c r="DD240" s="3">
        <f t="shared" si="129"/>
        <v>2.229660206678009E-3</v>
      </c>
      <c r="DE240" s="3">
        <f t="shared" si="130"/>
        <v>-6.1059060788071511</v>
      </c>
      <c r="DF240" s="3">
        <f>RT0*DE240</f>
        <v>-13.866324032473203</v>
      </c>
      <c r="DG240" s="3">
        <f t="shared" si="131"/>
        <v>-13.166324032473204</v>
      </c>
      <c r="DH240" s="3">
        <f t="shared" si="132"/>
        <v>-2.9356428763433841E-2</v>
      </c>
      <c r="DI240" s="3">
        <f t="shared" si="133"/>
        <v>-621.37274860117384</v>
      </c>
      <c r="EB240" s="344"/>
      <c r="EC240" s="7" t="s">
        <v>67</v>
      </c>
      <c r="ED240" s="3">
        <f>N2_to_coke_oven</f>
        <v>0.19831062591068094</v>
      </c>
      <c r="EE240" s="3">
        <f>ED240/$BN$233</f>
        <v>1.9000000000000003E-2</v>
      </c>
      <c r="EF240" s="3">
        <f>MW_N2</f>
        <v>2.801348E-2</v>
      </c>
      <c r="EG240" s="3">
        <f>ED240/EF240</f>
        <v>7.0791142660847894</v>
      </c>
      <c r="EH240" s="3">
        <f>b_ch_N2</f>
        <v>0.7</v>
      </c>
      <c r="EI240" s="3">
        <f>EG240/$BQ$233</f>
        <v>2.2296602066780094E-3</v>
      </c>
      <c r="EJ240" s="3">
        <f>LN(EI240)</f>
        <v>-6.1059060788071502</v>
      </c>
      <c r="EK240" s="3">
        <f>RT0*EJ240</f>
        <v>-13.866324032473202</v>
      </c>
      <c r="EL240" s="3">
        <f>EH240+EK240</f>
        <v>-13.166324032473202</v>
      </c>
      <c r="EM240" s="3">
        <f>EL240*EI240</f>
        <v>-2.9356428763433841E-2</v>
      </c>
      <c r="EN240" s="3">
        <f>EM240*$BQ$233</f>
        <v>-93.205912290176059</v>
      </c>
    </row>
    <row r="241" spans="9:144" ht="18" x14ac:dyDescent="0.25">
      <c r="I241" s="318"/>
      <c r="J241" s="60" t="s">
        <v>67</v>
      </c>
      <c r="K241" s="3">
        <f>N2_in_Coal_Ext</f>
        <v>5.4493206871047848</v>
      </c>
      <c r="L241" s="3">
        <f>K241/$BN$248</f>
        <v>9.783958897445549E-3</v>
      </c>
      <c r="M241" s="28">
        <f>MW_N2</f>
        <v>2.801348E-2</v>
      </c>
      <c r="N241" s="28">
        <f>L241/M241</f>
        <v>0.3492589602379122</v>
      </c>
      <c r="O241" s="28">
        <f>b_ch_N2</f>
        <v>0.7</v>
      </c>
      <c r="P241" s="28">
        <f>N241/N242</f>
        <v>0.7899159663865547</v>
      </c>
      <c r="Q241" s="2">
        <f>LN(P241)</f>
        <v>-0.23582871084152537</v>
      </c>
      <c r="R241" s="2">
        <f>RT0*Q241</f>
        <v>-0.53555971521393908</v>
      </c>
      <c r="S241" s="2">
        <f>O241+R241</f>
        <v>0.16444028478606088</v>
      </c>
      <c r="T241" s="2">
        <f>S241*P241</f>
        <v>0.12989400646966154</v>
      </c>
      <c r="U241" s="2">
        <f>N242*T241</f>
        <v>5.7432242885605791E-2</v>
      </c>
      <c r="BW241" s="65" t="s">
        <v>90</v>
      </c>
      <c r="BX241" s="64" t="s">
        <v>94</v>
      </c>
      <c r="CD241" s="318"/>
      <c r="CE241" s="7" t="s">
        <v>67</v>
      </c>
      <c r="CF241" s="3">
        <f t="shared" si="121"/>
        <v>1.3220708394045395</v>
      </c>
      <c r="CG241" s="3">
        <v>1.9E-2</v>
      </c>
      <c r="CH241" s="3">
        <f>MW_N2</f>
        <v>2.801348E-2</v>
      </c>
      <c r="CI241" s="3">
        <f t="shared" si="119"/>
        <v>47.194095107231931</v>
      </c>
      <c r="CJ241" s="3">
        <f>b_ch_N2</f>
        <v>0.7</v>
      </c>
      <c r="CK241" s="3">
        <f t="shared" si="122"/>
        <v>2.2047216517170204E-3</v>
      </c>
      <c r="CL241" s="3">
        <f t="shared" si="123"/>
        <v>-6.1171540131006124</v>
      </c>
      <c r="CM241" s="3">
        <f t="shared" si="120"/>
        <v>-13.891867743692485</v>
      </c>
      <c r="CN241" s="3">
        <f t="shared" si="124"/>
        <v>-13.191867743692486</v>
      </c>
      <c r="CO241" s="3">
        <f t="shared" si="125"/>
        <v>-2.9084396441106181E-2</v>
      </c>
      <c r="CP241" s="3">
        <f t="shared" si="126"/>
        <v>-622.57826093784831</v>
      </c>
      <c r="CX241" s="17" t="s">
        <v>19</v>
      </c>
      <c r="CY241" s="17">
        <f>SUM(CY237:CY240)</f>
        <v>69.582675758133661</v>
      </c>
      <c r="CZ241" s="17">
        <f>SUM(CZ237:CZ240)</f>
        <v>0.99999999999999989</v>
      </c>
      <c r="DA241" s="17"/>
      <c r="DB241" s="17">
        <f>SUM(DB237:DB240)</f>
        <v>21166.4965656569</v>
      </c>
      <c r="DC241" s="17">
        <f>SUM(DC237:DC240)</f>
        <v>1072.5999999999999</v>
      </c>
      <c r="DD241" s="17">
        <f>SUM(DD237:DD240)</f>
        <v>0.99999999999999978</v>
      </c>
      <c r="DE241" s="17"/>
      <c r="DF241" s="17"/>
      <c r="DG241" s="17"/>
      <c r="DH241" s="17">
        <f>SUM(DH237:DH240)</f>
        <v>280.84752181335125</v>
      </c>
      <c r="DI241" s="17">
        <f>SUM(DI237:DI240)</f>
        <v>5944558.1059355522</v>
      </c>
      <c r="EC241" s="17" t="s">
        <v>19</v>
      </c>
      <c r="ED241" s="17">
        <f>SUM(ED237:ED240)</f>
        <v>10.437401363720047</v>
      </c>
      <c r="EE241" s="17">
        <f>SUM(EE237:EE240)</f>
        <v>1</v>
      </c>
      <c r="EF241" s="17"/>
      <c r="EG241" s="17">
        <f>SUM(EG237:EG240)</f>
        <v>3174.9744848485343</v>
      </c>
      <c r="EH241" s="17">
        <f>SUM(EH237:EH240)</f>
        <v>1072.5999999999999</v>
      </c>
      <c r="EI241" s="17">
        <f>SUM(EI237:EI240)</f>
        <v>1</v>
      </c>
      <c r="EJ241" s="17"/>
      <c r="EK241" s="17"/>
      <c r="EL241" s="17"/>
      <c r="EM241" s="17">
        <f>SUM(EM237:EM240)</f>
        <v>280.84752181335136</v>
      </c>
      <c r="EN241" s="17">
        <f>SUM(EN237:EN240)</f>
        <v>891683.71589033271</v>
      </c>
    </row>
    <row r="242" spans="9:144" ht="19" thickBot="1" x14ac:dyDescent="0.3">
      <c r="J242" s="3" t="s">
        <v>19</v>
      </c>
      <c r="K242" s="17">
        <f>SUM(K240:K241)</f>
        <v>7.104790060854917</v>
      </c>
      <c r="L242" s="17">
        <f>SUM(L240:L241)</f>
        <v>1.2756264114695789E-2</v>
      </c>
      <c r="M242" s="3">
        <f>SUM(M240:M241)</f>
        <v>6.0012280000000001E-2</v>
      </c>
      <c r="N242" s="3">
        <f>SUM(N240:N241)</f>
        <v>0.44214698157778243</v>
      </c>
      <c r="T242" s="3">
        <f>SUM(T240:T241)</f>
        <v>0.22584479577057537</v>
      </c>
      <c r="U242" s="3">
        <f>SUM(U240:U241)</f>
        <v>9.9856594755010616E-2</v>
      </c>
      <c r="BS242" s="3" t="s">
        <v>544</v>
      </c>
      <c r="BW242" s="50">
        <f>BN248</f>
        <v>556.96479760636817</v>
      </c>
      <c r="BX242" s="48">
        <f>BX248</f>
        <v>7.8280438423951519</v>
      </c>
      <c r="CD242" s="318"/>
      <c r="CE242" s="3" t="s">
        <v>65</v>
      </c>
      <c r="CF242" s="3">
        <f t="shared" si="121"/>
        <v>22.962283000184108</v>
      </c>
      <c r="CG242" s="3">
        <v>0.33</v>
      </c>
      <c r="CH242" s="3">
        <f>MW_CH4</f>
        <v>1.604276E-2</v>
      </c>
      <c r="CI242" s="3">
        <f t="shared" si="119"/>
        <v>1431.3174915154318</v>
      </c>
      <c r="CJ242" s="3">
        <f>b_ch_CH4</f>
        <v>831.8</v>
      </c>
      <c r="CK242" s="3">
        <f t="shared" si="122"/>
        <v>6.6865497830930945E-2</v>
      </c>
      <c r="CL242" s="3">
        <f t="shared" si="123"/>
        <v>-2.7050721723709388</v>
      </c>
      <c r="CM242" s="3">
        <f t="shared" si="120"/>
        <v>-6.1431353167242753</v>
      </c>
      <c r="CN242" s="3">
        <f t="shared" si="124"/>
        <v>825.65686468327567</v>
      </c>
      <c r="CO242" s="3">
        <f t="shared" si="125"/>
        <v>55.207957294572815</v>
      </c>
      <c r="CP242" s="3">
        <f t="shared" si="126"/>
        <v>1181777.1124109626</v>
      </c>
      <c r="CY242" s="1" t="s">
        <v>90</v>
      </c>
      <c r="CZ242" s="1"/>
      <c r="DA242" s="3" t="s">
        <v>92</v>
      </c>
      <c r="DB242" s="3" t="s">
        <v>88</v>
      </c>
      <c r="DC242" s="4"/>
      <c r="DD242" s="4"/>
      <c r="DH242" s="3" t="s">
        <v>97</v>
      </c>
      <c r="DI242" s="1" t="s">
        <v>94</v>
      </c>
      <c r="ED242" s="1" t="s">
        <v>90</v>
      </c>
      <c r="EE242" s="1"/>
      <c r="EF242" s="3" t="s">
        <v>92</v>
      </c>
      <c r="EG242" s="3" t="s">
        <v>88</v>
      </c>
      <c r="EH242" s="4"/>
      <c r="EI242" s="4"/>
      <c r="EM242" s="3" t="s">
        <v>97</v>
      </c>
      <c r="EN242" s="1" t="s">
        <v>94</v>
      </c>
    </row>
    <row r="243" spans="9:144" ht="18" x14ac:dyDescent="0.25">
      <c r="K243" s="1" t="s">
        <v>90</v>
      </c>
      <c r="L243" s="1"/>
      <c r="M243" s="3" t="s">
        <v>92</v>
      </c>
      <c r="N243" s="3" t="s">
        <v>88</v>
      </c>
      <c r="O243" s="4"/>
      <c r="P243" s="4"/>
      <c r="T243" s="3" t="s">
        <v>97</v>
      </c>
      <c r="U243" s="1" t="s">
        <v>94</v>
      </c>
      <c r="CE243" s="17" t="s">
        <v>19</v>
      </c>
      <c r="CF243" s="17">
        <f>COG_needed</f>
        <v>69.582675758133661</v>
      </c>
      <c r="CG243" s="17">
        <f>SUM(CG237:CG242)</f>
        <v>1</v>
      </c>
      <c r="CH243" s="17"/>
      <c r="CI243" s="17">
        <f>SUM(CI237:CI242)</f>
        <v>21405.919913054571</v>
      </c>
      <c r="CJ243" s="17">
        <f>SUM(CJ237:CJ242)</f>
        <v>2724.7529599999998</v>
      </c>
      <c r="CK243" s="17">
        <f>SUM(CK237:CK242)</f>
        <v>1.0000000000000002</v>
      </c>
      <c r="CL243" s="17"/>
      <c r="CM243" s="17"/>
      <c r="CN243" s="17"/>
      <c r="CO243" s="17">
        <f>SUM(CO237:CO242)</f>
        <v>277.27881249138687</v>
      </c>
      <c r="CP243" s="17">
        <f>SUM(CP237:CP242)</f>
        <v>5935408.0537775028</v>
      </c>
    </row>
    <row r="244" spans="9:144" ht="18" x14ac:dyDescent="0.25">
      <c r="BH244" s="312" t="s">
        <v>538</v>
      </c>
      <c r="BI244" s="312"/>
      <c r="BJ244" s="312"/>
      <c r="BK244" s="312"/>
      <c r="BM244" s="4"/>
      <c r="BN244" s="1" t="s">
        <v>577</v>
      </c>
      <c r="BO244" s="1" t="s">
        <v>578</v>
      </c>
      <c r="BP244" s="1" t="s">
        <v>580</v>
      </c>
      <c r="BQ244" s="1" t="s">
        <v>86</v>
      </c>
      <c r="BR244" s="1" t="s">
        <v>6</v>
      </c>
      <c r="BS244" s="1" t="s">
        <v>7</v>
      </c>
      <c r="BT244" s="1" t="s">
        <v>8</v>
      </c>
      <c r="BU244" s="1" t="s">
        <v>9</v>
      </c>
      <c r="BV244" s="1" t="s">
        <v>49</v>
      </c>
      <c r="BW244" s="1" t="s">
        <v>579</v>
      </c>
      <c r="BX244" s="1" t="s">
        <v>50</v>
      </c>
      <c r="CF244" s="1" t="s">
        <v>90</v>
      </c>
      <c r="CG244" s="1"/>
      <c r="CH244" s="3" t="s">
        <v>92</v>
      </c>
      <c r="CI244" s="3" t="s">
        <v>88</v>
      </c>
      <c r="CJ244" s="4"/>
      <c r="CK244" s="4"/>
      <c r="CO244" s="3" t="s">
        <v>97</v>
      </c>
      <c r="CP244" s="1" t="s">
        <v>94</v>
      </c>
    </row>
    <row r="245" spans="9:144" ht="18" x14ac:dyDescent="0.25">
      <c r="BH245" s="312"/>
      <c r="BI245" s="312"/>
      <c r="BJ245" s="312"/>
      <c r="BK245" s="312"/>
      <c r="BM245" s="4" t="s">
        <v>41</v>
      </c>
      <c r="BN245" s="1" t="s">
        <v>89</v>
      </c>
      <c r="BO245" s="4" t="s">
        <v>284</v>
      </c>
      <c r="BP245" s="2" t="s">
        <v>91</v>
      </c>
      <c r="BQ245" s="2" t="s">
        <v>87</v>
      </c>
      <c r="BR245" s="2" t="s">
        <v>96</v>
      </c>
      <c r="BS245" s="2" t="s">
        <v>25</v>
      </c>
      <c r="BT245" s="2" t="s">
        <v>99</v>
      </c>
      <c r="BU245" s="2" t="s">
        <v>96</v>
      </c>
      <c r="BV245" s="2" t="s">
        <v>96</v>
      </c>
      <c r="BW245" s="2" t="s">
        <v>95</v>
      </c>
      <c r="BX245" s="2" t="s">
        <v>93</v>
      </c>
    </row>
    <row r="246" spans="9:144" ht="18" customHeight="1" x14ac:dyDescent="0.25">
      <c r="BL246" s="334" t="s">
        <v>539</v>
      </c>
      <c r="BM246" s="8" t="s">
        <v>304</v>
      </c>
      <c r="BN246" s="17">
        <f>O2_in_coke_oven+O2_for_coke_oven_comb</f>
        <v>129.77697536404546</v>
      </c>
      <c r="BO246" s="17">
        <f>BN246/$BN$248</f>
        <v>0.23300750051310176</v>
      </c>
      <c r="BP246" s="3">
        <f>MW_O2</f>
        <v>3.1998800000000001E-2</v>
      </c>
      <c r="BQ246" s="3">
        <f>BO246/BP246</f>
        <v>7.2817574569390651</v>
      </c>
      <c r="BR246" s="3">
        <f>b_ch_O2</f>
        <v>4</v>
      </c>
      <c r="BS246" s="3">
        <f>BQ246/BQ248</f>
        <v>0.21008403361344538</v>
      </c>
      <c r="BT246" s="1">
        <f>LN(BS246)</f>
        <v>-1.5602476682433286</v>
      </c>
      <c r="BU246" s="1">
        <f>RT0*BT246</f>
        <v>-3.5432742429276503</v>
      </c>
      <c r="BV246" s="1">
        <f>BR246+BU246</f>
        <v>0.45672575707234975</v>
      </c>
      <c r="BW246" s="1">
        <f>BV246*BS246</f>
        <v>9.5950789300913816E-2</v>
      </c>
      <c r="BX246" s="1">
        <f>BQ248*BW246</f>
        <v>3.3257661873377229</v>
      </c>
    </row>
    <row r="247" spans="9:144" ht="19" thickBot="1" x14ac:dyDescent="0.3">
      <c r="BL247" s="334"/>
      <c r="BM247" s="60" t="s">
        <v>67</v>
      </c>
      <c r="BN247" s="3">
        <f>N2_in_coke_oven+N2_for_coke_oven_comb</f>
        <v>427.18782224232274</v>
      </c>
      <c r="BO247" s="3">
        <f>BN247/$BN$248</f>
        <v>0.76699249948689829</v>
      </c>
      <c r="BP247" s="28">
        <f>MW_N2</f>
        <v>2.801348E-2</v>
      </c>
      <c r="BQ247" s="28">
        <f>BO247/BP247</f>
        <v>27.379408038090887</v>
      </c>
      <c r="BR247" s="28">
        <f>b_ch_N2</f>
        <v>0.7</v>
      </c>
      <c r="BS247" s="28">
        <f>BQ247/BQ248</f>
        <v>0.7899159663865547</v>
      </c>
      <c r="BT247" s="2">
        <f>LN(BS247)</f>
        <v>-0.23582871084152537</v>
      </c>
      <c r="BU247" s="2">
        <f>RT0*BT247</f>
        <v>-0.53555971521393908</v>
      </c>
      <c r="BV247" s="2">
        <f>BR247+BU247</f>
        <v>0.16444028478606088</v>
      </c>
      <c r="BW247" s="2">
        <f>BV247*BS247</f>
        <v>0.12989400646966154</v>
      </c>
      <c r="BX247" s="2">
        <f>BQ248*BW247</f>
        <v>4.5022776550574291</v>
      </c>
    </row>
    <row r="248" spans="9:144" x14ac:dyDescent="0.2">
      <c r="BM248" s="3" t="s">
        <v>19</v>
      </c>
      <c r="BN248" s="17">
        <f>SUM(BN246:BN247)</f>
        <v>556.96479760636817</v>
      </c>
      <c r="BO248" s="17">
        <f>SUM(BO246:BO247)</f>
        <v>1</v>
      </c>
      <c r="BP248" s="3">
        <f>SUM(BP246:BP247)</f>
        <v>6.0012280000000001E-2</v>
      </c>
      <c r="BQ248" s="3">
        <f>SUM(BQ246:BQ247)</f>
        <v>34.661165495029948</v>
      </c>
      <c r="BW248" s="3">
        <f>SUM(BW246:BW247)</f>
        <v>0.22584479577057537</v>
      </c>
      <c r="BX248" s="3">
        <f>SUM(BX246:BX247)</f>
        <v>7.8280438423951519</v>
      </c>
      <c r="CO248" s="63" t="s">
        <v>1</v>
      </c>
      <c r="CP248" s="58" t="s">
        <v>0</v>
      </c>
    </row>
    <row r="249" spans="9:144" ht="18" x14ac:dyDescent="0.25">
      <c r="BN249" s="1" t="s">
        <v>90</v>
      </c>
      <c r="BO249" s="1"/>
      <c r="BP249" s="3" t="s">
        <v>92</v>
      </c>
      <c r="BQ249" s="3" t="s">
        <v>88</v>
      </c>
      <c r="BR249" s="4"/>
      <c r="BS249" s="4"/>
      <c r="BW249" s="3" t="s">
        <v>97</v>
      </c>
      <c r="BX249" s="1" t="s">
        <v>94</v>
      </c>
      <c r="CO249" s="65" t="s">
        <v>90</v>
      </c>
      <c r="CP249" s="64" t="s">
        <v>94</v>
      </c>
    </row>
    <row r="250" spans="9:144" ht="16" thickBot="1" x14ac:dyDescent="0.25">
      <c r="CK250" s="3" t="s">
        <v>548</v>
      </c>
      <c r="CO250" s="50">
        <f>CF257</f>
        <v>584.3657277440451</v>
      </c>
      <c r="CP250" s="48">
        <f>CP257</f>
        <v>50611.612737094918</v>
      </c>
    </row>
    <row r="251" spans="9:144" ht="16" thickBot="1" x14ac:dyDescent="0.25">
      <c r="T251" s="16" t="s">
        <v>243</v>
      </c>
      <c r="U251" s="3" t="s">
        <v>193</v>
      </c>
      <c r="V251" s="3" t="s">
        <v>242</v>
      </c>
      <c r="W251" s="3" t="s">
        <v>244</v>
      </c>
    </row>
    <row r="252" spans="9:144" ht="18" x14ac:dyDescent="0.25">
      <c r="BW252" s="63" t="s">
        <v>1</v>
      </c>
      <c r="BX252" s="58" t="s">
        <v>0</v>
      </c>
      <c r="CE252" s="4"/>
      <c r="CF252" s="1" t="s">
        <v>577</v>
      </c>
      <c r="CG252" s="1" t="s">
        <v>578</v>
      </c>
      <c r="CH252" s="1" t="s">
        <v>580</v>
      </c>
      <c r="CI252" s="1" t="s">
        <v>86</v>
      </c>
      <c r="CJ252" s="1" t="s">
        <v>6</v>
      </c>
      <c r="CK252" s="1" t="s">
        <v>7</v>
      </c>
      <c r="CL252" s="1" t="s">
        <v>8</v>
      </c>
      <c r="CM252" s="1" t="s">
        <v>9</v>
      </c>
      <c r="CN252" s="1" t="s">
        <v>49</v>
      </c>
      <c r="CO252" s="1" t="s">
        <v>579</v>
      </c>
      <c r="CP252" s="1" t="s">
        <v>50</v>
      </c>
    </row>
    <row r="253" spans="9:144" ht="14" customHeight="1" x14ac:dyDescent="0.25">
      <c r="BW253" s="65" t="s">
        <v>90</v>
      </c>
      <c r="BX253" s="64" t="s">
        <v>94</v>
      </c>
      <c r="CE253" s="4" t="s">
        <v>41</v>
      </c>
      <c r="CF253" s="1" t="s">
        <v>89</v>
      </c>
      <c r="CG253" s="4" t="s">
        <v>284</v>
      </c>
      <c r="CH253" s="2" t="s">
        <v>91</v>
      </c>
      <c r="CI253" s="2" t="s">
        <v>87</v>
      </c>
      <c r="CJ253" s="2" t="s">
        <v>96</v>
      </c>
      <c r="CK253" s="2" t="s">
        <v>25</v>
      </c>
      <c r="CL253" s="2" t="s">
        <v>99</v>
      </c>
      <c r="CM253" s="2" t="s">
        <v>96</v>
      </c>
      <c r="CN253" s="2" t="s">
        <v>96</v>
      </c>
      <c r="CO253" s="2" t="s">
        <v>95</v>
      </c>
      <c r="CP253" s="2" t="s">
        <v>93</v>
      </c>
    </row>
    <row r="254" spans="9:144" ht="26" customHeight="1" thickBot="1" x14ac:dyDescent="0.3">
      <c r="BS254" s="3" t="s">
        <v>487</v>
      </c>
      <c r="BW254" s="50">
        <f>BO259</f>
        <v>16.963528773956838</v>
      </c>
      <c r="BX254" s="48">
        <f>BX259</f>
        <v>879540.87913658854</v>
      </c>
      <c r="CD254" s="318" t="s">
        <v>548</v>
      </c>
      <c r="CE254" s="17" t="s">
        <v>68</v>
      </c>
      <c r="CF254" s="17">
        <f>H2O_out_coke_oven+H2O_from_coke_oven_comb</f>
        <v>99.456026706898456</v>
      </c>
      <c r="CG254" s="17">
        <f>CF254/CF257</f>
        <v>0.17019483173808006</v>
      </c>
      <c r="CH254" s="17">
        <f>MW_H2O</f>
        <v>1.8015280000000002E-2</v>
      </c>
      <c r="CI254" s="17">
        <f>CF254/CH254</f>
        <v>5520.6483999637221</v>
      </c>
      <c r="CJ254" s="17">
        <f>b_ch_H2O</f>
        <v>9.5113440000000082</v>
      </c>
      <c r="CK254" s="17">
        <f>CI254/$CI$257</f>
        <v>0.24998230547780304</v>
      </c>
      <c r="CL254" s="17">
        <f>LN(CK254)</f>
        <v>-1.3863651417135656</v>
      </c>
      <c r="CM254" s="17">
        <f>RT0*CL254</f>
        <v>-3.1483923981486281</v>
      </c>
      <c r="CN254" s="17">
        <f>CM254+CJ254</f>
        <v>6.3629516018513801</v>
      </c>
      <c r="CO254" s="17">
        <f>CK254*CN254</f>
        <v>1.5906253110744879</v>
      </c>
      <c r="CP254" s="17">
        <f>CO254*$CI$257</f>
        <v>35127.618579807429</v>
      </c>
    </row>
    <row r="255" spans="9:144" ht="18" x14ac:dyDescent="0.25">
      <c r="BI255" s="3" t="s">
        <v>473</v>
      </c>
      <c r="BL255" s="4"/>
      <c r="CD255" s="318"/>
      <c r="CE255" s="250" t="s">
        <v>64</v>
      </c>
      <c r="CF255" s="3">
        <f>CO2_out_coke_oven+CO2_from_coke_oven_comb</f>
        <v>57.523568168913222</v>
      </c>
      <c r="CG255" s="3">
        <f>CF255/CF257</f>
        <v>9.8437614387455685E-2</v>
      </c>
      <c r="CH255" s="3">
        <f>MW_CO2</f>
        <v>4.4009800000000002E-2</v>
      </c>
      <c r="CI255" s="3">
        <f>CF255/CH255</f>
        <v>1307.0627035095188</v>
      </c>
      <c r="CJ255" s="3">
        <f>b_ch_CO2</f>
        <v>19.900000000000034</v>
      </c>
      <c r="CK255" s="3">
        <f t="shared" ref="CK255:CK256" si="134">CI255/$CI$257</f>
        <v>5.9185538428693764E-2</v>
      </c>
      <c r="CL255" s="3">
        <f t="shared" ref="CL255:CL256" si="135">LN(CK255)</f>
        <v>-2.8270780502332942</v>
      </c>
      <c r="CM255" s="3">
        <f>RT0*CL255</f>
        <v>-6.4202068953680582</v>
      </c>
      <c r="CN255" s="3">
        <f t="shared" ref="CN255:CN256" si="136">CM255+CJ255</f>
        <v>13.479793104631977</v>
      </c>
      <c r="CO255" s="3">
        <f t="shared" ref="CO255:CO256" si="137">CK255*CN255</f>
        <v>0.79780881280503713</v>
      </c>
      <c r="CP255" s="3">
        <f t="shared" ref="CP255:CP256" si="138">CO255*$CI$257</f>
        <v>17618.934818089241</v>
      </c>
    </row>
    <row r="256" spans="9:144" ht="18" x14ac:dyDescent="0.25">
      <c r="BF256" s="312" t="s">
        <v>486</v>
      </c>
      <c r="BG256" s="312"/>
      <c r="BH256" s="312"/>
      <c r="BI256" s="312"/>
      <c r="BJ256" s="312"/>
      <c r="BK256" s="312"/>
      <c r="BL256" s="312"/>
      <c r="BM256" s="1"/>
      <c r="BN256" s="3" t="s">
        <v>583</v>
      </c>
      <c r="BO256" s="1" t="s">
        <v>577</v>
      </c>
      <c r="BP256" s="3" t="s">
        <v>5</v>
      </c>
      <c r="BQ256" s="1" t="s">
        <v>86</v>
      </c>
      <c r="BR256" s="1" t="s">
        <v>6</v>
      </c>
      <c r="BS256" s="1" t="s">
        <v>7</v>
      </c>
      <c r="BT256" s="1" t="s">
        <v>8</v>
      </c>
      <c r="BU256" s="1" t="s">
        <v>9</v>
      </c>
      <c r="BV256" s="1" t="s">
        <v>49</v>
      </c>
      <c r="BW256" s="1" t="s">
        <v>579</v>
      </c>
      <c r="BX256" s="1" t="s">
        <v>50</v>
      </c>
      <c r="CD256" s="318"/>
      <c r="CE256" s="7" t="s">
        <v>67</v>
      </c>
      <c r="CF256" s="3">
        <f>N2_out_coke_oven+N2_for_coke_oven_comb</f>
        <v>427.3861328682334</v>
      </c>
      <c r="CG256" s="3">
        <f>CF256/CF257</f>
        <v>0.73136755387446428</v>
      </c>
      <c r="CH256" s="3">
        <f>MW_N2</f>
        <v>2.801348E-2</v>
      </c>
      <c r="CI256" s="3">
        <f>CF256/CH256</f>
        <v>15256.445570783544</v>
      </c>
      <c r="CJ256" s="3">
        <f>b_ch_N2</f>
        <v>0.7</v>
      </c>
      <c r="CK256" s="3">
        <f t="shared" si="134"/>
        <v>0.69083215609350324</v>
      </c>
      <c r="CL256" s="3">
        <f t="shared" si="135"/>
        <v>-0.36985838472885435</v>
      </c>
      <c r="CM256" s="3">
        <f>RT0*CL256</f>
        <v>-0.8399369630951401</v>
      </c>
      <c r="CN256" s="3">
        <f t="shared" si="136"/>
        <v>-0.13993696309514014</v>
      </c>
      <c r="CO256" s="3">
        <f t="shared" si="137"/>
        <v>-9.6672953932192662E-2</v>
      </c>
      <c r="CP256" s="3">
        <f t="shared" si="138"/>
        <v>-2134.9406608017512</v>
      </c>
    </row>
    <row r="257" spans="50:94" ht="18" x14ac:dyDescent="0.25">
      <c r="AX257" s="16"/>
      <c r="BF257" s="313"/>
      <c r="BG257" s="313"/>
      <c r="BH257" s="313"/>
      <c r="BI257" s="313"/>
      <c r="BJ257" s="313"/>
      <c r="BK257" s="313"/>
      <c r="BL257" s="313"/>
      <c r="BM257" s="1"/>
      <c r="BN257" s="3" t="s">
        <v>582</v>
      </c>
      <c r="BO257" s="1" t="s">
        <v>89</v>
      </c>
      <c r="BP257" s="1" t="s">
        <v>91</v>
      </c>
      <c r="BQ257" s="2" t="s">
        <v>87</v>
      </c>
      <c r="BR257" s="2" t="s">
        <v>96</v>
      </c>
      <c r="BS257" s="2" t="s">
        <v>25</v>
      </c>
      <c r="BT257" s="1" t="s">
        <v>99</v>
      </c>
      <c r="BU257" s="2" t="s">
        <v>96</v>
      </c>
      <c r="BV257" s="2" t="s">
        <v>96</v>
      </c>
      <c r="BW257" s="2" t="s">
        <v>95</v>
      </c>
      <c r="BX257" s="1" t="s">
        <v>93</v>
      </c>
      <c r="CE257" s="17" t="s">
        <v>19</v>
      </c>
      <c r="CF257" s="17">
        <f>SUM(CF254:CF256)</f>
        <v>584.3657277440451</v>
      </c>
      <c r="CG257" s="17">
        <f>SUM(CG254:CG256)</f>
        <v>1</v>
      </c>
      <c r="CH257" s="17">
        <f>SUM(CH254:CH256)</f>
        <v>9.0038560000000004E-2</v>
      </c>
      <c r="CI257" s="17">
        <f>SUM(CI254:CI256)</f>
        <v>22084.156674256785</v>
      </c>
      <c r="CJ257" s="17">
        <f>SUM(CJ253:CJ256)</f>
        <v>30.111344000000042</v>
      </c>
      <c r="CK257" s="17"/>
      <c r="CL257" s="17"/>
      <c r="CM257" s="17"/>
      <c r="CN257" s="17"/>
      <c r="CO257" s="17">
        <f>SUM(CO254:CO256)</f>
        <v>2.2917611699473324</v>
      </c>
      <c r="CP257" s="17">
        <f>SUM(CP254:CP256)</f>
        <v>50611.612737094918</v>
      </c>
    </row>
    <row r="258" spans="50:94" ht="18" x14ac:dyDescent="0.25">
      <c r="BF258" s="61" t="s">
        <v>265</v>
      </c>
      <c r="BG258" s="13" t="s">
        <v>236</v>
      </c>
      <c r="BH258" s="13" t="s">
        <v>236</v>
      </c>
      <c r="BI258" s="13" t="s">
        <v>236</v>
      </c>
      <c r="BJ258" s="34" t="s">
        <v>236</v>
      </c>
      <c r="BK258" s="106" t="s">
        <v>323</v>
      </c>
      <c r="BL258" s="13" t="s">
        <v>317</v>
      </c>
      <c r="BM258" s="96" t="s">
        <v>65</v>
      </c>
      <c r="BN258" s="96">
        <f>2956.513*BW206</f>
        <v>848176.43869784183</v>
      </c>
      <c r="BO258" s="42">
        <f>BN258/LHV_CH4</f>
        <v>16.963528773956838</v>
      </c>
      <c r="BP258" s="33" cm="1">
        <f t="array" ref="BP258">MW_CH4</f>
        <v>1.604276E-2</v>
      </c>
      <c r="BQ258" s="33">
        <f>BO258/BP258</f>
        <v>1057.3946611404047</v>
      </c>
      <c r="BR258" s="42">
        <f>b_ch_CH4</f>
        <v>831.8</v>
      </c>
      <c r="BS258" s="33">
        <f>BQ258/BQ258</f>
        <v>1</v>
      </c>
      <c r="BT258" s="42">
        <f>LN(BS258)</f>
        <v>0</v>
      </c>
      <c r="BU258" s="42">
        <f>RT0*BT258</f>
        <v>0</v>
      </c>
      <c r="BV258" s="42">
        <f>BR258+BU258</f>
        <v>831.8</v>
      </c>
      <c r="BW258" s="42">
        <f>BV258*BS258</f>
        <v>831.8</v>
      </c>
      <c r="BX258" s="42">
        <f>BQ258*BW258</f>
        <v>879540.87913658854</v>
      </c>
      <c r="CF258" s="1" t="s">
        <v>90</v>
      </c>
      <c r="CG258" s="1"/>
      <c r="CH258" s="3" t="s">
        <v>92</v>
      </c>
      <c r="CI258" s="3" t="s">
        <v>88</v>
      </c>
      <c r="CJ258" s="4"/>
      <c r="CK258" s="4"/>
      <c r="CO258" s="3" t="s">
        <v>97</v>
      </c>
      <c r="CP258" s="1" t="s">
        <v>94</v>
      </c>
    </row>
    <row r="259" spans="50:94" ht="16" x14ac:dyDescent="0.2">
      <c r="BF259" s="61" t="s">
        <v>99</v>
      </c>
      <c r="BG259" s="13" t="s">
        <v>470</v>
      </c>
      <c r="BH259" s="13" t="s">
        <v>471</v>
      </c>
      <c r="BI259" s="13" t="s">
        <v>472</v>
      </c>
      <c r="BJ259" s="34" t="s">
        <v>48</v>
      </c>
      <c r="BK259" s="34" t="s">
        <v>99</v>
      </c>
      <c r="BL259" s="13" t="s">
        <v>48</v>
      </c>
      <c r="BM259" s="1" t="s">
        <v>19</v>
      </c>
      <c r="BN259" s="1">
        <f>BN258</f>
        <v>848176.43869784183</v>
      </c>
      <c r="BO259" s="1">
        <f>BO258</f>
        <v>16.963528773956838</v>
      </c>
      <c r="BP259" s="6">
        <f>BP258</f>
        <v>1.604276E-2</v>
      </c>
      <c r="BQ259" s="6">
        <f>BQ258</f>
        <v>1057.3946611404047</v>
      </c>
      <c r="BR259" s="1"/>
      <c r="BS259" s="6"/>
      <c r="BT259" s="1"/>
      <c r="BU259" s="1"/>
      <c r="BV259" s="1"/>
      <c r="BW259" s="1">
        <f>BW258</f>
        <v>831.8</v>
      </c>
      <c r="BX259" s="1">
        <f>BQ259*BW259</f>
        <v>879540.87913658854</v>
      </c>
    </row>
    <row r="260" spans="50:94" ht="18" x14ac:dyDescent="0.25">
      <c r="BF260" s="61" t="s">
        <v>439</v>
      </c>
      <c r="BG260" s="13">
        <v>2.956513E-3</v>
      </c>
      <c r="BH260" s="61">
        <f>BG260*1000000000</f>
        <v>2956513</v>
      </c>
      <c r="BI260" s="61">
        <f>BH260/1000</f>
        <v>2956.5129999999999</v>
      </c>
      <c r="BJ260" s="61">
        <f>BI260*BW206</f>
        <v>848176.43869784183</v>
      </c>
      <c r="BK260" s="13">
        <v>1.04</v>
      </c>
      <c r="BL260" s="13">
        <f>BJ260*BK260</f>
        <v>882103.49624575558</v>
      </c>
      <c r="BM260" s="1"/>
      <c r="BN260" s="3" t="s">
        <v>48</v>
      </c>
      <c r="BO260" s="1" t="s">
        <v>90</v>
      </c>
      <c r="BP260" s="3" t="s">
        <v>92</v>
      </c>
      <c r="BQ260" s="3" t="s">
        <v>88</v>
      </c>
      <c r="BR260" s="4"/>
      <c r="BS260" s="4"/>
      <c r="BW260" s="3" t="s">
        <v>97</v>
      </c>
      <c r="BX260" s="1" t="s">
        <v>94</v>
      </c>
    </row>
  </sheetData>
  <mergeCells count="100">
    <mergeCell ref="FG126:FM128"/>
    <mergeCell ref="BH154:BK155"/>
    <mergeCell ref="BH142:BK143"/>
    <mergeCell ref="BF256:BL257"/>
    <mergeCell ref="BL144:BL145"/>
    <mergeCell ref="EL129:EL130"/>
    <mergeCell ref="ET145:ET147"/>
    <mergeCell ref="CF142:CF145"/>
    <mergeCell ref="CW237:CW240"/>
    <mergeCell ref="DU156:DU159"/>
    <mergeCell ref="DQ142:DT143"/>
    <mergeCell ref="EB237:EB240"/>
    <mergeCell ref="EP233:ET235"/>
    <mergeCell ref="CD254:CD256"/>
    <mergeCell ref="CR226:CW226"/>
    <mergeCell ref="CD237:CD242"/>
    <mergeCell ref="E238:H239"/>
    <mergeCell ref="B222:H223"/>
    <mergeCell ref="O206:Q206"/>
    <mergeCell ref="BH244:BK245"/>
    <mergeCell ref="E126:H127"/>
    <mergeCell ref="O191:O192"/>
    <mergeCell ref="N190:P190"/>
    <mergeCell ref="AB146:AB149"/>
    <mergeCell ref="BD187:BJ187"/>
    <mergeCell ref="AO206:AS207"/>
    <mergeCell ref="E42:H43"/>
    <mergeCell ref="E208:H209"/>
    <mergeCell ref="E165:H166"/>
    <mergeCell ref="B153:H154"/>
    <mergeCell ref="B137:H138"/>
    <mergeCell ref="B61:H62"/>
    <mergeCell ref="E74:H75"/>
    <mergeCell ref="I76:I77"/>
    <mergeCell ref="AA67:AA70"/>
    <mergeCell ref="V195:W195"/>
    <mergeCell ref="I167:I168"/>
    <mergeCell ref="BL246:BL247"/>
    <mergeCell ref="I240:I241"/>
    <mergeCell ref="AB231:AB234"/>
    <mergeCell ref="BL229:BL232"/>
    <mergeCell ref="BG206:BK207"/>
    <mergeCell ref="BJ208:BJ209"/>
    <mergeCell ref="BL211:BL216"/>
    <mergeCell ref="I130:I131"/>
    <mergeCell ref="AB130:AB131"/>
    <mergeCell ref="AT130:AT131"/>
    <mergeCell ref="BL130:BL131"/>
    <mergeCell ref="I211:I216"/>
    <mergeCell ref="BK46:BK47"/>
    <mergeCell ref="V216:V221"/>
    <mergeCell ref="AB211:AB216"/>
    <mergeCell ref="AT211:AT216"/>
    <mergeCell ref="CD221:CD226"/>
    <mergeCell ref="BD110:BJ110"/>
    <mergeCell ref="BG126:BK127"/>
    <mergeCell ref="BK59:BK62"/>
    <mergeCell ref="V126:Z127"/>
    <mergeCell ref="BJ128:BJ129"/>
    <mergeCell ref="CB128:CB129"/>
    <mergeCell ref="Z208:Z209"/>
    <mergeCell ref="V206:AA207"/>
    <mergeCell ref="CB208:CB209"/>
    <mergeCell ref="AR208:AR209"/>
    <mergeCell ref="AM187:AS187"/>
    <mergeCell ref="I46:I47"/>
    <mergeCell ref="I48:I51"/>
    <mergeCell ref="AA46:AA47"/>
    <mergeCell ref="AA48:AA51"/>
    <mergeCell ref="N23:P24"/>
    <mergeCell ref="O25:O26"/>
    <mergeCell ref="V42:Z43"/>
    <mergeCell ref="O113:O114"/>
    <mergeCell ref="V182:AB182"/>
    <mergeCell ref="AQ44:AQ45"/>
    <mergeCell ref="AM110:AS110"/>
    <mergeCell ref="AS46:AS47"/>
    <mergeCell ref="AS48:AS51"/>
    <mergeCell ref="N111:P112"/>
    <mergeCell ref="Y44:Y45"/>
    <mergeCell ref="AR128:AR129"/>
    <mergeCell ref="Y128:Y129"/>
    <mergeCell ref="BI44:BI45"/>
    <mergeCell ref="AM25:AS25"/>
    <mergeCell ref="BE25:BK25"/>
    <mergeCell ref="BF42:BJ43"/>
    <mergeCell ref="AN42:AR43"/>
    <mergeCell ref="CU235:CU236"/>
    <mergeCell ref="EH126:EN128"/>
    <mergeCell ref="BY126:CC127"/>
    <mergeCell ref="AO126:AS127"/>
    <mergeCell ref="DU144:DU145"/>
    <mergeCell ref="DU130:DU133"/>
    <mergeCell ref="DN126:DT128"/>
    <mergeCell ref="DR129:DR130"/>
    <mergeCell ref="BY206:CC207"/>
    <mergeCell ref="EJ114:EO114"/>
    <mergeCell ref="DO116:DT117"/>
    <mergeCell ref="DO103:DT104"/>
    <mergeCell ref="CR233:CV234"/>
  </mergeCells>
  <conditionalFormatting sqref="X46">
    <cfRule type="cellIs" dxfId="19" priority="9" operator="notEqual">
      <formula>0</formula>
    </cfRule>
  </conditionalFormatting>
  <conditionalFormatting sqref="X130">
    <cfRule type="cellIs" dxfId="18" priority="10" operator="notEqual">
      <formula>0</formula>
    </cfRule>
  </conditionalFormatting>
  <conditionalFormatting sqref="Y210">
    <cfRule type="cellIs" dxfId="17" priority="8" operator="notEqual">
      <formula>0</formula>
    </cfRule>
  </conditionalFormatting>
  <conditionalFormatting sqref="AP46">
    <cfRule type="cellIs" dxfId="16" priority="19" operator="notEqual">
      <formula>0</formula>
    </cfRule>
  </conditionalFormatting>
  <conditionalFormatting sqref="AQ130">
    <cfRule type="cellIs" dxfId="15" priority="17" operator="notEqual">
      <formula>0</formula>
    </cfRule>
  </conditionalFormatting>
  <conditionalFormatting sqref="AQ210">
    <cfRule type="cellIs" dxfId="14" priority="14" operator="notEqual">
      <formula>0</formula>
    </cfRule>
  </conditionalFormatting>
  <conditionalFormatting sqref="AU210">
    <cfRule type="expression" dxfId="13" priority="6">
      <formula>ifdigit(subscript)</formula>
    </cfRule>
  </conditionalFormatting>
  <conditionalFormatting sqref="BH46">
    <cfRule type="cellIs" dxfId="12" priority="18" operator="notEqual">
      <formula>0</formula>
    </cfRule>
  </conditionalFormatting>
  <conditionalFormatting sqref="BI130">
    <cfRule type="cellIs" dxfId="11" priority="16" operator="notEqual">
      <formula>0</formula>
    </cfRule>
  </conditionalFormatting>
  <conditionalFormatting sqref="BI210">
    <cfRule type="cellIs" dxfId="10" priority="2" operator="notEqual">
      <formula>0</formula>
    </cfRule>
  </conditionalFormatting>
  <conditionalFormatting sqref="BM210">
    <cfRule type="expression" dxfId="9" priority="1">
      <formula>ifdigit(subscript)</formula>
    </cfRule>
  </conditionalFormatting>
  <conditionalFormatting sqref="CA130">
    <cfRule type="cellIs" dxfId="8" priority="13" operator="notEqual">
      <formula>0</formula>
    </cfRule>
  </conditionalFormatting>
  <conditionalFormatting sqref="CA210">
    <cfRule type="cellIs" dxfId="7" priority="15" operator="notEqual">
      <formula>0</formula>
    </cfRule>
  </conditionalFormatting>
  <conditionalFormatting sqref="CC58:CD58">
    <cfRule type="cellIs" dxfId="6" priority="27" operator="notEqual">
      <formula>0</formula>
    </cfRule>
  </conditionalFormatting>
  <conditionalFormatting sqref="CT237">
    <cfRule type="cellIs" dxfId="5" priority="3" operator="notEqual">
      <formula>0</formula>
    </cfRule>
  </conditionalFormatting>
  <conditionalFormatting sqref="DQ131">
    <cfRule type="cellIs" dxfId="4" priority="12" operator="notEqual">
      <formula>0</formula>
    </cfRule>
  </conditionalFormatting>
  <conditionalFormatting sqref="EK131">
    <cfRule type="cellIs" dxfId="3" priority="11" operator="notEqual">
      <formula>0</formula>
    </cfRule>
  </conditionalFormatting>
  <hyperlinks>
    <hyperlink ref="T251" r:id="rId1" xr:uid="{1E2DEDF9-8E7F-4D28-AC57-53303B92B7F0}"/>
    <hyperlink ref="W125" r:id="rId2" display="https://www.energy.gov/sites/prod/files/2013/11/f4/stone.pdf " xr:uid="{AF245922-834D-4662-9DA0-F382834AE844}"/>
    <hyperlink ref="D159" r:id="rId3" xr:uid="{A4251BDA-C4C5-46A2-8B17-065A47022922}"/>
    <hyperlink ref="D59" r:id="rId4" xr:uid="{A96D993E-4285-49E6-8621-01844CEAF159}"/>
    <hyperlink ref="BD23" r:id="rId5" xr:uid="{E8D50ABA-90E2-44F2-9580-617CC2437586}"/>
    <hyperlink ref="Y203" r:id="rId6" xr:uid="{377314BC-714F-45E1-97D2-18DBE180EBB9}"/>
    <hyperlink ref="BK198" r:id="rId7" xr:uid="{05A5374B-6767-4F84-A755-EAF8CD6ED31A}"/>
    <hyperlink ref="X225" r:id="rId8" xr:uid="{B13F52D2-2BA9-4991-ADC9-1EF93F450CCB}"/>
    <hyperlink ref="BF104" r:id="rId9" xr:uid="{C0E610DB-FD23-49C0-9161-DEEFFEB47B1F}"/>
    <hyperlink ref="AH123" r:id="rId10" xr:uid="{8F21522B-D8EB-49FD-88DB-792AD0FBF37F}"/>
    <hyperlink ref="EN110" r:id="rId11" xr:uid="{E520A503-6F94-42E6-B461-D6CD1E365E64}"/>
    <hyperlink ref="BJ156" r:id="rId12" xr:uid="{56AA5492-5E7B-6740-9CD6-917BF070EA2B}"/>
    <hyperlink ref="AM22" r:id="rId13" xr:uid="{9679CAA2-2512-3646-B9B7-B3BAD1D49758}"/>
  </hyperlinks>
  <pageMargins left="0.7" right="0.7" top="0.75" bottom="0.75" header="0.3" footer="0.3"/>
  <pageSetup scale="10" orientation="landscape" r:id="rId14"/>
  <drawing r:id="rId1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EA69-2DA4-3A48-8D5C-15E77DEB5247}">
  <dimension ref="D4:I28"/>
  <sheetViews>
    <sheetView tabSelected="1" topLeftCell="A3" zoomScale="171" workbookViewId="0">
      <selection activeCell="H18" sqref="H18"/>
    </sheetView>
  </sheetViews>
  <sheetFormatPr baseColWidth="10" defaultRowHeight="15" x14ac:dyDescent="0.2"/>
  <cols>
    <col min="3" max="4" width="11.1640625" bestFit="1" customWidth="1"/>
    <col min="5" max="5" width="12.1640625" bestFit="1" customWidth="1"/>
    <col min="6" max="7" width="12.83203125" bestFit="1" customWidth="1"/>
    <col min="8" max="9" width="12.1640625" bestFit="1" customWidth="1"/>
  </cols>
  <sheetData>
    <row r="4" spans="4:9" ht="16" thickBot="1" x14ac:dyDescent="0.25"/>
    <row r="5" spans="4:9" ht="19" x14ac:dyDescent="0.25">
      <c r="D5" s="215"/>
      <c r="E5" s="216" t="s">
        <v>265</v>
      </c>
      <c r="F5" s="219" t="s">
        <v>236</v>
      </c>
      <c r="G5" s="222" t="s">
        <v>317</v>
      </c>
      <c r="H5" s="219" t="s">
        <v>236</v>
      </c>
      <c r="I5" s="222" t="s">
        <v>317</v>
      </c>
    </row>
    <row r="6" spans="4:9" ht="20" thickBot="1" x14ac:dyDescent="0.3">
      <c r="D6" s="215"/>
      <c r="E6" s="274" t="s">
        <v>99</v>
      </c>
      <c r="F6" s="275" t="s">
        <v>48</v>
      </c>
      <c r="G6" s="276" t="s">
        <v>48</v>
      </c>
      <c r="H6" s="275" t="s">
        <v>436</v>
      </c>
      <c r="I6" s="276" t="s">
        <v>436</v>
      </c>
    </row>
    <row r="7" spans="4:9" ht="19" x14ac:dyDescent="0.25">
      <c r="D7" s="349" t="s">
        <v>435</v>
      </c>
      <c r="E7" s="218" t="s">
        <v>592</v>
      </c>
      <c r="F7" s="221">
        <f>'Ore-&gt;PI'!F72</f>
        <v>88160.656904773379</v>
      </c>
      <c r="G7" s="277">
        <f>1.06*F7</f>
        <v>93450.29631905978</v>
      </c>
      <c r="H7" s="278">
        <f>F7/10000000</f>
        <v>8.8160656904773382E-3</v>
      </c>
      <c r="I7" s="279">
        <f>G7/10000000</f>
        <v>9.3450296319059784E-3</v>
      </c>
    </row>
    <row r="8" spans="4:9" ht="20" thickBot="1" x14ac:dyDescent="0.3">
      <c r="D8" s="350"/>
      <c r="E8" s="218" t="s">
        <v>438</v>
      </c>
      <c r="F8" s="221">
        <f>'Ore-&gt;PI'!$AQ$28+'Ore-&gt;PI'!$BI$35</f>
        <v>622271.50143934821</v>
      </c>
      <c r="G8" s="277">
        <f>F8</f>
        <v>622271.50143934821</v>
      </c>
      <c r="H8" s="278">
        <f t="shared" ref="H8:H18" si="0">F8/10000000</f>
        <v>6.2227150143934824E-2</v>
      </c>
      <c r="I8" s="279">
        <f t="shared" ref="I8:I18" si="1">G8/10000000</f>
        <v>6.2227150143934824E-2</v>
      </c>
    </row>
    <row r="9" spans="4:9" ht="19" x14ac:dyDescent="0.25">
      <c r="D9" s="351" t="s">
        <v>20</v>
      </c>
      <c r="E9" s="218" t="s">
        <v>592</v>
      </c>
      <c r="F9" s="221">
        <f>'Ore-&gt;PI'!K144</f>
        <v>241.59146310558401</v>
      </c>
      <c r="G9" s="277">
        <f>F9*1.06</f>
        <v>256.08695089191906</v>
      </c>
      <c r="H9" s="278">
        <f t="shared" si="0"/>
        <v>2.4159146310558402E-5</v>
      </c>
      <c r="I9" s="279">
        <f t="shared" si="1"/>
        <v>2.5608695089191906E-5</v>
      </c>
    </row>
    <row r="10" spans="4:9" ht="19" x14ac:dyDescent="0.25">
      <c r="D10" s="352"/>
      <c r="E10" s="218" t="s">
        <v>593</v>
      </c>
      <c r="F10" s="221">
        <f>'Ore-&gt;PI'!K155</f>
        <v>22.443944839719084</v>
      </c>
      <c r="G10" s="277">
        <f>F10*1.04</f>
        <v>23.341702633307847</v>
      </c>
      <c r="H10" s="278">
        <f t="shared" si="0"/>
        <v>2.2443944839719085E-6</v>
      </c>
      <c r="I10" s="279">
        <f t="shared" si="1"/>
        <v>2.3341702633307848E-6</v>
      </c>
    </row>
    <row r="11" spans="4:9" ht="19" x14ac:dyDescent="0.25">
      <c r="D11" s="352"/>
      <c r="E11" s="218" t="s">
        <v>266</v>
      </c>
      <c r="F11" s="221">
        <f>'Ore-&gt;PI'!AQ113+'Ore-&gt;PI'!BH116</f>
        <v>2859.5637429090343</v>
      </c>
      <c r="G11" s="277">
        <f>F11</f>
        <v>2859.5637429090343</v>
      </c>
      <c r="H11" s="278">
        <f t="shared" si="0"/>
        <v>2.8595637429090342E-4</v>
      </c>
      <c r="I11" s="279">
        <f t="shared" si="1"/>
        <v>2.8595637429090342E-4</v>
      </c>
    </row>
    <row r="12" spans="4:9" ht="20" thickBot="1" x14ac:dyDescent="0.3">
      <c r="D12" s="353"/>
      <c r="E12" s="218" t="s">
        <v>439</v>
      </c>
      <c r="F12" s="221">
        <f>'Ore-&gt;PI'!BN156</f>
        <v>1039915823.7694199</v>
      </c>
      <c r="G12" s="277">
        <f>F12*1.04</f>
        <v>1081512456.7201967</v>
      </c>
      <c r="H12" s="278">
        <f t="shared" si="0"/>
        <v>103.99158237694199</v>
      </c>
      <c r="I12" s="279">
        <f t="shared" si="1"/>
        <v>108.15124567201967</v>
      </c>
    </row>
    <row r="13" spans="4:9" ht="19" x14ac:dyDescent="0.25">
      <c r="D13" s="354" t="s">
        <v>354</v>
      </c>
      <c r="E13" s="218" t="s">
        <v>592</v>
      </c>
      <c r="F13" s="221">
        <f>'Ore-&gt;PI'!K226</f>
        <v>20969.662867987096</v>
      </c>
      <c r="G13" s="277">
        <f>F13*1.06</f>
        <v>22227.842640066323</v>
      </c>
      <c r="H13" s="278">
        <f t="shared" si="0"/>
        <v>2.0969662867987094E-3</v>
      </c>
      <c r="I13" s="279">
        <f t="shared" si="1"/>
        <v>2.2227842640066323E-3</v>
      </c>
    </row>
    <row r="14" spans="4:9" ht="19" x14ac:dyDescent="0.25">
      <c r="D14" s="393"/>
      <c r="E14" s="218" t="s">
        <v>439</v>
      </c>
      <c r="F14" s="221">
        <f>'Ore-&gt;PI'!BN258</f>
        <v>848176.43869784183</v>
      </c>
      <c r="G14" s="277">
        <f>F14*1.04</f>
        <v>882103.49624575558</v>
      </c>
      <c r="H14" s="278">
        <f t="shared" si="0"/>
        <v>8.4817643869784187E-2</v>
      </c>
      <c r="I14" s="279">
        <f t="shared" si="1"/>
        <v>8.8210349624575551E-2</v>
      </c>
    </row>
    <row r="15" spans="4:9" ht="20" thickBot="1" x14ac:dyDescent="0.3">
      <c r="D15" s="355"/>
      <c r="E15" s="218" t="s">
        <v>438</v>
      </c>
      <c r="F15" s="221">
        <f>'Ore-&gt;PI'!Z195+'Ore-&gt;PI'!AQ190+'Ore-&gt;PI'!BH195+'Ore-&gt;PI'!CU229</f>
        <v>316406.54544878984</v>
      </c>
      <c r="G15" s="277">
        <f>F15</f>
        <v>316406.54544878984</v>
      </c>
      <c r="H15" s="278">
        <f t="shared" si="0"/>
        <v>3.1640654544878986E-2</v>
      </c>
      <c r="I15" s="279">
        <f t="shared" si="1"/>
        <v>3.1640654544878986E-2</v>
      </c>
    </row>
    <row r="16" spans="4:9" ht="19" x14ac:dyDescent="0.25">
      <c r="D16" s="356" t="s">
        <v>353</v>
      </c>
      <c r="E16" s="218" t="s">
        <v>438</v>
      </c>
      <c r="F16" s="221">
        <f>'Ore-&gt;PI'!EM117</f>
        <v>317844.87395625591</v>
      </c>
      <c r="G16" s="277">
        <f>F16</f>
        <v>317844.87395625591</v>
      </c>
      <c r="H16" s="278">
        <f t="shared" si="0"/>
        <v>3.1784487395625588E-2</v>
      </c>
      <c r="I16" s="279">
        <f t="shared" si="1"/>
        <v>3.1784487395625588E-2</v>
      </c>
    </row>
    <row r="17" spans="4:9" ht="19" x14ac:dyDescent="0.25">
      <c r="D17" s="356"/>
      <c r="E17" s="218" t="s">
        <v>439</v>
      </c>
      <c r="F17" s="221">
        <f>'Ore-&gt;PI'!DW118</f>
        <v>2238733.4600397157</v>
      </c>
      <c r="G17" s="277">
        <f>F17*1.04</f>
        <v>2328282.7984413044</v>
      </c>
      <c r="H17" s="278">
        <f t="shared" si="0"/>
        <v>0.22387334600397157</v>
      </c>
      <c r="I17" s="279">
        <f t="shared" si="1"/>
        <v>0.23282827984413043</v>
      </c>
    </row>
    <row r="18" spans="4:9" ht="20" thickBot="1" x14ac:dyDescent="0.3">
      <c r="D18" s="357"/>
      <c r="E18" s="217" t="s">
        <v>576</v>
      </c>
      <c r="F18" s="220">
        <f>'Ore-&gt;PI'!DW105</f>
        <v>193470.79284293839</v>
      </c>
      <c r="G18" s="280">
        <f>1.06*F18</f>
        <v>205079.04041351471</v>
      </c>
      <c r="H18" s="281">
        <f t="shared" si="0"/>
        <v>1.9347079284293838E-2</v>
      </c>
      <c r="I18" s="282">
        <f t="shared" si="1"/>
        <v>2.0507904041351471E-2</v>
      </c>
    </row>
    <row r="23" spans="4:9" x14ac:dyDescent="0.2">
      <c r="E23" s="205" t="s">
        <v>437</v>
      </c>
      <c r="F23" s="3" t="s">
        <v>594</v>
      </c>
      <c r="G23" s="3" t="s">
        <v>595</v>
      </c>
      <c r="H23" s="3" t="s">
        <v>596</v>
      </c>
      <c r="I23" s="3" t="s">
        <v>597</v>
      </c>
    </row>
    <row r="24" spans="4:9" x14ac:dyDescent="0.2">
      <c r="E24" s="205" t="s">
        <v>592</v>
      </c>
      <c r="F24">
        <f>F7+F9+F13</f>
        <v>109371.91123586605</v>
      </c>
      <c r="G24">
        <f t="shared" ref="G24:I24" si="2">G7+G9+G13</f>
        <v>115934.22591001802</v>
      </c>
      <c r="H24">
        <f t="shared" si="2"/>
        <v>1.0937191123586605E-2</v>
      </c>
      <c r="I24">
        <f t="shared" si="2"/>
        <v>1.1593422591001804E-2</v>
      </c>
    </row>
    <row r="25" spans="4:9" x14ac:dyDescent="0.2">
      <c r="E25" s="205" t="s">
        <v>438</v>
      </c>
      <c r="F25">
        <f>F8+F15+F16</f>
        <v>1256522.920844394</v>
      </c>
      <c r="G25">
        <f>G8+G15+G16</f>
        <v>1256522.920844394</v>
      </c>
      <c r="H25">
        <f>H8+H15+H16</f>
        <v>0.1256522920844394</v>
      </c>
      <c r="I25">
        <f>I8+I15+I16</f>
        <v>0.1256522920844394</v>
      </c>
    </row>
    <row r="26" spans="4:9" x14ac:dyDescent="0.2">
      <c r="E26" s="205" t="s">
        <v>439</v>
      </c>
      <c r="F26">
        <f>F12+F17+F14</f>
        <v>1043002733.6681575</v>
      </c>
      <c r="G26">
        <f>G12+G17+G14</f>
        <v>1084722843.014884</v>
      </c>
      <c r="H26">
        <f>H12+H17+H14</f>
        <v>104.30027336681574</v>
      </c>
      <c r="I26">
        <f>I12+I17+I14</f>
        <v>108.47228430148837</v>
      </c>
    </row>
    <row r="27" spans="4:9" x14ac:dyDescent="0.2">
      <c r="E27" s="205" t="s">
        <v>593</v>
      </c>
      <c r="F27">
        <f>F10</f>
        <v>22.443944839719084</v>
      </c>
      <c r="G27">
        <f>G10</f>
        <v>23.341702633307847</v>
      </c>
      <c r="H27">
        <f>H10</f>
        <v>2.2443944839719085E-6</v>
      </c>
      <c r="I27">
        <f>I10</f>
        <v>2.3341702633307848E-6</v>
      </c>
    </row>
    <row r="28" spans="4:9" x14ac:dyDescent="0.2">
      <c r="E28" s="205" t="s">
        <v>576</v>
      </c>
      <c r="F28">
        <f>F18</f>
        <v>193470.79284293839</v>
      </c>
      <c r="G28">
        <f>G18</f>
        <v>205079.04041351471</v>
      </c>
      <c r="H28">
        <f>H18</f>
        <v>1.9347079284293838E-2</v>
      </c>
      <c r="I28">
        <f>I18</f>
        <v>2.0507904041351471E-2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7F6CF-3AC4-DD48-B0E4-0EBDB17AD871}">
  <dimension ref="B41:BP187"/>
  <sheetViews>
    <sheetView topLeftCell="A99" zoomScale="107" workbookViewId="0">
      <selection activeCell="K134" sqref="K134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3" width="11.1640625" style="3" bestFit="1" customWidth="1"/>
    <col min="4" max="4" width="11" style="3" bestFit="1" customWidth="1"/>
    <col min="5" max="5" width="11.1640625" style="3" bestFit="1" customWidth="1"/>
    <col min="6" max="6" width="11" style="3" bestFit="1" customWidth="1"/>
    <col min="7" max="7" width="11.33203125" style="3" bestFit="1" customWidth="1"/>
    <col min="8" max="8" width="11" style="3" bestFit="1" customWidth="1"/>
    <col min="9" max="10" width="11.1640625" style="3" bestFit="1" customWidth="1"/>
    <col min="11" max="11" width="12.83203125" style="3" bestFit="1" customWidth="1"/>
    <col min="12" max="26" width="11" style="3" bestFit="1" customWidth="1"/>
    <col min="27" max="42" width="10.83203125" style="3"/>
    <col min="43" max="43" width="16" style="3" customWidth="1"/>
    <col min="44" max="50" width="10.83203125" style="3"/>
    <col min="51" max="51" width="11.1640625" style="3" bestFit="1" customWidth="1"/>
    <col min="52" max="16384" width="10.83203125" style="3"/>
  </cols>
  <sheetData>
    <row r="41" spans="32:63" ht="112" x14ac:dyDescent="0.2">
      <c r="AO41" s="261" t="s">
        <v>458</v>
      </c>
      <c r="AP41" s="208" t="s">
        <v>418</v>
      </c>
      <c r="AQ41" s="208" t="s">
        <v>419</v>
      </c>
      <c r="AR41" s="208" t="s">
        <v>420</v>
      </c>
      <c r="AS41" s="208" t="s">
        <v>584</v>
      </c>
      <c r="AT41" s="208" t="s">
        <v>563</v>
      </c>
      <c r="AU41" s="208" t="s">
        <v>562</v>
      </c>
      <c r="AV41" s="208" t="s">
        <v>447</v>
      </c>
      <c r="AW41" s="208" t="s">
        <v>444</v>
      </c>
      <c r="AX41" s="208" t="s">
        <v>466</v>
      </c>
      <c r="AY41" s="208" t="s">
        <v>445</v>
      </c>
      <c r="AZ41" s="208" t="s">
        <v>440</v>
      </c>
      <c r="BA41" s="208" t="s">
        <v>462</v>
      </c>
      <c r="BB41" s="208" t="s">
        <v>81</v>
      </c>
      <c r="BC41" s="208" t="s">
        <v>430</v>
      </c>
      <c r="BH41" s="208"/>
      <c r="BI41" s="208" t="s">
        <v>424</v>
      </c>
      <c r="BJ41" s="208" t="s">
        <v>357</v>
      </c>
    </row>
    <row r="42" spans="32:63" x14ac:dyDescent="0.2">
      <c r="AF42" s="205"/>
      <c r="AO42" s="205" t="s">
        <v>426</v>
      </c>
      <c r="AP42" s="231">
        <f>'Ore-&gt;PI'!U42</f>
        <v>109233.7126431732</v>
      </c>
      <c r="AQ42" s="231"/>
      <c r="AR42" s="231"/>
      <c r="AS42" s="231"/>
      <c r="AT42" s="231"/>
      <c r="AU42" s="231"/>
      <c r="AV42" s="231"/>
      <c r="AW42" s="231"/>
      <c r="AX42" s="231"/>
      <c r="AY42" s="231"/>
      <c r="AZ42" s="231"/>
      <c r="BA42" s="231"/>
      <c r="BB42" s="231"/>
      <c r="BC42" s="231"/>
      <c r="BD42" s="253">
        <f>SUM(AP42:BC42)</f>
        <v>109233.7126431732</v>
      </c>
      <c r="BH42" s="205" t="s">
        <v>426</v>
      </c>
      <c r="BI42" s="245"/>
      <c r="BJ42" s="245"/>
      <c r="BK42" s="253">
        <f>SUM(BI42:BJ42)</f>
        <v>0</v>
      </c>
    </row>
    <row r="43" spans="32:63" x14ac:dyDescent="0.2">
      <c r="AF43" s="205"/>
      <c r="AO43" s="205" t="s">
        <v>428</v>
      </c>
      <c r="AP43" s="231"/>
      <c r="AQ43" s="231">
        <f>'Ore-&gt;PI'!U126</f>
        <v>25394.240916408646</v>
      </c>
      <c r="AR43" s="231"/>
      <c r="AS43" s="231"/>
      <c r="AT43" s="231"/>
      <c r="AU43" s="231"/>
      <c r="AV43" s="231"/>
      <c r="AW43" s="231"/>
      <c r="AX43" s="231"/>
      <c r="AY43" s="231"/>
      <c r="AZ43" s="231"/>
      <c r="BA43" s="231"/>
      <c r="BB43" s="231"/>
      <c r="BC43" s="231"/>
      <c r="BD43" s="253">
        <f>SUM(AP43:BC43)</f>
        <v>25394.240916408646</v>
      </c>
      <c r="BH43" s="205" t="s">
        <v>428</v>
      </c>
      <c r="BI43" s="245"/>
      <c r="BJ43" s="245"/>
      <c r="BK43" s="253">
        <f>SUM(BI43:BJ43)</f>
        <v>0</v>
      </c>
    </row>
    <row r="44" spans="32:63" x14ac:dyDescent="0.2">
      <c r="AF44" s="205"/>
      <c r="AO44" s="205" t="s">
        <v>429</v>
      </c>
      <c r="AP44" s="231"/>
      <c r="AQ44" s="231"/>
      <c r="AR44" s="231">
        <f>'Ore-&gt;PI'!U206</f>
        <v>8746311.5419027284</v>
      </c>
      <c r="AS44" s="231"/>
      <c r="AT44" s="231"/>
      <c r="AU44" s="231"/>
      <c r="AV44" s="231"/>
      <c r="AW44" s="231"/>
      <c r="AX44" s="231"/>
      <c r="AY44" s="231"/>
      <c r="AZ44" s="231"/>
      <c r="BA44" s="231"/>
      <c r="BB44" s="231"/>
      <c r="BC44" s="231"/>
      <c r="BD44" s="253">
        <f t="shared" ref="BD44:BD75" si="0">SUM(AP44:BC44)</f>
        <v>8746311.5419027284</v>
      </c>
      <c r="BH44" s="205" t="s">
        <v>429</v>
      </c>
      <c r="BI44" s="245"/>
      <c r="BJ44" s="245"/>
      <c r="BK44" s="253">
        <f>SUM(BI44:BJ44)</f>
        <v>0</v>
      </c>
    </row>
    <row r="45" spans="32:63" x14ac:dyDescent="0.2">
      <c r="AF45" s="205"/>
      <c r="AO45" s="205" t="s">
        <v>451</v>
      </c>
      <c r="AP45" s="231">
        <f>'Ore-&gt;PI'!U72</f>
        <v>233.82334445083558</v>
      </c>
      <c r="AQ45" s="231">
        <f>'Ore-&gt;PI'!U163</f>
        <v>0.70159378736823275</v>
      </c>
      <c r="AR45" s="231">
        <f>'Ore-&gt;PI'!U236</f>
        <v>9.9856594755010616E-2</v>
      </c>
      <c r="AS45" s="231"/>
      <c r="AT45" s="231"/>
      <c r="AU45" s="231"/>
      <c r="AV45" s="231"/>
      <c r="AW45" s="231"/>
      <c r="AX45" s="231"/>
      <c r="AY45" s="231">
        <f>'Ore-&gt;PI'!BX140</f>
        <v>2228.753251272266</v>
      </c>
      <c r="AZ45" s="231">
        <f>'Ore-&gt;PI'!BX242</f>
        <v>7.8280438423951519</v>
      </c>
      <c r="BA45" s="231"/>
      <c r="BB45" s="231"/>
      <c r="BC45" s="244">
        <f>'Ore-&gt;PI'!EG140</f>
        <v>23611.293462025522</v>
      </c>
      <c r="BD45" s="253">
        <f t="shared" si="0"/>
        <v>26082.499551973142</v>
      </c>
      <c r="BH45" s="205" t="s">
        <v>451</v>
      </c>
      <c r="BI45" s="245"/>
      <c r="BJ45" s="245"/>
      <c r="BK45" s="253">
        <f t="shared" ref="BK45:BK49" si="1">SUM(BI45:BJ45)</f>
        <v>0</v>
      </c>
    </row>
    <row r="46" spans="32:63" x14ac:dyDescent="0.2">
      <c r="AF46" s="205"/>
      <c r="AO46" s="205" t="s">
        <v>487</v>
      </c>
      <c r="AP46" s="231"/>
      <c r="AQ46" s="231"/>
      <c r="AR46" s="231"/>
      <c r="AS46" s="231"/>
      <c r="AT46" s="231"/>
      <c r="AU46" s="231"/>
      <c r="AV46" s="231"/>
      <c r="AW46" s="231"/>
      <c r="AX46" s="231"/>
      <c r="AY46" s="231">
        <f>'Ore-&gt;PI'!BX152</f>
        <v>1078370532.5161049</v>
      </c>
      <c r="AZ46" s="231">
        <f>'Ore-&gt;PI'!BX254</f>
        <v>879540.87913658854</v>
      </c>
      <c r="BA46" s="231"/>
      <c r="BB46" s="231"/>
      <c r="BC46" s="231">
        <f>'Ore-&gt;PI'!EG114</f>
        <v>2321518.855933811</v>
      </c>
      <c r="BD46" s="253">
        <f t="shared" si="0"/>
        <v>1081571592.2511754</v>
      </c>
      <c r="BH46" s="205" t="s">
        <v>487</v>
      </c>
      <c r="BI46" s="245"/>
      <c r="BJ46" s="245"/>
      <c r="BK46" s="253">
        <f t="shared" si="1"/>
        <v>0</v>
      </c>
    </row>
    <row r="47" spans="32:63" x14ac:dyDescent="0.2">
      <c r="AF47" s="205"/>
      <c r="AO47" s="205" t="s">
        <v>531</v>
      </c>
      <c r="AP47" s="231">
        <f>'Ore-&gt;PI'!U59</f>
        <v>87512.008023532893</v>
      </c>
      <c r="AQ47" s="231">
        <f>'Ore-&gt;PI'!U140</f>
        <v>239.81393514966189</v>
      </c>
      <c r="AR47" s="231">
        <f>'Ore-&gt;PI'!U222</f>
        <v>20815.376944573403</v>
      </c>
      <c r="AS47" s="231"/>
      <c r="AT47" s="231"/>
      <c r="AU47" s="231"/>
      <c r="AV47" s="231"/>
      <c r="AW47" s="231"/>
      <c r="AX47" s="231"/>
      <c r="AY47" s="231"/>
      <c r="AZ47" s="231"/>
      <c r="BA47" s="231"/>
      <c r="BB47" s="231"/>
      <c r="BC47" s="231"/>
      <c r="BD47" s="253">
        <f t="shared" si="0"/>
        <v>108567.19890325596</v>
      </c>
      <c r="BH47" s="205" t="s">
        <v>531</v>
      </c>
      <c r="BI47" s="245"/>
      <c r="BJ47" s="245"/>
      <c r="BK47" s="253">
        <f t="shared" si="1"/>
        <v>0</v>
      </c>
    </row>
    <row r="48" spans="32:63" x14ac:dyDescent="0.2">
      <c r="AF48" s="205"/>
      <c r="AO48" s="205" t="s">
        <v>532</v>
      </c>
      <c r="AP48" s="231"/>
      <c r="AQ48" s="231">
        <f>'Ore-&gt;PI'!U151</f>
        <v>24.513235855857225</v>
      </c>
      <c r="AR48" s="231"/>
      <c r="AS48" s="231"/>
      <c r="AT48" s="231"/>
      <c r="AU48" s="231"/>
      <c r="AV48" s="231"/>
      <c r="AW48" s="231"/>
      <c r="AX48" s="231"/>
      <c r="AY48" s="231"/>
      <c r="AZ48" s="231"/>
      <c r="BA48" s="231"/>
      <c r="BB48" s="231"/>
      <c r="BC48" s="231"/>
      <c r="BD48" s="253">
        <f t="shared" si="0"/>
        <v>24.513235855857225</v>
      </c>
      <c r="BH48" s="205" t="s">
        <v>532</v>
      </c>
      <c r="BI48" s="245"/>
      <c r="BJ48" s="245"/>
      <c r="BK48" s="253">
        <f t="shared" si="1"/>
        <v>0</v>
      </c>
    </row>
    <row r="49" spans="32:68" x14ac:dyDescent="0.2">
      <c r="AF49" s="205"/>
      <c r="AO49" s="205" t="s">
        <v>535</v>
      </c>
      <c r="AP49" s="231"/>
      <c r="AQ49" s="231"/>
      <c r="AR49" s="231"/>
      <c r="AS49" s="231"/>
      <c r="AT49" s="231"/>
      <c r="AU49" s="231"/>
      <c r="AV49" s="231"/>
      <c r="AW49" s="231"/>
      <c r="AX49" s="231"/>
      <c r="AY49" s="231"/>
      <c r="AZ49" s="231"/>
      <c r="BA49" s="231"/>
      <c r="BB49" s="231"/>
      <c r="BC49" s="231">
        <f>'Ore-&gt;PI'!EG101</f>
        <v>203313.0005430537</v>
      </c>
      <c r="BD49" s="253">
        <f t="shared" si="0"/>
        <v>203313.0005430537</v>
      </c>
      <c r="BH49" s="205" t="s">
        <v>535</v>
      </c>
      <c r="BI49" s="245"/>
      <c r="BJ49" s="245"/>
      <c r="BK49" s="253">
        <f t="shared" si="1"/>
        <v>0</v>
      </c>
    </row>
    <row r="50" spans="32:68" x14ac:dyDescent="0.2">
      <c r="AF50" s="205"/>
      <c r="AO50" s="205" t="s">
        <v>588</v>
      </c>
      <c r="AP50" s="231"/>
      <c r="AQ50" s="231"/>
      <c r="AR50" s="231">
        <f>'Ore-&gt;PI'!AB195</f>
        <v>77449.427901236573</v>
      </c>
      <c r="AS50" s="231">
        <f>'Ore-&gt;PI'!AS28</f>
        <v>609792.2517593482</v>
      </c>
      <c r="AT50" s="231">
        <f>'Ore-&gt;PI'!AS113</f>
        <v>2824.8856477449194</v>
      </c>
      <c r="AU50" s="231">
        <f>'Ore-&gt;PI'!AS190</f>
        <v>160253.43323591491</v>
      </c>
      <c r="AV50" s="231">
        <f>'Ore-&gt;PI'!BK35</f>
        <v>12626.098826338684</v>
      </c>
      <c r="AW50" s="231">
        <f>'Ore-&gt;PI'!BJ116</f>
        <v>34.678095164114971</v>
      </c>
      <c r="AX50" s="231">
        <f>'Ore-&gt;PI'!BJ195</f>
        <v>28604.157765782104</v>
      </c>
      <c r="AY50" s="231"/>
      <c r="AZ50" s="231"/>
      <c r="BA50" s="231"/>
      <c r="BB50" s="231"/>
      <c r="BC50" s="231">
        <f>'Ore-&gt;PI'!EO117</f>
        <v>317844.87395625591</v>
      </c>
      <c r="BD50" s="253">
        <f t="shared" si="0"/>
        <v>1209429.8071877854</v>
      </c>
      <c r="BH50" s="205" t="s">
        <v>588</v>
      </c>
      <c r="BI50" s="245"/>
      <c r="BJ50" s="245"/>
      <c r="BK50" s="253">
        <f t="shared" ref="BK50:BK56" si="2">SUM(BI50:BJ50)</f>
        <v>0</v>
      </c>
    </row>
    <row r="51" spans="32:68" ht="16" x14ac:dyDescent="0.2">
      <c r="AF51" s="247"/>
      <c r="AO51" s="206" t="s">
        <v>570</v>
      </c>
      <c r="AP51" s="231"/>
      <c r="AQ51" s="231"/>
      <c r="AR51" s="231"/>
      <c r="AS51" s="231">
        <f>'Ore-&gt;PI'!AM42</f>
        <v>109233.7126431732</v>
      </c>
      <c r="AT51" s="231"/>
      <c r="AU51" s="231"/>
      <c r="AV51" s="231"/>
      <c r="AW51" s="231"/>
      <c r="AX51" s="231"/>
      <c r="AY51" s="231"/>
      <c r="AZ51" s="231"/>
      <c r="BA51" s="231"/>
      <c r="BB51" s="231"/>
      <c r="BC51" s="231"/>
      <c r="BD51" s="253">
        <f t="shared" si="0"/>
        <v>109233.7126431732</v>
      </c>
      <c r="BH51" s="206" t="s">
        <v>570</v>
      </c>
      <c r="BI51" s="245"/>
      <c r="BJ51" s="245"/>
      <c r="BK51" s="253">
        <f t="shared" si="2"/>
        <v>0</v>
      </c>
    </row>
    <row r="52" spans="32:68" ht="16" x14ac:dyDescent="0.2">
      <c r="AF52" s="206"/>
      <c r="AO52" s="205" t="s">
        <v>533</v>
      </c>
      <c r="AP52" s="231"/>
      <c r="AQ52" s="231"/>
      <c r="AR52" s="231"/>
      <c r="AS52" s="231"/>
      <c r="AT52" s="231"/>
      <c r="AU52" s="231"/>
      <c r="AV52" s="231"/>
      <c r="AW52" s="231"/>
      <c r="AX52" s="231"/>
      <c r="AY52" s="231"/>
      <c r="AZ52" s="231"/>
      <c r="BA52" s="231"/>
      <c r="BB52" s="231"/>
      <c r="BC52" s="231"/>
      <c r="BD52" s="253">
        <f t="shared" si="0"/>
        <v>0</v>
      </c>
      <c r="BH52" s="205" t="s">
        <v>533</v>
      </c>
      <c r="BI52" s="245"/>
      <c r="BJ52" s="245">
        <f>'Ore-&gt;PI'!AM63</f>
        <v>2396.1586162428257</v>
      </c>
      <c r="BK52" s="253">
        <f t="shared" si="2"/>
        <v>2396.1586162428257</v>
      </c>
    </row>
    <row r="53" spans="32:68" ht="16" x14ac:dyDescent="0.2">
      <c r="AF53" s="207"/>
      <c r="AO53" s="206" t="s">
        <v>536</v>
      </c>
      <c r="AP53" s="231"/>
      <c r="AQ53" s="231"/>
      <c r="AR53" s="231"/>
      <c r="AS53" s="231"/>
      <c r="AT53" s="231">
        <f>'Ore-&gt;PI'!AN126</f>
        <v>25394.240916408646</v>
      </c>
      <c r="AU53" s="231"/>
      <c r="AV53" s="231"/>
      <c r="AW53" s="231"/>
      <c r="AX53" s="231"/>
      <c r="AY53" s="231"/>
      <c r="AZ53" s="231"/>
      <c r="BA53" s="231"/>
      <c r="BB53" s="231"/>
      <c r="BC53" s="231"/>
      <c r="BD53" s="253">
        <f t="shared" si="0"/>
        <v>25394.240916408646</v>
      </c>
      <c r="BH53" s="206" t="s">
        <v>536</v>
      </c>
      <c r="BI53" s="245"/>
      <c r="BJ53" s="249"/>
      <c r="BK53" s="253">
        <f t="shared" si="2"/>
        <v>0</v>
      </c>
    </row>
    <row r="54" spans="32:68" x14ac:dyDescent="0.2">
      <c r="AF54" s="207"/>
      <c r="AO54" s="205" t="s">
        <v>565</v>
      </c>
      <c r="AP54" s="231"/>
      <c r="AQ54" s="231"/>
      <c r="AR54" s="231"/>
      <c r="AS54" s="231"/>
      <c r="AT54" s="231"/>
      <c r="AU54" s="231"/>
      <c r="AV54" s="231"/>
      <c r="AW54" s="231"/>
      <c r="AX54" s="231"/>
      <c r="AY54" s="231"/>
      <c r="AZ54" s="231"/>
      <c r="BA54" s="231"/>
      <c r="BB54" s="244"/>
      <c r="BC54" s="231"/>
      <c r="BD54" s="253">
        <f t="shared" si="0"/>
        <v>0</v>
      </c>
      <c r="BH54" s="205" t="s">
        <v>565</v>
      </c>
      <c r="BI54" s="245"/>
      <c r="BJ54" s="245">
        <f>'Ore-&gt;PI'!AN142</f>
        <v>7.1782646247188149</v>
      </c>
      <c r="BK54" s="253">
        <f t="shared" si="2"/>
        <v>7.1782646247188149</v>
      </c>
    </row>
    <row r="55" spans="32:68" x14ac:dyDescent="0.2">
      <c r="AF55" s="207"/>
      <c r="AO55" s="207" t="s">
        <v>557</v>
      </c>
      <c r="AP55" s="231"/>
      <c r="AQ55" s="231"/>
      <c r="AR55" s="231"/>
      <c r="AS55" s="231"/>
      <c r="AT55" s="231"/>
      <c r="AU55" s="231">
        <f>'Ore-&gt;PI'!AN206</f>
        <v>8746311.5419027284</v>
      </c>
      <c r="AV55" s="231"/>
      <c r="AW55" s="231"/>
      <c r="AX55" s="231"/>
      <c r="AY55" s="231"/>
      <c r="AZ55" s="231"/>
      <c r="BA55" s="231"/>
      <c r="BB55" s="231"/>
      <c r="BC55" s="244"/>
      <c r="BD55" s="253">
        <f t="shared" si="0"/>
        <v>8746311.5419027284</v>
      </c>
      <c r="BH55" s="207" t="s">
        <v>557</v>
      </c>
      <c r="BI55" s="245"/>
      <c r="BJ55" s="245"/>
      <c r="BK55" s="253">
        <f t="shared" si="2"/>
        <v>0</v>
      </c>
    </row>
    <row r="56" spans="32:68" x14ac:dyDescent="0.2">
      <c r="AF56" s="207"/>
      <c r="AO56" s="205" t="s">
        <v>540</v>
      </c>
      <c r="AP56" s="231"/>
      <c r="AQ56" s="231"/>
      <c r="AR56" s="231"/>
      <c r="AS56" s="231"/>
      <c r="AT56" s="231"/>
      <c r="AU56" s="231"/>
      <c r="AV56" s="231"/>
      <c r="AW56" s="231"/>
      <c r="AX56" s="231"/>
      <c r="AY56" s="231"/>
      <c r="AZ56" s="231"/>
      <c r="BA56" s="231"/>
      <c r="BB56" s="231"/>
      <c r="BC56" s="231"/>
      <c r="BD56" s="253">
        <f t="shared" si="0"/>
        <v>0</v>
      </c>
      <c r="BH56" s="205" t="s">
        <v>540</v>
      </c>
      <c r="BI56" s="245"/>
      <c r="BJ56" s="245">
        <f>'Ore-&gt;PI'!AN227</f>
        <v>569.94401045704944</v>
      </c>
      <c r="BK56" s="253">
        <f t="shared" si="2"/>
        <v>569.94401045704944</v>
      </c>
      <c r="BL56" s="25"/>
      <c r="BM56" s="25"/>
      <c r="BN56" s="25"/>
      <c r="BO56" s="25"/>
      <c r="BP56" s="25"/>
    </row>
    <row r="57" spans="32:68" ht="16" x14ac:dyDescent="0.2">
      <c r="AF57" s="207"/>
      <c r="AO57" s="206" t="s">
        <v>569</v>
      </c>
      <c r="AP57" s="231"/>
      <c r="AQ57" s="231"/>
      <c r="AR57" s="231"/>
      <c r="AS57" s="231"/>
      <c r="AT57" s="231"/>
      <c r="AU57" s="231"/>
      <c r="AV57" s="231">
        <f>'Ore-&gt;PI'!BE42</f>
        <v>109233.7126431732</v>
      </c>
      <c r="AW57" s="231"/>
      <c r="AX57" s="231"/>
      <c r="AY57" s="231"/>
      <c r="AZ57" s="231"/>
      <c r="BA57" s="231"/>
      <c r="BB57" s="231"/>
      <c r="BC57" s="231"/>
      <c r="BD57" s="253">
        <f t="shared" si="0"/>
        <v>109233.7126431732</v>
      </c>
      <c r="BH57" s="206" t="s">
        <v>569</v>
      </c>
      <c r="BI57" s="245"/>
      <c r="BJ57" s="245"/>
      <c r="BK57" s="253">
        <f t="shared" ref="BK57:BK75" si="3">SUM(BI57:BJ57)</f>
        <v>0</v>
      </c>
    </row>
    <row r="58" spans="32:68" ht="16" x14ac:dyDescent="0.2">
      <c r="AF58" s="207"/>
      <c r="AO58" s="206" t="s">
        <v>564</v>
      </c>
      <c r="AP58" s="231"/>
      <c r="AQ58" s="231"/>
      <c r="AR58" s="231"/>
      <c r="AS58" s="231"/>
      <c r="AT58" s="231"/>
      <c r="AU58" s="231"/>
      <c r="AV58" s="231"/>
      <c r="AW58" s="231">
        <f>'Ore-&gt;PI'!BF126</f>
        <v>25394.240916408646</v>
      </c>
      <c r="AX58" s="231"/>
      <c r="AY58" s="231"/>
      <c r="AZ58" s="231"/>
      <c r="BA58" s="231"/>
      <c r="BB58" s="231"/>
      <c r="BC58" s="231"/>
      <c r="BD58" s="253">
        <f t="shared" si="0"/>
        <v>25394.240916408646</v>
      </c>
      <c r="BH58" s="206" t="s">
        <v>564</v>
      </c>
      <c r="BI58" s="245"/>
      <c r="BJ58" s="245"/>
      <c r="BK58" s="253">
        <f t="shared" si="3"/>
        <v>0</v>
      </c>
    </row>
    <row r="59" spans="32:68" ht="16" x14ac:dyDescent="0.2">
      <c r="AF59" s="207"/>
      <c r="AO59" s="206" t="s">
        <v>561</v>
      </c>
      <c r="AP59" s="231"/>
      <c r="AQ59" s="231"/>
      <c r="AR59" s="231"/>
      <c r="AS59" s="231"/>
      <c r="AT59" s="231"/>
      <c r="AU59" s="231"/>
      <c r="AV59" s="231"/>
      <c r="AW59" s="231"/>
      <c r="AX59" s="231">
        <f>'Ore-&gt;PI'!BF206</f>
        <v>8746311.5419027284</v>
      </c>
      <c r="AY59" s="231"/>
      <c r="AZ59" s="231"/>
      <c r="BA59" s="231"/>
      <c r="BB59" s="231"/>
      <c r="BC59" s="231"/>
      <c r="BD59" s="253">
        <f t="shared" si="0"/>
        <v>8746311.5419027284</v>
      </c>
      <c r="BH59" s="206" t="s">
        <v>561</v>
      </c>
      <c r="BI59" s="245"/>
      <c r="BJ59" s="245"/>
      <c r="BK59" s="253">
        <f t="shared" si="3"/>
        <v>0</v>
      </c>
    </row>
    <row r="60" spans="32:68" ht="16" x14ac:dyDescent="0.2">
      <c r="AF60" s="254"/>
      <c r="AO60" s="206" t="s">
        <v>567</v>
      </c>
      <c r="AP60" s="231"/>
      <c r="AQ60" s="231"/>
      <c r="AR60" s="231"/>
      <c r="AS60" s="231"/>
      <c r="AT60" s="231"/>
      <c r="AU60" s="231"/>
      <c r="AV60" s="231"/>
      <c r="AW60" s="231"/>
      <c r="AX60" s="231"/>
      <c r="AY60" s="231"/>
      <c r="AZ60" s="231"/>
      <c r="BA60" s="231"/>
      <c r="BB60" s="231">
        <f>'Ore-&gt;PI'!BW42</f>
        <v>88965.799815334409</v>
      </c>
      <c r="BC60" s="231"/>
      <c r="BD60" s="253">
        <f t="shared" si="0"/>
        <v>88965.799815334409</v>
      </c>
      <c r="BH60" s="206" t="s">
        <v>567</v>
      </c>
      <c r="BI60" s="245"/>
      <c r="BJ60" s="245"/>
      <c r="BK60" s="253">
        <f t="shared" si="3"/>
        <v>0</v>
      </c>
    </row>
    <row r="61" spans="32:68" x14ac:dyDescent="0.2">
      <c r="AF61" s="207"/>
      <c r="AO61" s="207" t="s">
        <v>566</v>
      </c>
      <c r="AP61" s="231"/>
      <c r="AQ61" s="231"/>
      <c r="AR61" s="231"/>
      <c r="AS61" s="231"/>
      <c r="AT61" s="231"/>
      <c r="AU61" s="231"/>
      <c r="AV61" s="231"/>
      <c r="AW61" s="231"/>
      <c r="AX61" s="231"/>
      <c r="AY61" s="231"/>
      <c r="AZ61" s="231"/>
      <c r="BA61" s="231"/>
      <c r="BB61" s="231"/>
      <c r="BC61" s="244"/>
      <c r="BD61" s="253">
        <f t="shared" si="0"/>
        <v>0</v>
      </c>
      <c r="BE61" s="25"/>
      <c r="BF61" s="25"/>
      <c r="BH61" s="207" t="s">
        <v>566</v>
      </c>
      <c r="BI61" s="245"/>
      <c r="BJ61" s="245">
        <f>'Ore-&gt;PI'!BW55</f>
        <v>21743.416787545681</v>
      </c>
      <c r="BK61" s="253">
        <f t="shared" si="3"/>
        <v>21743.416787545681</v>
      </c>
    </row>
    <row r="62" spans="32:68" x14ac:dyDescent="0.2">
      <c r="AF62" s="207"/>
      <c r="AO62" s="207" t="s">
        <v>549</v>
      </c>
      <c r="AP62" s="231"/>
      <c r="AQ62" s="231"/>
      <c r="AR62" s="231"/>
      <c r="AS62" s="231"/>
      <c r="AT62" s="231"/>
      <c r="AU62" s="231"/>
      <c r="AV62" s="231"/>
      <c r="AW62" s="231"/>
      <c r="AX62" s="231"/>
      <c r="AY62" s="231">
        <f>'Ore-&gt;PI'!BX126</f>
        <v>25394.240916408646</v>
      </c>
      <c r="AZ62" s="231"/>
      <c r="BA62" s="231"/>
      <c r="BB62" s="231"/>
      <c r="BC62" s="231"/>
      <c r="BD62" s="253">
        <f t="shared" si="0"/>
        <v>25394.240916408646</v>
      </c>
      <c r="BH62" s="207" t="s">
        <v>549</v>
      </c>
      <c r="BI62" s="245"/>
      <c r="BJ62" s="245"/>
      <c r="BK62" s="253">
        <f t="shared" si="3"/>
        <v>0</v>
      </c>
    </row>
    <row r="63" spans="32:68" x14ac:dyDescent="0.2">
      <c r="AF63" s="207"/>
      <c r="AO63" s="207" t="s">
        <v>585</v>
      </c>
      <c r="AP63" s="231"/>
      <c r="AQ63" s="231"/>
      <c r="AR63" s="231"/>
      <c r="AS63" s="231"/>
      <c r="AT63" s="231"/>
      <c r="AU63" s="231"/>
      <c r="AV63" s="231"/>
      <c r="AW63" s="231"/>
      <c r="AX63" s="231"/>
      <c r="AY63" s="231"/>
      <c r="AZ63" s="231">
        <f>'Ore-&gt;PI'!BX206</f>
        <v>8746311.5419027284</v>
      </c>
      <c r="BA63" s="231"/>
      <c r="BB63" s="231"/>
      <c r="BC63" s="231"/>
      <c r="BD63" s="253">
        <f t="shared" si="0"/>
        <v>8746311.5419027284</v>
      </c>
      <c r="BH63" s="207" t="s">
        <v>585</v>
      </c>
      <c r="BI63" s="245"/>
      <c r="BJ63" s="245"/>
      <c r="BK63" s="253">
        <f t="shared" si="3"/>
        <v>0</v>
      </c>
    </row>
    <row r="64" spans="32:68" x14ac:dyDescent="0.2">
      <c r="AF64" s="207"/>
      <c r="AO64" s="207" t="s">
        <v>550</v>
      </c>
      <c r="AP64" s="231"/>
      <c r="AQ64" s="231"/>
      <c r="AR64" s="231"/>
      <c r="AS64" s="231"/>
      <c r="AT64" s="231"/>
      <c r="AU64" s="231"/>
      <c r="AV64" s="231"/>
      <c r="AW64" s="231"/>
      <c r="AX64" s="231"/>
      <c r="AY64" s="231"/>
      <c r="AZ64" s="231"/>
      <c r="BA64" s="231"/>
      <c r="BB64" s="231">
        <f>'Ore-&gt;PI'!CR126</f>
        <v>242016.07607977447</v>
      </c>
      <c r="BC64" s="231"/>
      <c r="BD64" s="253">
        <f t="shared" si="0"/>
        <v>242016.07607977447</v>
      </c>
      <c r="BH64" s="207" t="s">
        <v>550</v>
      </c>
      <c r="BI64" s="245"/>
      <c r="BJ64" s="245"/>
      <c r="BK64" s="253">
        <f t="shared" si="3"/>
        <v>0</v>
      </c>
    </row>
    <row r="65" spans="2:63" x14ac:dyDescent="0.2">
      <c r="AF65" s="207"/>
      <c r="AO65" s="207" t="s">
        <v>552</v>
      </c>
      <c r="AP65" s="231"/>
      <c r="AQ65" s="231"/>
      <c r="AR65" s="231"/>
      <c r="AS65" s="231"/>
      <c r="AT65" s="231"/>
      <c r="AU65" s="231"/>
      <c r="AV65" s="231"/>
      <c r="AW65" s="231"/>
      <c r="AX65" s="231"/>
      <c r="AY65" s="231"/>
      <c r="AZ65" s="231"/>
      <c r="BA65" s="231"/>
      <c r="BB65" s="231"/>
      <c r="BC65" s="244"/>
      <c r="BD65" s="253">
        <f t="shared" si="0"/>
        <v>0</v>
      </c>
      <c r="BH65" s="207" t="s">
        <v>552</v>
      </c>
      <c r="BI65" s="245"/>
      <c r="BJ65" s="245">
        <f>'Ore-&gt;PI'!CR114</f>
        <v>7739.2511800711582</v>
      </c>
      <c r="BK65" s="253">
        <f t="shared" si="3"/>
        <v>7739.2511800711582</v>
      </c>
    </row>
    <row r="66" spans="2:63" x14ac:dyDescent="0.2">
      <c r="AF66" s="207"/>
      <c r="AO66" s="207" t="s">
        <v>551</v>
      </c>
      <c r="AP66" s="231"/>
      <c r="AQ66" s="231"/>
      <c r="AR66" s="231"/>
      <c r="AS66" s="231"/>
      <c r="AT66" s="231"/>
      <c r="AU66" s="231"/>
      <c r="AV66" s="231"/>
      <c r="AW66" s="231"/>
      <c r="AX66" s="231"/>
      <c r="AY66" s="231"/>
      <c r="AZ66" s="231"/>
      <c r="BA66" s="231"/>
      <c r="BB66" s="231"/>
      <c r="BC66" s="231"/>
      <c r="BD66" s="253">
        <f t="shared" si="0"/>
        <v>0</v>
      </c>
      <c r="BH66" s="207" t="s">
        <v>551</v>
      </c>
      <c r="BI66" s="245"/>
      <c r="BJ66" s="245">
        <f>'Ore-&gt;PI'!CR138</f>
        <v>1065721621.9898958</v>
      </c>
      <c r="BK66" s="253">
        <f t="shared" si="3"/>
        <v>1065721621.9898958</v>
      </c>
    </row>
    <row r="67" spans="2:63" x14ac:dyDescent="0.2">
      <c r="AF67" s="207"/>
      <c r="AO67" s="207" t="s">
        <v>545</v>
      </c>
      <c r="AP67" s="231"/>
      <c r="AQ67" s="231"/>
      <c r="AR67" s="231"/>
      <c r="AS67" s="231"/>
      <c r="AT67" s="231"/>
      <c r="AU67" s="231"/>
      <c r="AV67" s="231"/>
      <c r="AW67" s="231"/>
      <c r="AX67" s="231"/>
      <c r="AY67" s="231"/>
      <c r="AZ67" s="231"/>
      <c r="BA67" s="231"/>
      <c r="BB67" s="231">
        <f>'Ore-&gt;PI'!CP206</f>
        <v>6791339.3350291392</v>
      </c>
      <c r="BC67" s="231"/>
      <c r="BD67" s="253">
        <f t="shared" si="0"/>
        <v>6791339.3350291392</v>
      </c>
      <c r="BH67" s="207" t="s">
        <v>545</v>
      </c>
      <c r="BI67" s="245"/>
      <c r="BJ67" s="245"/>
      <c r="BK67" s="253">
        <f t="shared" si="3"/>
        <v>0</v>
      </c>
    </row>
    <row r="68" spans="2:63" ht="16" x14ac:dyDescent="0.2">
      <c r="AF68" s="207"/>
      <c r="AO68" s="254" t="s">
        <v>547</v>
      </c>
      <c r="AP68" s="231"/>
      <c r="AQ68" s="231"/>
      <c r="AR68" s="231"/>
      <c r="AS68" s="231"/>
      <c r="AT68" s="231"/>
      <c r="AU68" s="231"/>
      <c r="AV68" s="231"/>
      <c r="AW68" s="231"/>
      <c r="AX68" s="231"/>
      <c r="AY68" s="231"/>
      <c r="AZ68" s="231"/>
      <c r="BA68" s="231">
        <f>'Ore-&gt;PI'!CP233</f>
        <v>5935408.0537775028</v>
      </c>
      <c r="BB68" s="231"/>
      <c r="BC68" s="231"/>
      <c r="BD68" s="253">
        <f t="shared" si="0"/>
        <v>5935408.0537775028</v>
      </c>
      <c r="BH68" s="254" t="s">
        <v>547</v>
      </c>
      <c r="BI68" s="245"/>
      <c r="BJ68" s="245"/>
      <c r="BK68" s="253">
        <f t="shared" si="3"/>
        <v>0</v>
      </c>
    </row>
    <row r="69" spans="2:63" x14ac:dyDescent="0.2">
      <c r="AF69" s="207"/>
      <c r="AO69" s="207" t="s">
        <v>546</v>
      </c>
      <c r="AP69" s="231"/>
      <c r="AQ69" s="231"/>
      <c r="AR69" s="231"/>
      <c r="AS69" s="231"/>
      <c r="AT69" s="231"/>
      <c r="AU69" s="231"/>
      <c r="AV69" s="231"/>
      <c r="AW69" s="231"/>
      <c r="AX69" s="231"/>
      <c r="AY69" s="231"/>
      <c r="AZ69" s="231"/>
      <c r="BA69" s="231"/>
      <c r="BB69" s="231"/>
      <c r="BC69" s="231"/>
      <c r="BD69" s="253">
        <f t="shared" si="0"/>
        <v>0</v>
      </c>
      <c r="BH69" s="207" t="s">
        <v>546</v>
      </c>
      <c r="BI69" s="245"/>
      <c r="BJ69" s="245">
        <f>'Ore-&gt;PI'!CP217</f>
        <v>5366.0434241372932</v>
      </c>
      <c r="BK69" s="253">
        <f t="shared" si="3"/>
        <v>5366.0434241372932</v>
      </c>
    </row>
    <row r="70" spans="2:63" x14ac:dyDescent="0.2">
      <c r="AF70" s="207"/>
      <c r="AO70" s="205" t="s">
        <v>548</v>
      </c>
      <c r="AP70" s="231"/>
      <c r="AQ70" s="231"/>
      <c r="AR70" s="231"/>
      <c r="AS70" s="231"/>
      <c r="AT70" s="231"/>
      <c r="AU70" s="231"/>
      <c r="AV70" s="231"/>
      <c r="AW70" s="231"/>
      <c r="AX70" s="231"/>
      <c r="AY70" s="231"/>
      <c r="AZ70" s="231"/>
      <c r="BA70" s="231"/>
      <c r="BB70" s="231"/>
      <c r="BC70" s="231"/>
      <c r="BD70" s="253">
        <f t="shared" si="0"/>
        <v>0</v>
      </c>
      <c r="BH70" s="205" t="s">
        <v>548</v>
      </c>
      <c r="BI70" s="245"/>
      <c r="BJ70" s="245">
        <f>'Ore-&gt;PI'!CP250</f>
        <v>50611.612737094918</v>
      </c>
      <c r="BK70" s="253">
        <f t="shared" si="3"/>
        <v>50611.612737094918</v>
      </c>
    </row>
    <row r="71" spans="2:63" x14ac:dyDescent="0.2">
      <c r="AF71" s="207"/>
      <c r="AO71" s="207" t="s">
        <v>543</v>
      </c>
      <c r="AP71" s="231"/>
      <c r="AQ71" s="231"/>
      <c r="AR71" s="231"/>
      <c r="AS71" s="231"/>
      <c r="AT71" s="231"/>
      <c r="AU71" s="231"/>
      <c r="AV71" s="231"/>
      <c r="AW71" s="231"/>
      <c r="AX71" s="231"/>
      <c r="AY71" s="231"/>
      <c r="AZ71" s="231">
        <f>'Ore-&gt;PI'!BX225</f>
        <v>891683.71589033271</v>
      </c>
      <c r="BA71" s="231"/>
      <c r="BB71" s="231"/>
      <c r="BC71" s="244">
        <f>'Ore-&gt;PI'!EG152</f>
        <v>4161190.674154886</v>
      </c>
      <c r="BD71" s="253">
        <f t="shared" si="0"/>
        <v>5052874.3900452191</v>
      </c>
      <c r="BH71" s="207" t="s">
        <v>543</v>
      </c>
      <c r="BI71" s="245">
        <f>'Ore-&gt;PI'!EN233</f>
        <v>891683.71589033271</v>
      </c>
      <c r="BJ71" s="245"/>
      <c r="BK71" s="253">
        <f t="shared" si="3"/>
        <v>891683.71589033271</v>
      </c>
    </row>
    <row r="72" spans="2:63" x14ac:dyDescent="0.2">
      <c r="AF72" s="207"/>
      <c r="AO72" s="207" t="s">
        <v>573</v>
      </c>
      <c r="AP72" s="231"/>
      <c r="AQ72" s="231"/>
      <c r="AR72" s="231"/>
      <c r="AS72" s="231"/>
      <c r="AT72" s="231"/>
      <c r="AU72" s="231"/>
      <c r="AV72" s="231"/>
      <c r="AW72" s="231"/>
      <c r="AX72" s="231"/>
      <c r="AY72" s="231"/>
      <c r="AZ72" s="231"/>
      <c r="BA72" s="231"/>
      <c r="BB72" s="231"/>
      <c r="BC72" s="244">
        <f>'Ore-&gt;PI'!EG126</f>
        <v>7072531.8830895294</v>
      </c>
      <c r="BD72" s="253">
        <f t="shared" si="0"/>
        <v>7072531.8830895294</v>
      </c>
      <c r="BH72" s="207" t="s">
        <v>573</v>
      </c>
      <c r="BI72" s="245"/>
      <c r="BJ72" s="245"/>
      <c r="BK72" s="253">
        <f t="shared" si="3"/>
        <v>0</v>
      </c>
    </row>
    <row r="73" spans="2:63" x14ac:dyDescent="0.2">
      <c r="AF73" s="207"/>
      <c r="AO73" s="207" t="s">
        <v>574</v>
      </c>
      <c r="AP73" s="231"/>
      <c r="AQ73" s="231"/>
      <c r="AR73" s="231"/>
      <c r="AS73" s="231"/>
      <c r="AT73" s="231"/>
      <c r="AU73" s="231"/>
      <c r="AV73" s="231"/>
      <c r="AW73" s="231"/>
      <c r="AX73" s="231"/>
      <c r="AY73" s="231"/>
      <c r="AZ73" s="231"/>
      <c r="BA73" s="231"/>
      <c r="BB73" s="231"/>
      <c r="BC73" s="231"/>
      <c r="BD73" s="253">
        <f t="shared" si="0"/>
        <v>0</v>
      </c>
      <c r="BH73" s="207" t="s">
        <v>574</v>
      </c>
      <c r="BI73" s="245">
        <f>'Ore-&gt;PI'!FF126</f>
        <v>4157895.2984628798</v>
      </c>
      <c r="BJ73" s="245"/>
      <c r="BK73" s="253">
        <f t="shared" si="3"/>
        <v>4157895.2984628798</v>
      </c>
    </row>
    <row r="74" spans="2:63" x14ac:dyDescent="0.2">
      <c r="AF74" s="207"/>
      <c r="AO74" s="207" t="s">
        <v>575</v>
      </c>
      <c r="AP74" s="231"/>
      <c r="AQ74" s="231"/>
      <c r="AR74" s="231"/>
      <c r="AS74" s="231"/>
      <c r="AT74" s="231"/>
      <c r="AU74" s="231"/>
      <c r="AV74" s="231"/>
      <c r="AW74" s="231"/>
      <c r="AX74" s="231"/>
      <c r="AY74" s="231"/>
      <c r="AZ74" s="231"/>
      <c r="BA74" s="231"/>
      <c r="BB74" s="231"/>
      <c r="BC74" s="231"/>
      <c r="BD74" s="253">
        <f t="shared" si="0"/>
        <v>0</v>
      </c>
      <c r="BH74" s="207" t="s">
        <v>575</v>
      </c>
      <c r="BI74" s="245"/>
      <c r="BJ74" s="245">
        <f>'Ore-&gt;PI'!FF141</f>
        <v>432711.9695416363</v>
      </c>
      <c r="BK74" s="253">
        <f t="shared" si="3"/>
        <v>432711.9695416363</v>
      </c>
    </row>
    <row r="75" spans="2:63" x14ac:dyDescent="0.2">
      <c r="AF75" s="207"/>
      <c r="AO75" s="207" t="s">
        <v>586</v>
      </c>
      <c r="AP75" s="231"/>
      <c r="AQ75" s="231"/>
      <c r="AR75" s="231"/>
      <c r="AS75" s="231"/>
      <c r="AT75" s="231"/>
      <c r="AU75" s="231"/>
      <c r="AV75" s="231"/>
      <c r="AW75" s="231"/>
      <c r="AX75" s="231"/>
      <c r="AY75" s="231"/>
      <c r="AZ75" s="231"/>
      <c r="BA75" s="231"/>
      <c r="BB75" s="231"/>
      <c r="BC75" s="231"/>
      <c r="BD75" s="253">
        <f t="shared" si="0"/>
        <v>0</v>
      </c>
      <c r="BH75" s="207" t="s">
        <v>586</v>
      </c>
      <c r="BI75" s="245"/>
      <c r="BJ75" s="245">
        <f>'Ore-&gt;PI'!FF104</f>
        <v>67875.356217847453</v>
      </c>
      <c r="BK75" s="253">
        <f t="shared" si="3"/>
        <v>67875.356217847453</v>
      </c>
    </row>
    <row r="76" spans="2:63" x14ac:dyDescent="0.2">
      <c r="AF76" s="207"/>
      <c r="AO76" s="207"/>
      <c r="AP76" s="347" t="s">
        <v>421</v>
      </c>
      <c r="AQ76" s="347"/>
      <c r="AR76" s="347"/>
      <c r="AS76" s="347"/>
      <c r="AT76" s="347"/>
      <c r="AU76" s="347"/>
      <c r="AV76" s="347"/>
      <c r="AW76" s="347"/>
      <c r="AX76" s="347"/>
      <c r="AY76" s="347"/>
      <c r="AZ76" s="347"/>
      <c r="BA76" s="347"/>
      <c r="BB76" s="347"/>
      <c r="BC76" s="347"/>
      <c r="BD76" s="25" t="s">
        <v>479</v>
      </c>
      <c r="BI76" s="347" t="s">
        <v>423</v>
      </c>
      <c r="BJ76" s="347"/>
      <c r="BK76" s="25" t="s">
        <v>494</v>
      </c>
    </row>
    <row r="77" spans="2:63" x14ac:dyDescent="0.2">
      <c r="AF77" s="207"/>
      <c r="AO77" s="207"/>
      <c r="AP77" s="253">
        <f>SUM(AP42:AP75)</f>
        <v>196979.54401115695</v>
      </c>
      <c r="AQ77" s="253">
        <f>SUM(AQ42:AQ75)</f>
        <v>25659.269681201535</v>
      </c>
      <c r="AR77" s="253">
        <f>SUM(AR42:AR75)</f>
        <v>8844576.4466051329</v>
      </c>
      <c r="AS77" s="253">
        <f t="shared" ref="AS77:BC77" si="4">SUM(AS42:AS75)</f>
        <v>719025.96440252138</v>
      </c>
      <c r="AT77" s="253">
        <f t="shared" si="4"/>
        <v>28219.126564153565</v>
      </c>
      <c r="AU77" s="253">
        <f t="shared" si="4"/>
        <v>8906564.9751386438</v>
      </c>
      <c r="AV77" s="253">
        <f t="shared" si="4"/>
        <v>121859.81146951189</v>
      </c>
      <c r="AW77" s="253">
        <f t="shared" si="4"/>
        <v>25428.919011572762</v>
      </c>
      <c r="AX77" s="253">
        <f t="shared" si="4"/>
        <v>8774915.6996685099</v>
      </c>
      <c r="AY77" s="253">
        <f t="shared" si="4"/>
        <v>1078398155.5102727</v>
      </c>
      <c r="AZ77" s="253">
        <f t="shared" si="4"/>
        <v>10517543.964973493</v>
      </c>
      <c r="BA77" s="253">
        <f t="shared" si="4"/>
        <v>5935408.0537775028</v>
      </c>
      <c r="BB77" s="253">
        <f t="shared" si="4"/>
        <v>7122321.2109242482</v>
      </c>
      <c r="BC77" s="253">
        <f t="shared" si="4"/>
        <v>14100010.581139561</v>
      </c>
      <c r="BI77" s="25"/>
      <c r="BJ77" s="25"/>
    </row>
    <row r="78" spans="2:63" ht="13" customHeight="1" x14ac:dyDescent="0.2">
      <c r="C78" s="348"/>
      <c r="D78" s="348"/>
      <c r="E78" s="234"/>
      <c r="F78" s="234"/>
      <c r="G78" s="234"/>
      <c r="H78" s="234"/>
      <c r="I78" s="234"/>
      <c r="J78" s="234"/>
      <c r="K78" s="234"/>
      <c r="L78" s="234"/>
      <c r="M78" s="234"/>
      <c r="N78" s="234"/>
      <c r="O78" s="234"/>
      <c r="P78" s="234"/>
      <c r="Q78" s="234"/>
      <c r="R78" s="234"/>
      <c r="S78" s="234"/>
      <c r="T78" s="234"/>
      <c r="U78" s="234"/>
      <c r="V78" s="234"/>
      <c r="W78" s="234"/>
      <c r="X78" s="234"/>
      <c r="Y78" s="234"/>
      <c r="Z78" s="234"/>
      <c r="AA78" s="234"/>
      <c r="AB78" s="234"/>
      <c r="AC78" s="234"/>
      <c r="AD78" s="234"/>
      <c r="AE78" s="234"/>
      <c r="AF78" s="207"/>
      <c r="AG78" s="234"/>
      <c r="AH78" s="234"/>
      <c r="AI78" s="234"/>
      <c r="AJ78" s="234"/>
      <c r="AK78" s="234"/>
      <c r="AL78" s="234"/>
      <c r="AM78" s="234"/>
      <c r="AP78" s="347" t="s">
        <v>478</v>
      </c>
      <c r="AQ78" s="347"/>
      <c r="AR78" s="347"/>
      <c r="AS78" s="347"/>
      <c r="AT78" s="347"/>
      <c r="AU78" s="347"/>
      <c r="AV78" s="347"/>
      <c r="AW78" s="347"/>
      <c r="AX78" s="347"/>
      <c r="AY78" s="347"/>
      <c r="AZ78" s="347"/>
      <c r="BA78" s="347"/>
      <c r="BB78" s="347"/>
      <c r="BC78" s="347"/>
      <c r="BI78" s="25"/>
      <c r="BJ78" s="25"/>
    </row>
    <row r="79" spans="2:63" ht="236" x14ac:dyDescent="0.2">
      <c r="B79" s="241" t="s">
        <v>457</v>
      </c>
      <c r="C79" s="208" t="s">
        <v>426</v>
      </c>
      <c r="D79" s="208" t="s">
        <v>428</v>
      </c>
      <c r="E79" s="208" t="s">
        <v>429</v>
      </c>
      <c r="F79" s="208" t="s">
        <v>451</v>
      </c>
      <c r="G79" s="208" t="s">
        <v>487</v>
      </c>
      <c r="H79" s="208" t="s">
        <v>531</v>
      </c>
      <c r="I79" s="208" t="s">
        <v>532</v>
      </c>
      <c r="J79" s="208" t="s">
        <v>535</v>
      </c>
      <c r="K79" s="208" t="s">
        <v>588</v>
      </c>
      <c r="L79" s="210" t="s">
        <v>570</v>
      </c>
      <c r="M79" s="208" t="s">
        <v>533</v>
      </c>
      <c r="N79" s="210" t="s">
        <v>536</v>
      </c>
      <c r="O79" s="208" t="s">
        <v>565</v>
      </c>
      <c r="P79" s="211" t="s">
        <v>557</v>
      </c>
      <c r="Q79" s="208" t="s">
        <v>540</v>
      </c>
      <c r="R79" s="210" t="s">
        <v>569</v>
      </c>
      <c r="S79" s="210" t="s">
        <v>564</v>
      </c>
      <c r="T79" s="210" t="s">
        <v>561</v>
      </c>
      <c r="U79" s="210" t="s">
        <v>567</v>
      </c>
      <c r="V79" s="211" t="s">
        <v>566</v>
      </c>
      <c r="W79" s="211" t="s">
        <v>549</v>
      </c>
      <c r="X79" s="211" t="s">
        <v>585</v>
      </c>
      <c r="Y79" s="211" t="s">
        <v>550</v>
      </c>
      <c r="Z79" s="211" t="s">
        <v>552</v>
      </c>
      <c r="AA79" s="211" t="s">
        <v>551</v>
      </c>
      <c r="AB79" s="211" t="s">
        <v>545</v>
      </c>
      <c r="AC79" s="233" t="s">
        <v>547</v>
      </c>
      <c r="AD79" s="211" t="s">
        <v>546</v>
      </c>
      <c r="AE79" s="208" t="s">
        <v>548</v>
      </c>
      <c r="AF79" s="211" t="s">
        <v>543</v>
      </c>
      <c r="AG79" s="211" t="s">
        <v>573</v>
      </c>
      <c r="AH79" s="211" t="s">
        <v>574</v>
      </c>
      <c r="AI79" s="211" t="s">
        <v>575</v>
      </c>
      <c r="AJ79" s="211" t="s">
        <v>586</v>
      </c>
    </row>
    <row r="80" spans="2:63" x14ac:dyDescent="0.2">
      <c r="B80" s="205" t="s">
        <v>418</v>
      </c>
      <c r="C80" s="231"/>
      <c r="D80" s="231"/>
      <c r="E80" s="231"/>
      <c r="F80" s="231"/>
      <c r="G80" s="231"/>
      <c r="H80" s="231"/>
      <c r="I80" s="231"/>
      <c r="J80" s="231"/>
      <c r="K80" s="231"/>
      <c r="L80" s="231">
        <f>'Ore-&gt;PI'!AM42</f>
        <v>109233.7126431732</v>
      </c>
      <c r="M80" s="231">
        <f>'Ore-&gt;PI'!AM63</f>
        <v>2396.1586162428257</v>
      </c>
      <c r="N80" s="231"/>
      <c r="O80" s="231"/>
      <c r="P80" s="231"/>
      <c r="Q80" s="231"/>
      <c r="R80" s="231"/>
      <c r="S80" s="231"/>
      <c r="T80" s="231"/>
      <c r="U80" s="231"/>
      <c r="V80" s="231"/>
      <c r="W80" s="231"/>
      <c r="X80" s="231"/>
      <c r="Y80" s="231"/>
      <c r="Z80" s="231"/>
      <c r="AA80" s="231"/>
      <c r="AB80" s="231"/>
      <c r="AC80" s="231"/>
      <c r="AD80" s="231"/>
      <c r="AE80" s="231"/>
      <c r="AF80" s="231"/>
      <c r="AG80" s="231"/>
      <c r="AH80" s="231"/>
      <c r="AI80" s="231"/>
      <c r="AJ80" s="231"/>
      <c r="AK80" s="253">
        <f>SUM(C80:AJ80)</f>
        <v>111629.87125941603</v>
      </c>
    </row>
    <row r="81" spans="2:62" x14ac:dyDescent="0.2">
      <c r="B81" s="205" t="s">
        <v>419</v>
      </c>
      <c r="C81" s="231"/>
      <c r="D81" s="231"/>
      <c r="E81" s="231"/>
      <c r="F81" s="231"/>
      <c r="G81" s="231"/>
      <c r="H81" s="231"/>
      <c r="I81" s="231"/>
      <c r="J81" s="231"/>
      <c r="K81" s="231"/>
      <c r="L81" s="231"/>
      <c r="M81" s="231"/>
      <c r="N81" s="231">
        <f>'Ore-&gt;PI'!AN126</f>
        <v>25394.240916408646</v>
      </c>
      <c r="O81" s="231">
        <f>'Ore-&gt;PI'!AN142</f>
        <v>7.1782646247188149</v>
      </c>
      <c r="P81" s="231"/>
      <c r="Q81" s="231"/>
      <c r="R81" s="231"/>
      <c r="S81" s="231"/>
      <c r="T81" s="231"/>
      <c r="U81" s="231"/>
      <c r="V81" s="231"/>
      <c r="W81" s="231"/>
      <c r="X81" s="231"/>
      <c r="Y81" s="231"/>
      <c r="Z81" s="231"/>
      <c r="AA81" s="231"/>
      <c r="AB81" s="231"/>
      <c r="AC81" s="231"/>
      <c r="AD81" s="231"/>
      <c r="AE81" s="231"/>
      <c r="AF81" s="231"/>
      <c r="AG81" s="231"/>
      <c r="AH81" s="231"/>
      <c r="AI81" s="231"/>
      <c r="AJ81" s="231"/>
      <c r="AK81" s="253">
        <f>SUM(C81:AJ81)</f>
        <v>25401.419181033365</v>
      </c>
    </row>
    <row r="82" spans="2:62" x14ac:dyDescent="0.2">
      <c r="B82" s="205" t="s">
        <v>420</v>
      </c>
      <c r="C82" s="231"/>
      <c r="D82" s="231"/>
      <c r="E82" s="231"/>
      <c r="F82" s="231"/>
      <c r="G82" s="231"/>
      <c r="H82" s="231"/>
      <c r="I82" s="231"/>
      <c r="J82" s="231"/>
      <c r="K82" s="231">
        <v>0</v>
      </c>
      <c r="L82" s="231"/>
      <c r="M82" s="231"/>
      <c r="N82" s="231"/>
      <c r="O82" s="231"/>
      <c r="P82" s="231">
        <f>'Ore-&gt;PI'!AN206</f>
        <v>8746311.5419027284</v>
      </c>
      <c r="Q82" s="231">
        <f>'Ore-&gt;PI'!AN227</f>
        <v>569.94401045704944</v>
      </c>
      <c r="R82" s="231"/>
      <c r="S82" s="231"/>
      <c r="T82" s="231"/>
      <c r="U82" s="231"/>
      <c r="V82" s="231"/>
      <c r="W82" s="231"/>
      <c r="X82" s="231"/>
      <c r="Y82" s="231"/>
      <c r="Z82" s="231"/>
      <c r="AA82" s="231"/>
      <c r="AB82" s="231"/>
      <c r="AC82" s="231"/>
      <c r="AD82" s="231"/>
      <c r="AE82" s="231"/>
      <c r="AF82" s="231"/>
      <c r="AG82" s="231"/>
      <c r="AH82" s="231"/>
      <c r="AI82" s="231"/>
      <c r="AJ82" s="231"/>
      <c r="AK82" s="253">
        <f t="shared" ref="AK82:AK93" si="5">SUM(C82:AJ82)</f>
        <v>8746881.4859131854</v>
      </c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I82" s="25"/>
      <c r="BJ82" s="25"/>
    </row>
    <row r="83" spans="2:62" x14ac:dyDescent="0.2">
      <c r="B83" s="205" t="s">
        <v>584</v>
      </c>
      <c r="C83" s="231"/>
      <c r="D83" s="231"/>
      <c r="E83" s="231"/>
      <c r="F83" s="231"/>
      <c r="G83" s="231"/>
      <c r="H83" s="231"/>
      <c r="I83" s="231"/>
      <c r="J83" s="231"/>
      <c r="K83" s="231">
        <v>0</v>
      </c>
      <c r="L83" s="231"/>
      <c r="M83" s="231"/>
      <c r="N83" s="231"/>
      <c r="O83" s="231"/>
      <c r="P83" s="231"/>
      <c r="Q83" s="231"/>
      <c r="R83" s="231">
        <f>'Ore-&gt;PI'!BE42</f>
        <v>109233.7126431732</v>
      </c>
      <c r="S83" s="231"/>
      <c r="T83" s="231"/>
      <c r="U83" s="231"/>
      <c r="V83" s="231"/>
      <c r="W83" s="231"/>
      <c r="X83" s="231"/>
      <c r="Y83" s="231"/>
      <c r="Z83" s="231"/>
      <c r="AA83" s="231"/>
      <c r="AB83" s="231"/>
      <c r="AC83" s="231"/>
      <c r="AD83" s="231"/>
      <c r="AE83" s="231"/>
      <c r="AF83" s="231"/>
      <c r="AG83" s="231"/>
      <c r="AH83" s="231"/>
      <c r="AI83" s="231"/>
      <c r="AJ83" s="231"/>
      <c r="AK83" s="253">
        <f t="shared" si="5"/>
        <v>109233.7126431732</v>
      </c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I83" s="25"/>
      <c r="BJ83" s="25"/>
    </row>
    <row r="84" spans="2:62" x14ac:dyDescent="0.2">
      <c r="B84" s="205" t="s">
        <v>563</v>
      </c>
      <c r="C84" s="231"/>
      <c r="D84" s="231"/>
      <c r="E84" s="231"/>
      <c r="F84" s="231"/>
      <c r="G84" s="231"/>
      <c r="H84" s="231"/>
      <c r="I84" s="231"/>
      <c r="J84" s="231"/>
      <c r="K84" s="231">
        <v>0</v>
      </c>
      <c r="L84" s="231"/>
      <c r="M84" s="231"/>
      <c r="N84" s="231"/>
      <c r="O84" s="231"/>
      <c r="P84" s="231"/>
      <c r="Q84" s="231"/>
      <c r="R84" s="231"/>
      <c r="S84" s="231">
        <f>'Ore-&gt;PI'!BF126</f>
        <v>25394.240916408646</v>
      </c>
      <c r="T84" s="231"/>
      <c r="U84" s="231"/>
      <c r="V84" s="231"/>
      <c r="W84" s="231"/>
      <c r="X84" s="231"/>
      <c r="Y84" s="231"/>
      <c r="Z84" s="231"/>
      <c r="AA84" s="231"/>
      <c r="AB84" s="231"/>
      <c r="AC84" s="231"/>
      <c r="AD84" s="231"/>
      <c r="AE84" s="231"/>
      <c r="AF84" s="231"/>
      <c r="AG84" s="231"/>
      <c r="AH84" s="231"/>
      <c r="AI84" s="231"/>
      <c r="AJ84" s="231"/>
      <c r="AK84" s="253">
        <f t="shared" si="5"/>
        <v>25394.240916408646</v>
      </c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I84" s="25"/>
      <c r="BJ84" s="25"/>
    </row>
    <row r="85" spans="2:62" x14ac:dyDescent="0.2">
      <c r="B85" s="205" t="s">
        <v>562</v>
      </c>
      <c r="C85" s="231"/>
      <c r="D85" s="231"/>
      <c r="E85" s="231"/>
      <c r="F85" s="231"/>
      <c r="G85" s="231"/>
      <c r="H85" s="231"/>
      <c r="I85" s="231"/>
      <c r="J85" s="231"/>
      <c r="K85" s="231">
        <v>0</v>
      </c>
      <c r="L85" s="231"/>
      <c r="M85" s="231"/>
      <c r="N85" s="231"/>
      <c r="O85" s="231"/>
      <c r="P85" s="231"/>
      <c r="Q85" s="231"/>
      <c r="R85" s="231"/>
      <c r="S85" s="231"/>
      <c r="T85" s="231">
        <f>'Ore-&gt;PI'!BF206</f>
        <v>8746311.5419027284</v>
      </c>
      <c r="U85" s="231"/>
      <c r="V85" s="231"/>
      <c r="W85" s="231"/>
      <c r="X85" s="231"/>
      <c r="Y85" s="231"/>
      <c r="Z85" s="231"/>
      <c r="AA85" s="231"/>
      <c r="AB85" s="231"/>
      <c r="AC85" s="231"/>
      <c r="AD85" s="231"/>
      <c r="AE85" s="231"/>
      <c r="AF85" s="231"/>
      <c r="AG85" s="231"/>
      <c r="AH85" s="231"/>
      <c r="AI85" s="231"/>
      <c r="AJ85" s="231"/>
      <c r="AK85" s="253">
        <f t="shared" si="5"/>
        <v>8746311.5419027284</v>
      </c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I85" s="25"/>
      <c r="BJ85" s="25"/>
    </row>
    <row r="86" spans="2:62" x14ac:dyDescent="0.2">
      <c r="B86" s="205" t="s">
        <v>447</v>
      </c>
      <c r="C86" s="231"/>
      <c r="D86" s="231"/>
      <c r="E86" s="231"/>
      <c r="F86" s="231"/>
      <c r="G86" s="231"/>
      <c r="H86" s="231"/>
      <c r="I86" s="231"/>
      <c r="J86" s="231"/>
      <c r="K86" s="231">
        <v>0</v>
      </c>
      <c r="L86" s="231"/>
      <c r="M86" s="231"/>
      <c r="N86" s="231"/>
      <c r="O86" s="231"/>
      <c r="P86" s="231"/>
      <c r="Q86" s="231"/>
      <c r="R86" s="231"/>
      <c r="S86" s="231"/>
      <c r="T86" s="231"/>
      <c r="U86" s="231">
        <f>'Ore-&gt;PI'!BW42</f>
        <v>88965.799815334409</v>
      </c>
      <c r="V86" s="231">
        <f>'Ore-&gt;PI'!BW55</f>
        <v>21743.416787545681</v>
      </c>
      <c r="W86" s="231"/>
      <c r="X86" s="231"/>
      <c r="Y86" s="231"/>
      <c r="Z86" s="231"/>
      <c r="AA86" s="231"/>
      <c r="AB86" s="231"/>
      <c r="AC86" s="231"/>
      <c r="AD86" s="231"/>
      <c r="AE86" s="231"/>
      <c r="AF86" s="231"/>
      <c r="AG86" s="231"/>
      <c r="AH86" s="231"/>
      <c r="AI86" s="231"/>
      <c r="AJ86" s="231"/>
      <c r="AK86" s="253">
        <f t="shared" si="5"/>
        <v>110709.21660288009</v>
      </c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I86" s="25"/>
      <c r="BJ86" s="25"/>
    </row>
    <row r="87" spans="2:62" x14ac:dyDescent="0.2">
      <c r="B87" s="205" t="s">
        <v>444</v>
      </c>
      <c r="C87" s="231"/>
      <c r="D87" s="231"/>
      <c r="E87" s="231"/>
      <c r="F87" s="231"/>
      <c r="G87" s="231"/>
      <c r="H87" s="231"/>
      <c r="I87" s="231"/>
      <c r="J87" s="231"/>
      <c r="K87" s="231">
        <v>0</v>
      </c>
      <c r="L87" s="231"/>
      <c r="M87" s="231"/>
      <c r="N87" s="231"/>
      <c r="O87" s="231"/>
      <c r="P87" s="231"/>
      <c r="Q87" s="231"/>
      <c r="R87" s="231"/>
      <c r="S87" s="231"/>
      <c r="T87" s="231"/>
      <c r="U87" s="231"/>
      <c r="V87" s="231"/>
      <c r="W87" s="231">
        <f>'Ore-&gt;PI'!BX126</f>
        <v>25394.240916408646</v>
      </c>
      <c r="X87" s="231"/>
      <c r="Y87" s="231"/>
      <c r="Z87" s="231"/>
      <c r="AA87" s="231"/>
      <c r="AB87" s="231"/>
      <c r="AC87" s="231"/>
      <c r="AD87" s="231"/>
      <c r="AE87" s="231"/>
      <c r="AF87" s="231"/>
      <c r="AG87" s="231"/>
      <c r="AH87" s="231"/>
      <c r="AI87" s="231"/>
      <c r="AJ87" s="231"/>
      <c r="AK87" s="253">
        <f t="shared" si="5"/>
        <v>25394.240916408646</v>
      </c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I87" s="25"/>
      <c r="BJ87" s="25"/>
    </row>
    <row r="88" spans="2:62" x14ac:dyDescent="0.2">
      <c r="B88" s="205" t="s">
        <v>466</v>
      </c>
      <c r="C88" s="231"/>
      <c r="D88" s="231"/>
      <c r="E88" s="231"/>
      <c r="F88" s="231"/>
      <c r="G88" s="231"/>
      <c r="H88" s="231"/>
      <c r="I88" s="231"/>
      <c r="J88" s="231"/>
      <c r="K88" s="231">
        <v>0</v>
      </c>
      <c r="L88" s="231"/>
      <c r="M88" s="231"/>
      <c r="N88" s="231"/>
      <c r="O88" s="231"/>
      <c r="P88" s="231"/>
      <c r="Q88" s="231"/>
      <c r="R88" s="231"/>
      <c r="S88" s="231"/>
      <c r="T88" s="231"/>
      <c r="U88" s="231"/>
      <c r="V88" s="231"/>
      <c r="W88" s="231"/>
      <c r="X88" s="231">
        <f>'Ore-&gt;PI'!BX206</f>
        <v>8746311.5419027284</v>
      </c>
      <c r="Y88" s="231"/>
      <c r="Z88" s="231"/>
      <c r="AA88" s="231"/>
      <c r="AB88" s="231"/>
      <c r="AC88" s="231"/>
      <c r="AD88" s="231"/>
      <c r="AE88" s="231"/>
      <c r="AF88" s="231"/>
      <c r="AG88" s="231"/>
      <c r="AH88" s="231"/>
      <c r="AI88" s="231"/>
      <c r="AJ88" s="231"/>
      <c r="AK88" s="253">
        <f t="shared" si="5"/>
        <v>8746311.5419027284</v>
      </c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I88" s="25"/>
      <c r="BJ88" s="25"/>
    </row>
    <row r="89" spans="2:62" x14ac:dyDescent="0.2">
      <c r="B89" s="205" t="s">
        <v>445</v>
      </c>
      <c r="C89" s="231"/>
      <c r="D89" s="231"/>
      <c r="E89" s="231"/>
      <c r="F89" s="231"/>
      <c r="G89" s="231"/>
      <c r="H89" s="231"/>
      <c r="I89" s="231"/>
      <c r="J89" s="231"/>
      <c r="K89" s="231"/>
      <c r="L89" s="231"/>
      <c r="M89" s="231"/>
      <c r="N89" s="231"/>
      <c r="O89" s="231"/>
      <c r="P89" s="231"/>
      <c r="Q89" s="231"/>
      <c r="R89" s="231"/>
      <c r="S89" s="231"/>
      <c r="T89" s="231"/>
      <c r="U89" s="231"/>
      <c r="V89" s="231"/>
      <c r="W89" s="231"/>
      <c r="X89" s="231"/>
      <c r="Y89" s="231">
        <f>'Ore-&gt;PI'!CR126</f>
        <v>242016.07607977447</v>
      </c>
      <c r="Z89" s="231">
        <f>'Ore-&gt;PI'!CR114</f>
        <v>7739.2511800711582</v>
      </c>
      <c r="AA89" s="231">
        <f>'Ore-&gt;PI'!CR138</f>
        <v>1065721621.9898958</v>
      </c>
      <c r="AB89" s="231"/>
      <c r="AC89" s="231"/>
      <c r="AD89" s="231"/>
      <c r="AE89" s="231"/>
      <c r="AF89" s="231"/>
      <c r="AG89" s="231"/>
      <c r="AH89" s="231"/>
      <c r="AI89" s="231"/>
      <c r="AJ89" s="231"/>
      <c r="AK89" s="253">
        <f t="shared" si="5"/>
        <v>1065971377.3171557</v>
      </c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I89" s="25"/>
      <c r="BJ89" s="25"/>
    </row>
    <row r="90" spans="2:62" x14ac:dyDescent="0.2">
      <c r="B90" s="205" t="s">
        <v>440</v>
      </c>
      <c r="C90" s="231"/>
      <c r="D90" s="231"/>
      <c r="E90" s="231"/>
      <c r="F90" s="231"/>
      <c r="G90" s="231"/>
      <c r="H90" s="231"/>
      <c r="I90" s="231"/>
      <c r="J90" s="231"/>
      <c r="K90" s="231"/>
      <c r="L90" s="231"/>
      <c r="M90" s="231"/>
      <c r="N90" s="231"/>
      <c r="O90" s="231"/>
      <c r="P90" s="231"/>
      <c r="Q90" s="231"/>
      <c r="R90" s="231"/>
      <c r="S90" s="231"/>
      <c r="T90" s="231"/>
      <c r="U90" s="231"/>
      <c r="V90" s="231"/>
      <c r="W90" s="231"/>
      <c r="X90" s="231"/>
      <c r="Y90" s="231"/>
      <c r="Z90" s="231"/>
      <c r="AA90" s="231"/>
      <c r="AB90" s="231">
        <f>'Ore-&gt;PI'!CP206</f>
        <v>6791339.3350291392</v>
      </c>
      <c r="AC90" s="231">
        <f>'Ore-&gt;PI'!CP233</f>
        <v>5935408.0537775028</v>
      </c>
      <c r="AD90" s="231">
        <f>'Ore-&gt;PI'!CP217</f>
        <v>5366.0434241372932</v>
      </c>
      <c r="AE90" s="231">
        <f>'Ore-&gt;PI'!CP250</f>
        <v>50611.612737094918</v>
      </c>
      <c r="AF90" s="231"/>
      <c r="AG90" s="231"/>
      <c r="AH90" s="231"/>
      <c r="AI90" s="231"/>
      <c r="AJ90" s="231"/>
      <c r="AK90" s="253">
        <f t="shared" si="5"/>
        <v>12782725.044967873</v>
      </c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I90" s="25"/>
      <c r="BJ90" s="25"/>
    </row>
    <row r="91" spans="2:62" x14ac:dyDescent="0.2">
      <c r="B91" s="205" t="s">
        <v>462</v>
      </c>
      <c r="C91" s="231"/>
      <c r="D91" s="231"/>
      <c r="E91" s="231"/>
      <c r="F91" s="231"/>
      <c r="G91" s="231"/>
      <c r="H91" s="231"/>
      <c r="I91" s="231"/>
      <c r="J91" s="231"/>
      <c r="K91" s="231"/>
      <c r="L91" s="231"/>
      <c r="M91" s="231"/>
      <c r="N91" s="231"/>
      <c r="O91" s="231"/>
      <c r="P91" s="231"/>
      <c r="Q91" s="231"/>
      <c r="R91" s="231"/>
      <c r="S91" s="231"/>
      <c r="T91" s="231"/>
      <c r="U91" s="231"/>
      <c r="V91" s="231"/>
      <c r="W91" s="231"/>
      <c r="X91" s="231"/>
      <c r="Y91" s="231"/>
      <c r="Z91" s="231"/>
      <c r="AA91" s="231"/>
      <c r="AB91" s="231"/>
      <c r="AC91" s="231"/>
      <c r="AD91" s="231"/>
      <c r="AE91" s="231"/>
      <c r="AF91" s="231">
        <f>'Ore-&gt;PI'!DI233</f>
        <v>5944558.1059355522</v>
      </c>
      <c r="AG91" s="231"/>
      <c r="AH91" s="231"/>
      <c r="AI91" s="231"/>
      <c r="AJ91" s="231"/>
      <c r="AK91" s="253">
        <f t="shared" si="5"/>
        <v>5944558.1059355522</v>
      </c>
    </row>
    <row r="92" spans="2:62" x14ac:dyDescent="0.2">
      <c r="B92" s="205" t="s">
        <v>81</v>
      </c>
      <c r="C92" s="231"/>
      <c r="D92" s="231"/>
      <c r="E92" s="231"/>
      <c r="F92" s="231"/>
      <c r="G92" s="231"/>
      <c r="H92" s="231"/>
      <c r="I92" s="231"/>
      <c r="J92" s="231"/>
      <c r="K92" s="231"/>
      <c r="L92" s="231"/>
      <c r="M92" s="231"/>
      <c r="N92" s="231"/>
      <c r="O92" s="231"/>
      <c r="P92" s="231"/>
      <c r="Q92" s="231"/>
      <c r="R92" s="231"/>
      <c r="S92" s="231"/>
      <c r="T92" s="231"/>
      <c r="U92" s="231"/>
      <c r="V92" s="231"/>
      <c r="W92" s="231"/>
      <c r="X92" s="231"/>
      <c r="Y92" s="231"/>
      <c r="Z92" s="231"/>
      <c r="AA92" s="231"/>
      <c r="AB92" s="231"/>
      <c r="AC92" s="231"/>
      <c r="AD92" s="231"/>
      <c r="AE92" s="244"/>
      <c r="AF92" s="231"/>
      <c r="AG92" s="244">
        <f>'Ore-&gt;PI'!EG126</f>
        <v>7072531.8830895294</v>
      </c>
      <c r="AH92" s="231"/>
      <c r="AI92" s="231"/>
      <c r="AJ92" s="231"/>
      <c r="AK92" s="253">
        <f t="shared" si="5"/>
        <v>7072531.8830895294</v>
      </c>
    </row>
    <row r="93" spans="2:62" x14ac:dyDescent="0.2">
      <c r="B93" s="205" t="s">
        <v>430</v>
      </c>
      <c r="C93" s="231"/>
      <c r="D93" s="231"/>
      <c r="E93" s="231"/>
      <c r="F93" s="244"/>
      <c r="G93" s="231"/>
      <c r="H93" s="231"/>
      <c r="I93" s="231"/>
      <c r="J93" s="231"/>
      <c r="K93" s="231">
        <v>0</v>
      </c>
      <c r="L93" s="231"/>
      <c r="M93" s="231"/>
      <c r="N93" s="231"/>
      <c r="O93" s="231"/>
      <c r="P93" s="231"/>
      <c r="Q93" s="231"/>
      <c r="R93" s="231"/>
      <c r="S93" s="231"/>
      <c r="T93" s="231"/>
      <c r="U93" s="231"/>
      <c r="V93" s="231"/>
      <c r="W93" s="231"/>
      <c r="X93" s="231"/>
      <c r="Y93" s="231"/>
      <c r="Z93" s="231"/>
      <c r="AA93" s="248"/>
      <c r="AB93" s="231"/>
      <c r="AC93" s="231"/>
      <c r="AD93" s="231"/>
      <c r="AE93" s="231"/>
      <c r="AF93" s="231"/>
      <c r="AG93" s="231"/>
      <c r="AH93" s="231">
        <f>'Ore-&gt;PI'!FF126</f>
        <v>4157895.2984628798</v>
      </c>
      <c r="AI93" s="231">
        <f>'Ore-&gt;PI'!FF141</f>
        <v>432711.9695416363</v>
      </c>
      <c r="AJ93" s="231">
        <f>'Ore-&gt;PI'!FF104</f>
        <v>67875.356217847453</v>
      </c>
      <c r="AK93" s="253">
        <f t="shared" si="5"/>
        <v>4658482.6242223633</v>
      </c>
    </row>
    <row r="94" spans="2:62" x14ac:dyDescent="0.2">
      <c r="B94" s="205"/>
      <c r="C94" s="347" t="s">
        <v>422</v>
      </c>
      <c r="D94" s="347"/>
      <c r="E94" s="347"/>
      <c r="F94" s="347"/>
      <c r="G94" s="347"/>
      <c r="H94" s="347"/>
      <c r="I94" s="347"/>
      <c r="J94" s="347"/>
      <c r="K94" s="347"/>
      <c r="L94" s="347"/>
      <c r="M94" s="347"/>
      <c r="N94" s="347"/>
      <c r="O94" s="347"/>
      <c r="P94" s="347"/>
      <c r="Q94" s="347"/>
      <c r="R94" s="347"/>
      <c r="S94" s="347"/>
      <c r="T94" s="347"/>
      <c r="U94" s="347"/>
      <c r="V94" s="347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7"/>
      <c r="AH94" s="347"/>
      <c r="AI94" s="347"/>
      <c r="AJ94" s="347"/>
      <c r="AK94" s="25" t="s">
        <v>475</v>
      </c>
      <c r="AL94" s="25"/>
    </row>
    <row r="95" spans="2:62" x14ac:dyDescent="0.2">
      <c r="B95" s="205"/>
      <c r="C95" s="253">
        <f t="shared" ref="C95:AJ95" si="6">SUM(C80:C93)</f>
        <v>0</v>
      </c>
      <c r="D95" s="253">
        <f t="shared" si="6"/>
        <v>0</v>
      </c>
      <c r="E95" s="253">
        <f t="shared" si="6"/>
        <v>0</v>
      </c>
      <c r="F95" s="253">
        <f t="shared" si="6"/>
        <v>0</v>
      </c>
      <c r="G95" s="253">
        <f t="shared" si="6"/>
        <v>0</v>
      </c>
      <c r="H95" s="253">
        <f t="shared" si="6"/>
        <v>0</v>
      </c>
      <c r="I95" s="253">
        <f t="shared" si="6"/>
        <v>0</v>
      </c>
      <c r="J95" s="253">
        <f t="shared" si="6"/>
        <v>0</v>
      </c>
      <c r="K95" s="253">
        <f t="shared" si="6"/>
        <v>0</v>
      </c>
      <c r="L95" s="253">
        <f t="shared" si="6"/>
        <v>109233.7126431732</v>
      </c>
      <c r="M95" s="253">
        <f t="shared" si="6"/>
        <v>2396.1586162428257</v>
      </c>
      <c r="N95" s="253">
        <f t="shared" si="6"/>
        <v>25394.240916408646</v>
      </c>
      <c r="O95" s="253">
        <f t="shared" si="6"/>
        <v>7.1782646247188149</v>
      </c>
      <c r="P95" s="253">
        <f t="shared" si="6"/>
        <v>8746311.5419027284</v>
      </c>
      <c r="Q95" s="253">
        <f t="shared" si="6"/>
        <v>569.94401045704944</v>
      </c>
      <c r="R95" s="253">
        <f t="shared" si="6"/>
        <v>109233.7126431732</v>
      </c>
      <c r="S95" s="253">
        <f t="shared" si="6"/>
        <v>25394.240916408646</v>
      </c>
      <c r="T95" s="253">
        <f t="shared" si="6"/>
        <v>8746311.5419027284</v>
      </c>
      <c r="U95" s="253">
        <f t="shared" si="6"/>
        <v>88965.799815334409</v>
      </c>
      <c r="V95" s="253">
        <f t="shared" si="6"/>
        <v>21743.416787545681</v>
      </c>
      <c r="W95" s="253">
        <f t="shared" si="6"/>
        <v>25394.240916408646</v>
      </c>
      <c r="X95" s="253">
        <f t="shared" si="6"/>
        <v>8746311.5419027284</v>
      </c>
      <c r="Y95" s="253">
        <f t="shared" si="6"/>
        <v>242016.07607977447</v>
      </c>
      <c r="Z95" s="253">
        <f t="shared" si="6"/>
        <v>7739.2511800711582</v>
      </c>
      <c r="AA95" s="253">
        <f t="shared" si="6"/>
        <v>1065721621.9898958</v>
      </c>
      <c r="AB95" s="253">
        <f t="shared" si="6"/>
        <v>6791339.3350291392</v>
      </c>
      <c r="AC95" s="253">
        <f t="shared" si="6"/>
        <v>5935408.0537775028</v>
      </c>
      <c r="AD95" s="253">
        <f t="shared" si="6"/>
        <v>5366.0434241372932</v>
      </c>
      <c r="AE95" s="253">
        <f t="shared" si="6"/>
        <v>50611.612737094918</v>
      </c>
      <c r="AF95" s="253">
        <f t="shared" si="6"/>
        <v>5944558.1059355522</v>
      </c>
      <c r="AG95" s="253">
        <f t="shared" si="6"/>
        <v>7072531.8830895294</v>
      </c>
      <c r="AH95" s="253">
        <f t="shared" si="6"/>
        <v>4157895.2984628798</v>
      </c>
      <c r="AI95" s="253">
        <f t="shared" si="6"/>
        <v>432711.9695416363</v>
      </c>
      <c r="AJ95" s="253">
        <f t="shared" si="6"/>
        <v>67875.356217847453</v>
      </c>
    </row>
    <row r="96" spans="2:62" x14ac:dyDescent="0.2">
      <c r="B96" s="205"/>
      <c r="C96" s="347" t="s">
        <v>476</v>
      </c>
      <c r="D96" s="347"/>
      <c r="E96" s="347"/>
      <c r="F96" s="347"/>
      <c r="G96" s="347"/>
      <c r="H96" s="347"/>
      <c r="I96" s="347"/>
      <c r="J96" s="347"/>
      <c r="K96" s="347"/>
      <c r="L96" s="347"/>
      <c r="M96" s="347"/>
      <c r="N96" s="347"/>
      <c r="O96" s="347"/>
      <c r="P96" s="347"/>
      <c r="Q96" s="347"/>
      <c r="R96" s="347"/>
      <c r="S96" s="347"/>
      <c r="T96" s="347"/>
      <c r="U96" s="347"/>
      <c r="V96" s="347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7"/>
      <c r="AH96" s="347"/>
      <c r="AI96" s="347"/>
      <c r="AJ96" s="347"/>
    </row>
    <row r="97" spans="2:38" x14ac:dyDescent="0.2">
      <c r="B97" s="205"/>
    </row>
    <row r="98" spans="2:38" x14ac:dyDescent="0.2">
      <c r="B98" s="205"/>
    </row>
    <row r="99" spans="2:38" x14ac:dyDescent="0.2">
      <c r="B99" s="205"/>
    </row>
    <row r="100" spans="2:38" x14ac:dyDescent="0.2">
      <c r="B100" s="205"/>
    </row>
    <row r="101" spans="2:38" x14ac:dyDescent="0.2">
      <c r="B101" s="205"/>
    </row>
    <row r="102" spans="2:38" x14ac:dyDescent="0.2">
      <c r="B102" s="205"/>
    </row>
    <row r="103" spans="2:38" x14ac:dyDescent="0.2">
      <c r="B103" s="205"/>
    </row>
    <row r="104" spans="2:38" x14ac:dyDescent="0.2">
      <c r="B104" s="205"/>
    </row>
    <row r="105" spans="2:38" x14ac:dyDescent="0.2">
      <c r="B105" s="205"/>
    </row>
    <row r="106" spans="2:38" x14ac:dyDescent="0.2">
      <c r="B106" s="205"/>
    </row>
    <row r="107" spans="2:38" ht="236" x14ac:dyDescent="0.2">
      <c r="B107" s="205"/>
      <c r="C107" s="208" t="s">
        <v>426</v>
      </c>
      <c r="D107" s="208" t="s">
        <v>428</v>
      </c>
      <c r="E107" s="208" t="s">
        <v>429</v>
      </c>
      <c r="F107" s="208" t="s">
        <v>451</v>
      </c>
      <c r="G107" s="208" t="s">
        <v>487</v>
      </c>
      <c r="H107" s="208" t="s">
        <v>531</v>
      </c>
      <c r="I107" s="208" t="s">
        <v>532</v>
      </c>
      <c r="J107" s="208" t="s">
        <v>535</v>
      </c>
      <c r="K107" s="208" t="s">
        <v>588</v>
      </c>
      <c r="L107" s="210" t="s">
        <v>570</v>
      </c>
      <c r="M107" s="208" t="s">
        <v>533</v>
      </c>
      <c r="N107" s="210" t="s">
        <v>536</v>
      </c>
      <c r="O107" s="208" t="s">
        <v>565</v>
      </c>
      <c r="P107" s="211" t="s">
        <v>557</v>
      </c>
      <c r="Q107" s="208" t="s">
        <v>540</v>
      </c>
      <c r="R107" s="210" t="s">
        <v>569</v>
      </c>
      <c r="S107" s="210" t="s">
        <v>564</v>
      </c>
      <c r="T107" s="210" t="s">
        <v>561</v>
      </c>
      <c r="U107" s="210" t="s">
        <v>567</v>
      </c>
      <c r="V107" s="211" t="s">
        <v>566</v>
      </c>
      <c r="W107" s="211" t="s">
        <v>549</v>
      </c>
      <c r="X107" s="211" t="s">
        <v>585</v>
      </c>
      <c r="Y107" s="211" t="s">
        <v>550</v>
      </c>
      <c r="Z107" s="211" t="s">
        <v>552</v>
      </c>
      <c r="AA107" s="211" t="s">
        <v>551</v>
      </c>
      <c r="AB107" s="211" t="s">
        <v>545</v>
      </c>
      <c r="AC107" s="233" t="s">
        <v>547</v>
      </c>
      <c r="AD107" s="211" t="s">
        <v>546</v>
      </c>
      <c r="AE107" s="208" t="s">
        <v>548</v>
      </c>
      <c r="AF107" s="211" t="s">
        <v>543</v>
      </c>
      <c r="AG107" s="211" t="s">
        <v>573</v>
      </c>
      <c r="AH107" s="211" t="s">
        <v>574</v>
      </c>
      <c r="AI107" s="211" t="s">
        <v>575</v>
      </c>
      <c r="AJ107" s="211" t="s">
        <v>586</v>
      </c>
      <c r="AK107" s="211"/>
      <c r="AL107" s="211"/>
    </row>
    <row r="108" spans="2:38" x14ac:dyDescent="0.2">
      <c r="B108" s="205" t="s">
        <v>425</v>
      </c>
      <c r="C108" s="245">
        <f>'Ore-&gt;PI'!U42</f>
        <v>109233.7126431732</v>
      </c>
      <c r="D108" s="245"/>
      <c r="E108" s="245"/>
      <c r="F108" s="245"/>
      <c r="G108" s="245"/>
      <c r="H108" s="245"/>
      <c r="I108" s="245"/>
      <c r="J108" s="245"/>
      <c r="K108" s="245"/>
      <c r="L108" s="245"/>
      <c r="M108" s="245"/>
      <c r="N108" s="245"/>
      <c r="O108" s="245"/>
      <c r="P108" s="245"/>
      <c r="Q108" s="245"/>
      <c r="R108" s="245"/>
      <c r="S108" s="245"/>
      <c r="T108" s="245"/>
      <c r="U108" s="245"/>
      <c r="V108" s="245"/>
      <c r="W108" s="245"/>
      <c r="X108" s="245"/>
      <c r="Y108" s="245"/>
      <c r="Z108" s="245"/>
      <c r="AA108" s="245"/>
      <c r="AB108" s="245"/>
      <c r="AC108" s="245"/>
      <c r="AD108" s="245"/>
      <c r="AE108" s="245"/>
      <c r="AF108" s="245"/>
      <c r="AG108" s="245"/>
      <c r="AH108" s="245"/>
      <c r="AI108" s="245"/>
      <c r="AJ108" s="245"/>
    </row>
    <row r="109" spans="2:38" ht="16" x14ac:dyDescent="0.2">
      <c r="B109" s="206" t="s">
        <v>427</v>
      </c>
      <c r="C109" s="245"/>
      <c r="D109" s="245">
        <f>'Ore-&gt;PI'!U126</f>
        <v>25394.240916408646</v>
      </c>
      <c r="E109" s="245"/>
      <c r="F109" s="245"/>
      <c r="G109" s="245"/>
      <c r="H109" s="245"/>
      <c r="I109" s="245"/>
      <c r="J109" s="245"/>
      <c r="K109" s="245"/>
      <c r="L109" s="245"/>
      <c r="M109" s="245"/>
      <c r="N109" s="245"/>
      <c r="O109" s="245"/>
      <c r="P109" s="245"/>
      <c r="Q109" s="245"/>
      <c r="R109" s="245"/>
      <c r="S109" s="245"/>
      <c r="T109" s="245"/>
      <c r="U109" s="245"/>
      <c r="V109" s="245"/>
      <c r="W109" s="245"/>
      <c r="X109" s="245"/>
      <c r="Y109" s="245"/>
      <c r="Z109" s="245"/>
      <c r="AA109" s="245"/>
      <c r="AB109" s="245"/>
      <c r="AC109" s="245"/>
      <c r="AD109" s="245"/>
      <c r="AE109" s="245"/>
      <c r="AF109" s="245"/>
      <c r="AG109" s="245"/>
      <c r="AH109" s="245"/>
      <c r="AI109" s="245"/>
      <c r="AJ109" s="245"/>
    </row>
    <row r="110" spans="2:38" x14ac:dyDescent="0.2">
      <c r="B110" s="207" t="s">
        <v>452</v>
      </c>
      <c r="C110" s="245"/>
      <c r="D110" s="245"/>
      <c r="E110" s="245">
        <f>'Ore-&gt;PI'!U206</f>
        <v>8746311.5419027284</v>
      </c>
      <c r="F110" s="245"/>
      <c r="G110" s="245"/>
      <c r="H110" s="245"/>
      <c r="I110" s="245"/>
      <c r="J110" s="245"/>
      <c r="K110" s="245"/>
      <c r="L110" s="245"/>
      <c r="M110" s="245"/>
      <c r="N110" s="245"/>
      <c r="O110" s="245"/>
      <c r="P110" s="245"/>
      <c r="Q110" s="245"/>
      <c r="R110" s="245"/>
      <c r="S110" s="245"/>
      <c r="T110" s="245"/>
      <c r="U110" s="245"/>
      <c r="V110" s="245"/>
      <c r="W110" s="245"/>
      <c r="X110" s="245"/>
      <c r="Y110" s="245"/>
      <c r="Z110" s="245"/>
      <c r="AA110" s="245"/>
      <c r="AB110" s="245"/>
      <c r="AC110" s="245"/>
      <c r="AD110" s="245"/>
      <c r="AE110" s="245"/>
      <c r="AF110" s="245"/>
      <c r="AG110" s="245"/>
      <c r="AH110" s="245"/>
      <c r="AI110" s="245"/>
      <c r="AJ110" s="245"/>
    </row>
    <row r="111" spans="2:38" x14ac:dyDescent="0.2">
      <c r="B111" s="205" t="s">
        <v>493</v>
      </c>
      <c r="C111" s="245"/>
      <c r="D111" s="245"/>
      <c r="E111" s="245"/>
      <c r="F111" s="251">
        <f>'Ore-&gt;PI'!U236+'Ore-&gt;PI'!U163+'Ore-&gt;PI'!U72+'Ore-&gt;PI'!BX242+'Ore-&gt;PI'!BX140+'Ore-&gt;PI'!EG140</f>
        <v>26082.499551973142</v>
      </c>
      <c r="G111" s="245"/>
      <c r="H111" s="245"/>
      <c r="I111" s="245"/>
      <c r="J111" s="245"/>
      <c r="K111" s="245"/>
      <c r="L111" s="245"/>
      <c r="M111" s="245"/>
      <c r="N111" s="245"/>
      <c r="O111" s="245"/>
      <c r="P111" s="245"/>
      <c r="Q111" s="245"/>
      <c r="R111" s="245"/>
      <c r="S111" s="245"/>
      <c r="T111" s="245"/>
      <c r="U111" s="245"/>
      <c r="V111" s="245"/>
      <c r="W111" s="245"/>
      <c r="X111" s="245"/>
      <c r="Y111" s="245"/>
      <c r="Z111" s="245"/>
      <c r="AA111" s="245"/>
      <c r="AB111" s="245"/>
      <c r="AC111" s="245"/>
      <c r="AD111" s="245"/>
      <c r="AE111" s="245"/>
      <c r="AF111" s="245"/>
      <c r="AG111" s="245"/>
      <c r="AH111" s="245"/>
      <c r="AI111" s="245"/>
      <c r="AJ111" s="245"/>
    </row>
    <row r="112" spans="2:38" x14ac:dyDescent="0.2">
      <c r="B112" s="205" t="s">
        <v>486</v>
      </c>
      <c r="C112" s="245"/>
      <c r="D112" s="245"/>
      <c r="E112" s="245"/>
      <c r="F112" s="245"/>
      <c r="G112" s="245">
        <f>'Ore-&gt;PI'!EG114+'Ore-&gt;PI'!BX152+'Ore-&gt;PI'!BX254</f>
        <v>1081571592.2511754</v>
      </c>
      <c r="H112" s="245"/>
      <c r="I112" s="245"/>
      <c r="J112" s="245"/>
      <c r="K112" s="245"/>
      <c r="L112" s="245"/>
      <c r="M112" s="245"/>
      <c r="N112" s="245"/>
      <c r="O112" s="245"/>
      <c r="P112" s="245"/>
      <c r="Q112" s="245"/>
      <c r="R112" s="245"/>
      <c r="S112" s="245"/>
      <c r="T112" s="245"/>
      <c r="U112" s="245"/>
      <c r="V112" s="245"/>
      <c r="W112" s="245"/>
      <c r="X112" s="245"/>
      <c r="Y112" s="245"/>
      <c r="Z112" s="245"/>
      <c r="AA112" s="245"/>
      <c r="AB112" s="245"/>
      <c r="AC112" s="245"/>
      <c r="AD112" s="245"/>
      <c r="AE112" s="245"/>
      <c r="AF112" s="245"/>
      <c r="AG112" s="245"/>
      <c r="AH112" s="245"/>
      <c r="AI112" s="245"/>
      <c r="AJ112" s="245"/>
    </row>
    <row r="113" spans="2:42" x14ac:dyDescent="0.2">
      <c r="B113" s="205" t="s">
        <v>499</v>
      </c>
      <c r="C113" s="245"/>
      <c r="D113" s="245"/>
      <c r="E113" s="245"/>
      <c r="F113" s="245"/>
      <c r="G113" s="245"/>
      <c r="H113" s="245">
        <f>'Ore-&gt;PI'!U59+'Ore-&gt;PI'!U140+'Ore-&gt;PI'!U222</f>
        <v>108567.19890325596</v>
      </c>
      <c r="I113" s="245"/>
      <c r="J113" s="245"/>
      <c r="K113" s="245"/>
      <c r="L113" s="245"/>
      <c r="M113" s="245"/>
      <c r="N113" s="245"/>
      <c r="O113" s="245"/>
      <c r="P113" s="245"/>
      <c r="Q113" s="245"/>
      <c r="R113" s="245"/>
      <c r="S113" s="245"/>
      <c r="T113" s="245"/>
      <c r="U113" s="245"/>
      <c r="V113" s="245"/>
      <c r="W113" s="245"/>
      <c r="X113" s="245"/>
      <c r="Y113" s="245"/>
      <c r="Z113" s="245"/>
      <c r="AA113" s="245"/>
      <c r="AB113" s="245"/>
      <c r="AC113" s="245"/>
      <c r="AD113" s="245"/>
      <c r="AE113" s="245"/>
      <c r="AF113" s="245"/>
      <c r="AG113" s="245"/>
      <c r="AH113" s="245"/>
      <c r="AI113" s="245"/>
      <c r="AJ113" s="245"/>
      <c r="AP113" s="233"/>
    </row>
    <row r="114" spans="2:42" x14ac:dyDescent="0.2">
      <c r="B114" s="205" t="s">
        <v>500</v>
      </c>
      <c r="C114" s="245"/>
      <c r="D114" s="245"/>
      <c r="E114" s="245"/>
      <c r="F114" s="245"/>
      <c r="G114" s="245"/>
      <c r="H114" s="245"/>
      <c r="I114" s="245">
        <f>'Ore-&gt;PI'!U151</f>
        <v>24.513235855857225</v>
      </c>
      <c r="J114" s="245"/>
      <c r="K114" s="245"/>
      <c r="L114" s="245"/>
      <c r="M114" s="245"/>
      <c r="N114" s="245"/>
      <c r="O114" s="245"/>
      <c r="P114" s="245"/>
      <c r="Q114" s="245"/>
      <c r="R114" s="245"/>
      <c r="S114" s="245"/>
      <c r="T114" s="245"/>
      <c r="U114" s="245"/>
      <c r="V114" s="245"/>
      <c r="W114" s="245"/>
      <c r="X114" s="245"/>
      <c r="Y114" s="245"/>
      <c r="Z114" s="245"/>
      <c r="AA114" s="245"/>
      <c r="AB114" s="245"/>
      <c r="AC114" s="245"/>
      <c r="AD114" s="245"/>
      <c r="AE114" s="245"/>
      <c r="AF114" s="245"/>
      <c r="AG114" s="245"/>
      <c r="AH114" s="245"/>
      <c r="AI114" s="245"/>
      <c r="AJ114" s="245"/>
    </row>
    <row r="115" spans="2:42" x14ac:dyDescent="0.2">
      <c r="B115" s="205" t="s">
        <v>534</v>
      </c>
      <c r="C115" s="245"/>
      <c r="D115" s="245"/>
      <c r="E115" s="245"/>
      <c r="F115" s="245"/>
      <c r="G115" s="245"/>
      <c r="H115" s="245"/>
      <c r="I115" s="245"/>
      <c r="J115" s="245">
        <f>'Ore-&gt;PI'!EG101</f>
        <v>203313.0005430537</v>
      </c>
      <c r="K115" s="245"/>
      <c r="L115" s="245"/>
      <c r="M115" s="245"/>
      <c r="N115" s="245"/>
      <c r="O115" s="245"/>
      <c r="P115" s="245"/>
      <c r="Q115" s="245"/>
      <c r="R115" s="245"/>
      <c r="S115" s="245"/>
      <c r="T115" s="245"/>
      <c r="U115" s="245"/>
      <c r="V115" s="245"/>
      <c r="W115" s="245"/>
      <c r="X115" s="245"/>
      <c r="Y115" s="245"/>
      <c r="Z115" s="245"/>
      <c r="AA115" s="245"/>
      <c r="AB115" s="245"/>
      <c r="AC115" s="245"/>
      <c r="AD115" s="245"/>
      <c r="AE115" s="245"/>
      <c r="AF115" s="245"/>
      <c r="AG115" s="245"/>
      <c r="AH115" s="245"/>
      <c r="AI115" s="245"/>
      <c r="AJ115" s="245"/>
    </row>
    <row r="116" spans="2:42" x14ac:dyDescent="0.2">
      <c r="B116" s="205" t="s">
        <v>587</v>
      </c>
      <c r="C116" s="245"/>
      <c r="D116" s="245"/>
      <c r="E116" s="245"/>
      <c r="F116" s="245"/>
      <c r="G116" s="245"/>
      <c r="H116" s="245"/>
      <c r="I116" s="245"/>
      <c r="J116" s="245"/>
      <c r="K116" s="245">
        <f>'Ore-&gt;PI'!EO117+'Ore-&gt;PI'!BJ116+'Ore-&gt;PI'!AS113+'Ore-&gt;PI'!AB195+'Ore-&gt;PI'!AS190+'Ore-&gt;PI'!BJ195+'Ore-&gt;PI'!CW229+'Ore-&gt;PI'!BK35+'Ore-&gt;PI'!AS28</f>
        <v>1259529.3337336415</v>
      </c>
      <c r="L116" s="245"/>
      <c r="M116" s="245"/>
      <c r="N116" s="245"/>
      <c r="O116" s="245"/>
      <c r="P116" s="245"/>
      <c r="Q116" s="245"/>
      <c r="R116" s="245"/>
      <c r="S116" s="245"/>
      <c r="T116" s="245"/>
      <c r="U116" s="245"/>
      <c r="V116" s="245"/>
      <c r="W116" s="245"/>
      <c r="X116" s="245"/>
      <c r="Y116" s="245"/>
      <c r="Z116" s="245"/>
      <c r="AA116" s="245"/>
      <c r="AB116" s="245"/>
      <c r="AC116" s="245"/>
      <c r="AD116" s="245"/>
      <c r="AE116" s="245"/>
      <c r="AF116" s="245"/>
      <c r="AG116" s="245"/>
      <c r="AH116" s="245"/>
      <c r="AI116" s="245"/>
      <c r="AJ116" s="245"/>
    </row>
    <row r="117" spans="2:42" x14ac:dyDescent="0.2">
      <c r="C117" s="347" t="s">
        <v>57</v>
      </c>
      <c r="D117" s="347"/>
      <c r="E117" s="347"/>
      <c r="F117" s="347"/>
      <c r="G117" s="347"/>
      <c r="H117" s="347"/>
      <c r="I117" s="347"/>
      <c r="J117" s="347"/>
      <c r="K117" s="347"/>
      <c r="L117" s="347"/>
      <c r="M117" s="347"/>
      <c r="N117" s="347"/>
      <c r="O117" s="347"/>
      <c r="P117" s="347"/>
      <c r="Q117" s="347"/>
      <c r="R117" s="347"/>
      <c r="S117" s="347"/>
      <c r="T117" s="347"/>
      <c r="U117" s="347"/>
      <c r="V117" s="347"/>
      <c r="W117" s="347"/>
      <c r="X117" s="347"/>
      <c r="Y117" s="347"/>
      <c r="Z117" s="347"/>
      <c r="AA117" s="347"/>
      <c r="AB117" s="347"/>
      <c r="AC117" s="347"/>
      <c r="AD117" s="347"/>
      <c r="AE117" s="347"/>
      <c r="AF117" s="347"/>
      <c r="AG117" s="347"/>
      <c r="AH117" s="347"/>
      <c r="AI117" s="347"/>
      <c r="AJ117" s="347"/>
      <c r="AK117" s="25"/>
      <c r="AL117" s="25"/>
    </row>
    <row r="118" spans="2:42" x14ac:dyDescent="0.2">
      <c r="C118" s="253">
        <f t="shared" ref="C118:AJ118" si="7">SUM(C108:C116)</f>
        <v>109233.7126431732</v>
      </c>
      <c r="D118" s="253">
        <f t="shared" si="7"/>
        <v>25394.240916408646</v>
      </c>
      <c r="E118" s="253">
        <f t="shared" si="7"/>
        <v>8746311.5419027284</v>
      </c>
      <c r="F118" s="253">
        <f t="shared" si="7"/>
        <v>26082.499551973142</v>
      </c>
      <c r="G118" s="253">
        <f t="shared" si="7"/>
        <v>1081571592.2511754</v>
      </c>
      <c r="H118" s="253">
        <f t="shared" si="7"/>
        <v>108567.19890325596</v>
      </c>
      <c r="I118" s="253">
        <f t="shared" si="7"/>
        <v>24.513235855857225</v>
      </c>
      <c r="J118" s="253">
        <f t="shared" si="7"/>
        <v>203313.0005430537</v>
      </c>
      <c r="K118" s="253">
        <f t="shared" si="7"/>
        <v>1259529.3337336415</v>
      </c>
      <c r="L118" s="253">
        <f t="shared" si="7"/>
        <v>0</v>
      </c>
      <c r="M118" s="253">
        <f t="shared" si="7"/>
        <v>0</v>
      </c>
      <c r="N118" s="253">
        <f t="shared" si="7"/>
        <v>0</v>
      </c>
      <c r="O118" s="253">
        <f t="shared" si="7"/>
        <v>0</v>
      </c>
      <c r="P118" s="253">
        <f t="shared" si="7"/>
        <v>0</v>
      </c>
      <c r="Q118" s="253">
        <f t="shared" si="7"/>
        <v>0</v>
      </c>
      <c r="R118" s="253">
        <f t="shared" si="7"/>
        <v>0</v>
      </c>
      <c r="S118" s="253">
        <f t="shared" si="7"/>
        <v>0</v>
      </c>
      <c r="T118" s="253">
        <f t="shared" si="7"/>
        <v>0</v>
      </c>
      <c r="U118" s="253">
        <f t="shared" si="7"/>
        <v>0</v>
      </c>
      <c r="V118" s="253">
        <f t="shared" si="7"/>
        <v>0</v>
      </c>
      <c r="W118" s="253">
        <f t="shared" si="7"/>
        <v>0</v>
      </c>
      <c r="X118" s="253">
        <f t="shared" si="7"/>
        <v>0</v>
      </c>
      <c r="Y118" s="253">
        <f t="shared" si="7"/>
        <v>0</v>
      </c>
      <c r="Z118" s="253">
        <f t="shared" si="7"/>
        <v>0</v>
      </c>
      <c r="AA118" s="253">
        <f t="shared" si="7"/>
        <v>0</v>
      </c>
      <c r="AB118" s="253">
        <f t="shared" si="7"/>
        <v>0</v>
      </c>
      <c r="AC118" s="253">
        <f t="shared" si="7"/>
        <v>0</v>
      </c>
      <c r="AD118" s="253">
        <f t="shared" si="7"/>
        <v>0</v>
      </c>
      <c r="AE118" s="253">
        <f t="shared" si="7"/>
        <v>0</v>
      </c>
      <c r="AF118" s="253">
        <f t="shared" si="7"/>
        <v>0</v>
      </c>
      <c r="AG118" s="253">
        <f t="shared" si="7"/>
        <v>0</v>
      </c>
      <c r="AH118" s="253">
        <f t="shared" si="7"/>
        <v>0</v>
      </c>
      <c r="AI118" s="253">
        <f t="shared" si="7"/>
        <v>0</v>
      </c>
      <c r="AJ118" s="253">
        <f t="shared" si="7"/>
        <v>0</v>
      </c>
    </row>
    <row r="119" spans="2:42" x14ac:dyDescent="0.2">
      <c r="C119" s="347" t="s">
        <v>477</v>
      </c>
      <c r="D119" s="347"/>
      <c r="E119" s="347"/>
      <c r="F119" s="347"/>
      <c r="G119" s="347"/>
      <c r="H119" s="347"/>
      <c r="I119" s="347"/>
      <c r="J119" s="347"/>
      <c r="K119" s="347"/>
      <c r="L119" s="347"/>
      <c r="M119" s="347"/>
      <c r="N119" s="347"/>
      <c r="O119" s="347"/>
      <c r="P119" s="347"/>
      <c r="Q119" s="347"/>
      <c r="R119" s="347"/>
      <c r="S119" s="347"/>
      <c r="T119" s="347"/>
      <c r="U119" s="347"/>
      <c r="V119" s="347"/>
      <c r="W119" s="347"/>
      <c r="X119" s="347"/>
      <c r="Y119" s="347"/>
      <c r="Z119" s="347"/>
      <c r="AA119" s="347"/>
      <c r="AB119" s="347"/>
      <c r="AC119" s="347"/>
      <c r="AD119" s="347"/>
      <c r="AE119" s="347"/>
      <c r="AF119" s="347"/>
      <c r="AG119" s="347"/>
      <c r="AH119" s="347"/>
      <c r="AI119" s="347"/>
      <c r="AJ119" s="347"/>
      <c r="AK119" s="25"/>
      <c r="AL119" s="25"/>
    </row>
    <row r="123" spans="2:42" x14ac:dyDescent="0.2">
      <c r="C123" s="347" t="s">
        <v>590</v>
      </c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246"/>
      <c r="R123" s="246"/>
      <c r="S123" s="246"/>
      <c r="T123" s="246"/>
      <c r="U123" s="25"/>
      <c r="V123" s="25"/>
    </row>
    <row r="126" spans="2:42" x14ac:dyDescent="0.2">
      <c r="B126" s="205" t="s">
        <v>426</v>
      </c>
      <c r="C126" s="253">
        <f>C118</f>
        <v>109233.7126431732</v>
      </c>
      <c r="E126" s="253" cm="1">
        <f t="array" ref="E126:E159">TRANSPOSE(C95:AJ95)</f>
        <v>0</v>
      </c>
      <c r="G126" s="253">
        <f t="shared" ref="G126:G145" si="8">BD42</f>
        <v>109233.7126431732</v>
      </c>
      <c r="I126" s="253" cm="1">
        <f t="array" ref="I126:I159">BK42:BK75</f>
        <v>0</v>
      </c>
      <c r="K126" s="253">
        <f>C126+E126-G126-I126</f>
        <v>0</v>
      </c>
    </row>
    <row r="127" spans="2:42" x14ac:dyDescent="0.2">
      <c r="B127" s="205" t="s">
        <v>428</v>
      </c>
      <c r="C127" s="253">
        <f>D118</f>
        <v>25394.240916408646</v>
      </c>
      <c r="E127" s="253">
        <v>0</v>
      </c>
      <c r="G127" s="253">
        <f t="shared" si="8"/>
        <v>25394.240916408646</v>
      </c>
      <c r="I127" s="253">
        <v>0</v>
      </c>
      <c r="K127" s="253">
        <f>C127+E127-G127-I127</f>
        <v>0</v>
      </c>
    </row>
    <row r="128" spans="2:42" x14ac:dyDescent="0.2">
      <c r="B128" s="205" t="s">
        <v>429</v>
      </c>
      <c r="C128" s="253">
        <f>E118</f>
        <v>8746311.5419027284</v>
      </c>
      <c r="E128" s="253">
        <v>0</v>
      </c>
      <c r="G128" s="253">
        <f t="shared" si="8"/>
        <v>8746311.5419027284</v>
      </c>
      <c r="I128" s="253">
        <v>0</v>
      </c>
      <c r="K128" s="253">
        <f>C128+E128-G128-I128</f>
        <v>0</v>
      </c>
    </row>
    <row r="129" spans="2:11" x14ac:dyDescent="0.2">
      <c r="B129" s="205" t="s">
        <v>451</v>
      </c>
      <c r="C129" s="253">
        <f>F118</f>
        <v>26082.499551973142</v>
      </c>
      <c r="E129" s="253">
        <v>0</v>
      </c>
      <c r="G129" s="253">
        <f t="shared" si="8"/>
        <v>26082.499551973142</v>
      </c>
      <c r="I129" s="253">
        <v>0</v>
      </c>
      <c r="K129" s="253">
        <f>ROUND(C129+E129-G129-I129, 10)</f>
        <v>0</v>
      </c>
    </row>
    <row r="130" spans="2:11" x14ac:dyDescent="0.2">
      <c r="B130" s="205" t="s">
        <v>487</v>
      </c>
      <c r="C130" s="253">
        <f>G118</f>
        <v>1081571592.2511754</v>
      </c>
      <c r="E130" s="253">
        <v>0</v>
      </c>
      <c r="G130" s="253">
        <f t="shared" si="8"/>
        <v>1081571592.2511754</v>
      </c>
      <c r="I130" s="253">
        <v>0</v>
      </c>
      <c r="K130" s="253">
        <f t="shared" ref="K130:K145" si="9">C130+E130-G130-I130</f>
        <v>0</v>
      </c>
    </row>
    <row r="131" spans="2:11" x14ac:dyDescent="0.2">
      <c r="B131" s="205" t="s">
        <v>531</v>
      </c>
      <c r="C131" s="253">
        <f>H118</f>
        <v>108567.19890325596</v>
      </c>
      <c r="E131" s="253">
        <v>0</v>
      </c>
      <c r="G131" s="253">
        <f t="shared" si="8"/>
        <v>108567.19890325596</v>
      </c>
      <c r="I131" s="253">
        <v>0</v>
      </c>
      <c r="K131" s="253">
        <f t="shared" si="9"/>
        <v>0</v>
      </c>
    </row>
    <row r="132" spans="2:11" x14ac:dyDescent="0.2">
      <c r="B132" s="205" t="s">
        <v>532</v>
      </c>
      <c r="C132" s="253">
        <f>I118</f>
        <v>24.513235855857225</v>
      </c>
      <c r="E132" s="253">
        <v>0</v>
      </c>
      <c r="G132" s="253">
        <f t="shared" si="8"/>
        <v>24.513235855857225</v>
      </c>
      <c r="I132" s="253">
        <v>0</v>
      </c>
      <c r="K132" s="253">
        <f t="shared" si="9"/>
        <v>0</v>
      </c>
    </row>
    <row r="133" spans="2:11" x14ac:dyDescent="0.2">
      <c r="B133" s="205" t="s">
        <v>535</v>
      </c>
      <c r="C133" s="253">
        <f>J118</f>
        <v>203313.0005430537</v>
      </c>
      <c r="E133" s="253">
        <v>0</v>
      </c>
      <c r="G133" s="253">
        <f t="shared" si="8"/>
        <v>203313.0005430537</v>
      </c>
      <c r="I133" s="253">
        <v>0</v>
      </c>
      <c r="K133" s="253">
        <f t="shared" si="9"/>
        <v>0</v>
      </c>
    </row>
    <row r="134" spans="2:11" x14ac:dyDescent="0.2">
      <c r="B134" s="205" t="s">
        <v>588</v>
      </c>
      <c r="C134" s="253">
        <f>K118</f>
        <v>1259529.3337336415</v>
      </c>
      <c r="E134" s="253">
        <v>0</v>
      </c>
      <c r="G134" s="253">
        <f t="shared" si="8"/>
        <v>1209429.8071877854</v>
      </c>
      <c r="I134" s="253">
        <v>0</v>
      </c>
      <c r="K134" s="253">
        <f t="shared" si="9"/>
        <v>50099.526545856148</v>
      </c>
    </row>
    <row r="135" spans="2:11" ht="16" x14ac:dyDescent="0.2">
      <c r="B135" s="206" t="s">
        <v>570</v>
      </c>
      <c r="C135" s="253">
        <f>L118</f>
        <v>0</v>
      </c>
      <c r="E135" s="253">
        <v>109233.7126431732</v>
      </c>
      <c r="G135" s="253">
        <f t="shared" si="8"/>
        <v>109233.7126431732</v>
      </c>
      <c r="I135" s="253">
        <v>0</v>
      </c>
      <c r="K135" s="253">
        <f t="shared" si="9"/>
        <v>0</v>
      </c>
    </row>
    <row r="136" spans="2:11" x14ac:dyDescent="0.2">
      <c r="B136" s="205" t="s">
        <v>533</v>
      </c>
      <c r="C136" s="253">
        <f>M118</f>
        <v>0</v>
      </c>
      <c r="E136" s="253">
        <v>2396.1586162428257</v>
      </c>
      <c r="G136" s="253">
        <f t="shared" si="8"/>
        <v>0</v>
      </c>
      <c r="I136" s="253">
        <v>2396.1586162428257</v>
      </c>
      <c r="K136" s="253">
        <f t="shared" si="9"/>
        <v>0</v>
      </c>
    </row>
    <row r="137" spans="2:11" ht="16" x14ac:dyDescent="0.2">
      <c r="B137" s="206" t="s">
        <v>536</v>
      </c>
      <c r="C137" s="253">
        <f>N118</f>
        <v>0</v>
      </c>
      <c r="E137" s="253">
        <v>25394.240916408646</v>
      </c>
      <c r="G137" s="253">
        <f t="shared" si="8"/>
        <v>25394.240916408646</v>
      </c>
      <c r="I137" s="253">
        <v>0</v>
      </c>
      <c r="K137" s="253">
        <f t="shared" si="9"/>
        <v>0</v>
      </c>
    </row>
    <row r="138" spans="2:11" x14ac:dyDescent="0.2">
      <c r="B138" s="205" t="s">
        <v>565</v>
      </c>
      <c r="C138" s="253">
        <f>O118</f>
        <v>0</v>
      </c>
      <c r="E138" s="253">
        <v>7.1782646247188149</v>
      </c>
      <c r="G138" s="253">
        <f t="shared" si="8"/>
        <v>0</v>
      </c>
      <c r="I138" s="253">
        <v>7.1782646247188149</v>
      </c>
      <c r="K138" s="253">
        <f t="shared" si="9"/>
        <v>0</v>
      </c>
    </row>
    <row r="139" spans="2:11" x14ac:dyDescent="0.2">
      <c r="B139" s="207" t="s">
        <v>557</v>
      </c>
      <c r="C139" s="253">
        <f>P118</f>
        <v>0</v>
      </c>
      <c r="D139" s="260" t="s">
        <v>481</v>
      </c>
      <c r="E139" s="253">
        <v>8746311.5419027284</v>
      </c>
      <c r="F139" s="172" t="s">
        <v>483</v>
      </c>
      <c r="G139" s="253">
        <f t="shared" si="8"/>
        <v>8746311.5419027284</v>
      </c>
      <c r="H139" s="172" t="s">
        <v>483</v>
      </c>
      <c r="I139" s="253">
        <v>0</v>
      </c>
      <c r="J139" s="260" t="s">
        <v>484</v>
      </c>
      <c r="K139" s="253">
        <f t="shared" si="9"/>
        <v>0</v>
      </c>
    </row>
    <row r="140" spans="2:11" x14ac:dyDescent="0.2">
      <c r="B140" s="205" t="s">
        <v>540</v>
      </c>
      <c r="C140" s="253">
        <f>Q118</f>
        <v>0</v>
      </c>
      <c r="E140" s="253">
        <v>569.94401045704944</v>
      </c>
      <c r="G140" s="253">
        <f t="shared" si="8"/>
        <v>0</v>
      </c>
      <c r="I140" s="253">
        <v>569.94401045704944</v>
      </c>
      <c r="K140" s="253">
        <f t="shared" si="9"/>
        <v>0</v>
      </c>
    </row>
    <row r="141" spans="2:11" ht="16" x14ac:dyDescent="0.2">
      <c r="B141" s="206" t="s">
        <v>569</v>
      </c>
      <c r="C141" s="253">
        <f>R118</f>
        <v>0</v>
      </c>
      <c r="E141" s="253">
        <v>109233.7126431732</v>
      </c>
      <c r="G141" s="253">
        <f t="shared" si="8"/>
        <v>109233.7126431732</v>
      </c>
      <c r="I141" s="253">
        <v>0</v>
      </c>
      <c r="K141" s="253">
        <f t="shared" si="9"/>
        <v>0</v>
      </c>
    </row>
    <row r="142" spans="2:11" ht="16" x14ac:dyDescent="0.2">
      <c r="B142" s="206" t="s">
        <v>564</v>
      </c>
      <c r="C142" s="253">
        <f>S118</f>
        <v>0</v>
      </c>
      <c r="E142" s="253">
        <v>25394.240916408646</v>
      </c>
      <c r="G142" s="253">
        <f t="shared" si="8"/>
        <v>25394.240916408646</v>
      </c>
      <c r="I142" s="253">
        <v>0</v>
      </c>
      <c r="K142" s="253">
        <f t="shared" si="9"/>
        <v>0</v>
      </c>
    </row>
    <row r="143" spans="2:11" ht="16" x14ac:dyDescent="0.2">
      <c r="B143" s="206" t="s">
        <v>561</v>
      </c>
      <c r="C143" s="253">
        <f>T118</f>
        <v>0</v>
      </c>
      <c r="E143" s="253">
        <v>8746311.5419027284</v>
      </c>
      <c r="G143" s="253">
        <f t="shared" si="8"/>
        <v>8746311.5419027284</v>
      </c>
      <c r="I143" s="253">
        <v>0</v>
      </c>
      <c r="K143" s="253">
        <f t="shared" si="9"/>
        <v>0</v>
      </c>
    </row>
    <row r="144" spans="2:11" ht="16" x14ac:dyDescent="0.2">
      <c r="B144" s="206" t="s">
        <v>567</v>
      </c>
      <c r="C144" s="253">
        <f>U118</f>
        <v>0</v>
      </c>
      <c r="E144" s="253">
        <v>88965.799815334409</v>
      </c>
      <c r="G144" s="253">
        <f t="shared" si="8"/>
        <v>88965.799815334409</v>
      </c>
      <c r="I144" s="253">
        <v>0</v>
      </c>
      <c r="K144" s="253">
        <f t="shared" si="9"/>
        <v>0</v>
      </c>
    </row>
    <row r="145" spans="2:19" x14ac:dyDescent="0.2">
      <c r="B145" s="207" t="s">
        <v>566</v>
      </c>
      <c r="C145" s="253">
        <f>V118</f>
        <v>0</v>
      </c>
      <c r="E145" s="253">
        <v>21743.416787545681</v>
      </c>
      <c r="G145" s="253">
        <f t="shared" si="8"/>
        <v>0</v>
      </c>
      <c r="I145" s="253">
        <v>21743.416787545681</v>
      </c>
      <c r="K145" s="253">
        <f t="shared" si="9"/>
        <v>0</v>
      </c>
    </row>
    <row r="146" spans="2:19" x14ac:dyDescent="0.2">
      <c r="B146" s="207" t="s">
        <v>549</v>
      </c>
      <c r="C146" s="253">
        <f>W118</f>
        <v>0</v>
      </c>
      <c r="E146" s="253">
        <v>25394.240916408646</v>
      </c>
      <c r="G146" s="253">
        <f t="shared" ref="G146:G159" si="10">BD62</f>
        <v>25394.240916408646</v>
      </c>
      <c r="I146" s="253">
        <v>0</v>
      </c>
      <c r="K146" s="253">
        <f t="shared" ref="K146:K152" si="11">C146+E146-G146-I146</f>
        <v>0</v>
      </c>
      <c r="N146" s="25"/>
      <c r="P146" s="25"/>
      <c r="Q146" s="25"/>
      <c r="R146" s="25"/>
    </row>
    <row r="147" spans="2:19" x14ac:dyDescent="0.2">
      <c r="B147" s="207" t="s">
        <v>585</v>
      </c>
      <c r="C147" s="253">
        <f>X118</f>
        <v>0</v>
      </c>
      <c r="E147" s="253">
        <v>8746311.5419027284</v>
      </c>
      <c r="G147" s="253">
        <f t="shared" si="10"/>
        <v>8746311.5419027284</v>
      </c>
      <c r="I147" s="253">
        <v>0</v>
      </c>
      <c r="K147" s="253">
        <f t="shared" si="11"/>
        <v>0</v>
      </c>
      <c r="N147" s="25"/>
      <c r="P147" s="25"/>
      <c r="Q147" s="25"/>
      <c r="R147" s="25"/>
    </row>
    <row r="148" spans="2:19" x14ac:dyDescent="0.2">
      <c r="B148" s="207" t="s">
        <v>550</v>
      </c>
      <c r="C148" s="253">
        <f>Y118</f>
        <v>0</v>
      </c>
      <c r="E148" s="253">
        <v>242016.07607977447</v>
      </c>
      <c r="G148" s="253">
        <f t="shared" si="10"/>
        <v>242016.07607977447</v>
      </c>
      <c r="I148" s="253">
        <v>0</v>
      </c>
      <c r="K148" s="253">
        <f t="shared" si="11"/>
        <v>0</v>
      </c>
      <c r="N148" s="25"/>
      <c r="P148" s="25"/>
      <c r="Q148" s="25"/>
      <c r="R148" s="25"/>
    </row>
    <row r="149" spans="2:19" x14ac:dyDescent="0.2">
      <c r="B149" s="207" t="s">
        <v>552</v>
      </c>
      <c r="C149" s="253">
        <f>Z118</f>
        <v>0</v>
      </c>
      <c r="E149" s="253">
        <v>7739.2511800711582</v>
      </c>
      <c r="G149" s="253">
        <f t="shared" si="10"/>
        <v>0</v>
      </c>
      <c r="I149" s="253">
        <v>7739.2511800711582</v>
      </c>
      <c r="K149" s="253">
        <f t="shared" si="11"/>
        <v>0</v>
      </c>
      <c r="N149" s="25"/>
      <c r="P149" s="25"/>
      <c r="Q149" s="25"/>
      <c r="R149" s="25"/>
    </row>
    <row r="150" spans="2:19" x14ac:dyDescent="0.2">
      <c r="B150" s="207" t="s">
        <v>551</v>
      </c>
      <c r="C150" s="253">
        <f>AA118</f>
        <v>0</v>
      </c>
      <c r="E150" s="253">
        <v>1065721621.9898958</v>
      </c>
      <c r="G150" s="253">
        <f t="shared" si="10"/>
        <v>0</v>
      </c>
      <c r="I150" s="253">
        <v>1065721621.9898958</v>
      </c>
      <c r="K150" s="253">
        <f t="shared" si="11"/>
        <v>0</v>
      </c>
      <c r="N150" s="25"/>
      <c r="P150" s="25"/>
      <c r="Q150" s="25"/>
      <c r="R150" s="25"/>
    </row>
    <row r="151" spans="2:19" x14ac:dyDescent="0.2">
      <c r="B151" s="207" t="s">
        <v>545</v>
      </c>
      <c r="C151" s="253">
        <f>AB118</f>
        <v>0</v>
      </c>
      <c r="E151" s="253">
        <v>6791339.3350291392</v>
      </c>
      <c r="G151" s="253">
        <f t="shared" si="10"/>
        <v>6791339.3350291392</v>
      </c>
      <c r="I151" s="253">
        <v>0</v>
      </c>
      <c r="K151" s="253">
        <f t="shared" si="11"/>
        <v>0</v>
      </c>
    </row>
    <row r="152" spans="2:19" ht="16" x14ac:dyDescent="0.2">
      <c r="B152" s="254" t="s">
        <v>547</v>
      </c>
      <c r="C152" s="253">
        <f>AC118</f>
        <v>0</v>
      </c>
      <c r="E152" s="253">
        <v>5935408.0537775028</v>
      </c>
      <c r="G152" s="253">
        <f t="shared" si="10"/>
        <v>5935408.0537775028</v>
      </c>
      <c r="I152" s="253">
        <v>0</v>
      </c>
      <c r="K152" s="253">
        <f t="shared" si="11"/>
        <v>0</v>
      </c>
    </row>
    <row r="153" spans="2:19" x14ac:dyDescent="0.2">
      <c r="B153" s="207" t="s">
        <v>546</v>
      </c>
      <c r="C153" s="253">
        <f>AD118</f>
        <v>0</v>
      </c>
      <c r="E153" s="253">
        <v>5366.0434241372932</v>
      </c>
      <c r="G153" s="253">
        <f t="shared" si="10"/>
        <v>0</v>
      </c>
      <c r="I153" s="253">
        <v>5366.0434241372932</v>
      </c>
      <c r="K153" s="253">
        <f t="shared" ref="K153:K159" si="12">C153+E153-G153-I153</f>
        <v>0</v>
      </c>
      <c r="L153" s="25"/>
    </row>
    <row r="154" spans="2:19" x14ac:dyDescent="0.2">
      <c r="B154" s="205" t="s">
        <v>548</v>
      </c>
      <c r="C154" s="253">
        <f>AE118</f>
        <v>0</v>
      </c>
      <c r="E154" s="253">
        <v>50611.612737094918</v>
      </c>
      <c r="G154" s="253">
        <f t="shared" si="10"/>
        <v>0</v>
      </c>
      <c r="I154" s="253">
        <v>50611.612737094918</v>
      </c>
      <c r="K154" s="253">
        <f t="shared" si="12"/>
        <v>0</v>
      </c>
    </row>
    <row r="155" spans="2:19" x14ac:dyDescent="0.2">
      <c r="B155" s="207" t="s">
        <v>543</v>
      </c>
      <c r="C155" s="253">
        <f>AF118</f>
        <v>0</v>
      </c>
      <c r="E155" s="253">
        <v>5944558.1059355522</v>
      </c>
      <c r="G155" s="253">
        <f t="shared" si="10"/>
        <v>5052874.3900452191</v>
      </c>
      <c r="I155" s="253">
        <v>891683.71589033271</v>
      </c>
      <c r="K155" s="253">
        <f t="shared" si="12"/>
        <v>0</v>
      </c>
    </row>
    <row r="156" spans="2:19" x14ac:dyDescent="0.2">
      <c r="B156" s="207" t="s">
        <v>573</v>
      </c>
      <c r="C156" s="253">
        <f>AG118</f>
        <v>0</v>
      </c>
      <c r="E156" s="253">
        <v>7072531.8830895294</v>
      </c>
      <c r="G156" s="253">
        <f t="shared" si="10"/>
        <v>7072531.8830895294</v>
      </c>
      <c r="I156" s="253">
        <v>0</v>
      </c>
      <c r="K156" s="253">
        <f t="shared" si="12"/>
        <v>0</v>
      </c>
      <c r="P156" s="246"/>
      <c r="Q156" s="246"/>
      <c r="R156" s="246"/>
      <c r="S156" s="246"/>
    </row>
    <row r="157" spans="2:19" x14ac:dyDescent="0.2">
      <c r="B157" s="207" t="s">
        <v>574</v>
      </c>
      <c r="C157" s="253">
        <f>AH118</f>
        <v>0</v>
      </c>
      <c r="E157" s="253">
        <v>4157895.2984628798</v>
      </c>
      <c r="G157" s="253">
        <f t="shared" si="10"/>
        <v>0</v>
      </c>
      <c r="I157" s="253">
        <v>4157895.2984628798</v>
      </c>
      <c r="K157" s="253">
        <f t="shared" si="12"/>
        <v>0</v>
      </c>
    </row>
    <row r="158" spans="2:19" x14ac:dyDescent="0.2">
      <c r="B158" s="207" t="s">
        <v>575</v>
      </c>
      <c r="C158" s="253">
        <f>AI118</f>
        <v>0</v>
      </c>
      <c r="E158" s="253">
        <v>432711.9695416363</v>
      </c>
      <c r="G158" s="253">
        <f t="shared" si="10"/>
        <v>0</v>
      </c>
      <c r="I158" s="253">
        <v>432711.9695416363</v>
      </c>
      <c r="K158" s="253">
        <f t="shared" si="12"/>
        <v>0</v>
      </c>
    </row>
    <row r="159" spans="2:19" x14ac:dyDescent="0.2">
      <c r="B159" s="207" t="s">
        <v>586</v>
      </c>
      <c r="C159" s="253">
        <f>AJ118</f>
        <v>0</v>
      </c>
      <c r="E159" s="253">
        <v>67875.356217847453</v>
      </c>
      <c r="G159" s="253">
        <f t="shared" si="10"/>
        <v>0</v>
      </c>
      <c r="I159" s="253">
        <v>67875.356217847453</v>
      </c>
      <c r="K159" s="253">
        <f t="shared" si="12"/>
        <v>0</v>
      </c>
    </row>
    <row r="160" spans="2:19" ht="17" x14ac:dyDescent="0.2">
      <c r="B160" s="207"/>
      <c r="C160" s="3" t="s">
        <v>480</v>
      </c>
      <c r="E160" s="3" t="s">
        <v>482</v>
      </c>
      <c r="G160" s="25" t="s">
        <v>479</v>
      </c>
      <c r="I160" s="25" t="s">
        <v>39</v>
      </c>
      <c r="K160" s="25" t="s">
        <v>489</v>
      </c>
    </row>
    <row r="161" spans="2:15" x14ac:dyDescent="0.2">
      <c r="B161" s="207"/>
      <c r="G161" s="25"/>
      <c r="I161" s="25"/>
    </row>
    <row r="162" spans="2:15" x14ac:dyDescent="0.2">
      <c r="B162" s="207"/>
    </row>
    <row r="163" spans="2:15" x14ac:dyDescent="0.2">
      <c r="C163" s="347" t="s">
        <v>485</v>
      </c>
      <c r="D163" s="347"/>
      <c r="E163" s="347"/>
      <c r="F163" s="347"/>
      <c r="G163" s="347"/>
      <c r="L163" s="246"/>
      <c r="M163" s="246"/>
    </row>
    <row r="164" spans="2:15" x14ac:dyDescent="0.2">
      <c r="I164" s="3" t="s">
        <v>591</v>
      </c>
    </row>
    <row r="166" spans="2:15" x14ac:dyDescent="0.2">
      <c r="B166" s="205" t="s">
        <v>418</v>
      </c>
      <c r="C166" s="253">
        <f>AP77</f>
        <v>196979.54401115695</v>
      </c>
      <c r="E166" s="253">
        <f>AK80</f>
        <v>111629.87125941603</v>
      </c>
      <c r="G166" s="253">
        <f>C166-E166</f>
        <v>85349.672751740916</v>
      </c>
    </row>
    <row r="167" spans="2:15" x14ac:dyDescent="0.2">
      <c r="B167" s="205" t="s">
        <v>419</v>
      </c>
      <c r="C167" s="253">
        <f>AQ77</f>
        <v>25659.269681201535</v>
      </c>
      <c r="E167" s="253">
        <f t="shared" ref="E167:E179" si="13">AK81</f>
        <v>25401.419181033365</v>
      </c>
      <c r="G167" s="253">
        <f t="shared" ref="G167:G179" si="14">C167-E167</f>
        <v>257.85050016816967</v>
      </c>
      <c r="N167" s="246"/>
      <c r="O167" s="246"/>
    </row>
    <row r="168" spans="2:15" x14ac:dyDescent="0.2">
      <c r="B168" s="205" t="s">
        <v>420</v>
      </c>
      <c r="C168" s="253">
        <f>AR77</f>
        <v>8844576.4466051329</v>
      </c>
      <c r="E168" s="253">
        <f t="shared" si="13"/>
        <v>8746881.4859131854</v>
      </c>
      <c r="G168" s="253">
        <f t="shared" si="14"/>
        <v>97694.96069194749</v>
      </c>
    </row>
    <row r="169" spans="2:15" x14ac:dyDescent="0.2">
      <c r="B169" s="205" t="s">
        <v>584</v>
      </c>
      <c r="C169" s="253">
        <f>AS77</f>
        <v>719025.96440252138</v>
      </c>
      <c r="D169" s="255"/>
      <c r="E169" s="253">
        <f t="shared" si="13"/>
        <v>109233.7126431732</v>
      </c>
      <c r="F169" s="255"/>
      <c r="G169" s="253">
        <f t="shared" si="14"/>
        <v>609792.2517593482</v>
      </c>
    </row>
    <row r="170" spans="2:15" x14ac:dyDescent="0.2">
      <c r="B170" s="205" t="s">
        <v>563</v>
      </c>
      <c r="C170" s="253">
        <f>AT77</f>
        <v>28219.126564153565</v>
      </c>
      <c r="E170" s="253">
        <f t="shared" si="13"/>
        <v>25394.240916408646</v>
      </c>
      <c r="G170" s="253">
        <f t="shared" si="14"/>
        <v>2824.885647744919</v>
      </c>
      <c r="H170" s="246"/>
      <c r="I170" s="246"/>
      <c r="J170" s="246"/>
      <c r="K170" s="246"/>
    </row>
    <row r="171" spans="2:15" x14ac:dyDescent="0.2">
      <c r="B171" s="205" t="s">
        <v>562</v>
      </c>
      <c r="C171" s="253">
        <f>AU77</f>
        <v>8906564.9751386438</v>
      </c>
      <c r="E171" s="253">
        <f t="shared" si="13"/>
        <v>8746311.5419027284</v>
      </c>
      <c r="G171" s="253">
        <f t="shared" si="14"/>
        <v>160253.43323591538</v>
      </c>
    </row>
    <row r="172" spans="2:15" x14ac:dyDescent="0.2">
      <c r="B172" s="205" t="s">
        <v>447</v>
      </c>
      <c r="C172" s="253">
        <f>AV77</f>
        <v>121859.81146951189</v>
      </c>
      <c r="E172" s="253">
        <f t="shared" si="13"/>
        <v>110709.21660288009</v>
      </c>
      <c r="G172" s="253">
        <f t="shared" si="14"/>
        <v>11150.5948666318</v>
      </c>
    </row>
    <row r="173" spans="2:15" x14ac:dyDescent="0.2">
      <c r="B173" s="205" t="s">
        <v>444</v>
      </c>
      <c r="C173" s="253">
        <f>AW77</f>
        <v>25428.919011572762</v>
      </c>
      <c r="D173" s="172" t="s">
        <v>488</v>
      </c>
      <c r="E173" s="253">
        <f t="shared" si="13"/>
        <v>25394.240916408646</v>
      </c>
      <c r="F173" s="172" t="s">
        <v>484</v>
      </c>
      <c r="G173" s="253">
        <f t="shared" si="14"/>
        <v>34.678095164115803</v>
      </c>
    </row>
    <row r="174" spans="2:15" x14ac:dyDescent="0.2">
      <c r="B174" s="205" t="s">
        <v>466</v>
      </c>
      <c r="C174" s="253">
        <f>AX77</f>
        <v>8774915.6996685099</v>
      </c>
      <c r="E174" s="253">
        <f t="shared" si="13"/>
        <v>8746311.5419027284</v>
      </c>
      <c r="G174" s="253">
        <f t="shared" si="14"/>
        <v>28604.157765781507</v>
      </c>
    </row>
    <row r="175" spans="2:15" x14ac:dyDescent="0.2">
      <c r="B175" s="205" t="s">
        <v>445</v>
      </c>
      <c r="C175" s="253">
        <f>AY77</f>
        <v>1078398155.5102727</v>
      </c>
      <c r="E175" s="253">
        <f t="shared" si="13"/>
        <v>1065971377.3171557</v>
      </c>
      <c r="G175" s="253">
        <f t="shared" si="14"/>
        <v>12426778.193117023</v>
      </c>
    </row>
    <row r="176" spans="2:15" x14ac:dyDescent="0.2">
      <c r="B176" s="205" t="s">
        <v>440</v>
      </c>
      <c r="C176" s="253">
        <f>AZ77</f>
        <v>10517543.964973493</v>
      </c>
      <c r="E176" s="253">
        <f t="shared" si="13"/>
        <v>12782725.044967873</v>
      </c>
      <c r="G176" s="253">
        <f t="shared" si="14"/>
        <v>-2265181.0799943805</v>
      </c>
    </row>
    <row r="177" spans="2:11" x14ac:dyDescent="0.2">
      <c r="B177" s="205" t="s">
        <v>462</v>
      </c>
      <c r="C177" s="253">
        <f>BA77</f>
        <v>5935408.0537775028</v>
      </c>
      <c r="E177" s="253">
        <f t="shared" si="13"/>
        <v>5944558.1059355522</v>
      </c>
      <c r="G177" s="253">
        <f t="shared" si="14"/>
        <v>-9150.0521580493078</v>
      </c>
    </row>
    <row r="178" spans="2:11" x14ac:dyDescent="0.2">
      <c r="B178" s="205" t="s">
        <v>81</v>
      </c>
      <c r="C178" s="253">
        <f>BB77</f>
        <v>7122321.2109242482</v>
      </c>
      <c r="E178" s="253">
        <f t="shared" si="13"/>
        <v>7072531.8830895294</v>
      </c>
      <c r="G178" s="253">
        <f t="shared" si="14"/>
        <v>49789.327834718861</v>
      </c>
    </row>
    <row r="179" spans="2:11" x14ac:dyDescent="0.2">
      <c r="B179" s="205" t="s">
        <v>430</v>
      </c>
      <c r="C179" s="253">
        <f>BC77</f>
        <v>14100010.581139561</v>
      </c>
      <c r="D179" s="172"/>
      <c r="E179" s="253">
        <f t="shared" si="13"/>
        <v>4658482.6242223633</v>
      </c>
      <c r="G179" s="253">
        <f t="shared" si="14"/>
        <v>9441527.9569171965</v>
      </c>
    </row>
    <row r="180" spans="2:11" x14ac:dyDescent="0.2">
      <c r="B180" s="207"/>
      <c r="C180" s="172" t="s">
        <v>478</v>
      </c>
      <c r="D180" s="172"/>
      <c r="E180" s="172" t="s">
        <v>475</v>
      </c>
      <c r="F180" s="172"/>
      <c r="G180" s="172" t="s">
        <v>489</v>
      </c>
    </row>
    <row r="181" spans="2:11" x14ac:dyDescent="0.2">
      <c r="B181" s="207"/>
    </row>
    <row r="182" spans="2:11" x14ac:dyDescent="0.2">
      <c r="B182" s="207"/>
    </row>
    <row r="187" spans="2:11" x14ac:dyDescent="0.2">
      <c r="H187" s="172"/>
      <c r="I187" s="172"/>
      <c r="J187" s="172"/>
      <c r="K187" s="172"/>
    </row>
  </sheetData>
  <mergeCells count="10">
    <mergeCell ref="C117:AJ117"/>
    <mergeCell ref="C119:AJ119"/>
    <mergeCell ref="C123:P123"/>
    <mergeCell ref="C163:G163"/>
    <mergeCell ref="AP76:BC76"/>
    <mergeCell ref="BI76:BJ76"/>
    <mergeCell ref="C78:D78"/>
    <mergeCell ref="AP78:BC78"/>
    <mergeCell ref="C94:AJ94"/>
    <mergeCell ref="C96:AJ9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859C0-083D-E14E-8C3D-27EB9D3A2160}">
  <dimension ref="B41:BP187"/>
  <sheetViews>
    <sheetView topLeftCell="A136" zoomScale="150" workbookViewId="0">
      <selection activeCell="P160" sqref="P160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2" width="10.83203125" style="3"/>
    <col min="43" max="43" width="16" style="3" customWidth="1"/>
    <col min="44" max="16384" width="10.83203125" style="3"/>
  </cols>
  <sheetData>
    <row r="41" spans="32:63" ht="112" x14ac:dyDescent="0.2">
      <c r="AO41" s="261" t="s">
        <v>458</v>
      </c>
      <c r="AP41" s="208" t="s">
        <v>418</v>
      </c>
      <c r="AQ41" s="208" t="s">
        <v>419</v>
      </c>
      <c r="AR41" s="208" t="s">
        <v>420</v>
      </c>
      <c r="AS41" s="208" t="s">
        <v>584</v>
      </c>
      <c r="AT41" s="208" t="s">
        <v>563</v>
      </c>
      <c r="AU41" s="208" t="s">
        <v>562</v>
      </c>
      <c r="AV41" s="208" t="s">
        <v>447</v>
      </c>
      <c r="AW41" s="208" t="s">
        <v>444</v>
      </c>
      <c r="AX41" s="208" t="s">
        <v>466</v>
      </c>
      <c r="AY41" s="208" t="s">
        <v>445</v>
      </c>
      <c r="AZ41" s="208" t="s">
        <v>440</v>
      </c>
      <c r="BA41" s="208" t="s">
        <v>462</v>
      </c>
      <c r="BB41" s="208" t="s">
        <v>81</v>
      </c>
      <c r="BC41" s="208" t="s">
        <v>430</v>
      </c>
      <c r="BH41" s="208"/>
      <c r="BI41" s="208" t="s">
        <v>424</v>
      </c>
      <c r="BJ41" s="208" t="s">
        <v>357</v>
      </c>
    </row>
    <row r="42" spans="32:63" x14ac:dyDescent="0.2">
      <c r="AF42" s="205"/>
      <c r="AO42" s="205" t="s">
        <v>426</v>
      </c>
      <c r="AP42" s="231">
        <f>'Ore-&gt;PI'!AL42</f>
        <v>1011.7674660019052</v>
      </c>
      <c r="AQ42" s="231"/>
      <c r="AR42" s="231"/>
      <c r="AS42" s="231"/>
      <c r="AT42" s="231"/>
      <c r="AU42" s="231"/>
      <c r="AV42" s="231"/>
      <c r="AW42" s="231"/>
      <c r="AX42" s="231"/>
      <c r="AY42" s="231"/>
      <c r="AZ42" s="231"/>
      <c r="BA42" s="231"/>
      <c r="BB42" s="231"/>
      <c r="BC42" s="231"/>
      <c r="BD42" s="253">
        <f>SUM(AP42:BC42)</f>
        <v>1011.7674660019052</v>
      </c>
      <c r="BH42" s="205" t="s">
        <v>426</v>
      </c>
      <c r="BI42" s="245"/>
      <c r="BJ42" s="245"/>
      <c r="BK42" s="253">
        <f>SUM(BI42:BJ42)</f>
        <v>0</v>
      </c>
    </row>
    <row r="43" spans="32:63" x14ac:dyDescent="0.2">
      <c r="AF43" s="205"/>
      <c r="AO43" s="205" t="s">
        <v>428</v>
      </c>
      <c r="AP43" s="231"/>
      <c r="AQ43" s="231">
        <f>'Ore-&gt;PI'!T126</f>
        <v>208.55560337725498</v>
      </c>
      <c r="AR43" s="231"/>
      <c r="AS43" s="231"/>
      <c r="AT43" s="231"/>
      <c r="AU43" s="231"/>
      <c r="AV43" s="231"/>
      <c r="AW43" s="231"/>
      <c r="AX43" s="231"/>
      <c r="AY43" s="231"/>
      <c r="AZ43" s="231"/>
      <c r="BA43" s="231"/>
      <c r="BB43" s="231"/>
      <c r="BC43" s="231"/>
      <c r="BD43" s="253">
        <f>SUM(AP43:BC43)</f>
        <v>208.55560337725498</v>
      </c>
      <c r="BH43" s="205" t="s">
        <v>428</v>
      </c>
      <c r="BI43" s="245"/>
      <c r="BJ43" s="245"/>
      <c r="BK43" s="253">
        <f>SUM(BI43:BJ43)</f>
        <v>0</v>
      </c>
    </row>
    <row r="44" spans="32:63" x14ac:dyDescent="0.2">
      <c r="AF44" s="205"/>
      <c r="AO44" s="205" t="s">
        <v>429</v>
      </c>
      <c r="AP44" s="231"/>
      <c r="AQ44" s="231"/>
      <c r="AR44" s="231">
        <f>'Ore-&gt;PI'!T206</f>
        <v>286.88405520213911</v>
      </c>
      <c r="AS44" s="231"/>
      <c r="AT44" s="231"/>
      <c r="AU44" s="231"/>
      <c r="AV44" s="231"/>
      <c r="AW44" s="231"/>
      <c r="AX44" s="231"/>
      <c r="AY44" s="231"/>
      <c r="AZ44" s="231"/>
      <c r="BA44" s="231"/>
      <c r="BB44" s="231"/>
      <c r="BC44" s="231"/>
      <c r="BD44" s="253">
        <f t="shared" ref="BD44:BD75" si="0">SUM(AP44:BC44)</f>
        <v>286.88405520213911</v>
      </c>
      <c r="BH44" s="205" t="s">
        <v>429</v>
      </c>
      <c r="BI44" s="245"/>
      <c r="BJ44" s="245"/>
      <c r="BK44" s="253">
        <f>SUM(BI44:BJ44)</f>
        <v>0</v>
      </c>
    </row>
    <row r="45" spans="32:63" x14ac:dyDescent="0.2">
      <c r="AF45" s="205"/>
      <c r="AO45" s="205" t="s">
        <v>451</v>
      </c>
      <c r="AP45" s="231">
        <f>'Ore-&gt;PI'!T72</f>
        <v>29.869958467081446</v>
      </c>
      <c r="AQ45" s="231">
        <f>'Ore-&gt;PI'!T163</f>
        <v>8.9625684461364291E-2</v>
      </c>
      <c r="AR45" s="231">
        <f>'Ore-&gt;PI'!T236</f>
        <v>7.104790060854917</v>
      </c>
      <c r="AS45" s="231"/>
      <c r="AT45" s="231"/>
      <c r="AU45" s="231"/>
      <c r="AV45" s="231"/>
      <c r="AW45" s="231"/>
      <c r="AX45" s="231"/>
      <c r="AY45" s="231">
        <f>'Ore-&gt;PI'!BW140</f>
        <v>287.74918282404701</v>
      </c>
      <c r="AZ45" s="231">
        <f>'Ore-&gt;PI'!BW242</f>
        <v>556.96479760636817</v>
      </c>
      <c r="BA45" s="231"/>
      <c r="BB45" s="231"/>
      <c r="BC45" s="244">
        <f>'Ore-&gt;PI'!EF140</f>
        <v>2870.841834451006</v>
      </c>
      <c r="BD45" s="253">
        <f t="shared" si="0"/>
        <v>3752.6201890938191</v>
      </c>
      <c r="BH45" s="205" t="s">
        <v>451</v>
      </c>
      <c r="BI45" s="245"/>
      <c r="BJ45" s="245"/>
      <c r="BK45" s="253">
        <f t="shared" ref="BK45:BK49" si="1">SUM(BI45:BJ45)</f>
        <v>0</v>
      </c>
    </row>
    <row r="46" spans="32:63" x14ac:dyDescent="0.2">
      <c r="AF46" s="205"/>
      <c r="AO46" s="205" t="s">
        <v>487</v>
      </c>
      <c r="AP46" s="231"/>
      <c r="AQ46" s="231"/>
      <c r="AR46" s="231"/>
      <c r="AS46" s="231"/>
      <c r="AT46" s="231"/>
      <c r="AU46" s="231"/>
      <c r="AV46" s="231"/>
      <c r="AW46" s="231"/>
      <c r="AX46" s="231"/>
      <c r="AY46" s="231">
        <f>'Ore-&gt;PI'!BW152</f>
        <v>20798.316475388398</v>
      </c>
      <c r="AZ46" s="231">
        <f>'Ore-&gt;PI'!BW254</f>
        <v>16.963528773956838</v>
      </c>
      <c r="BA46" s="231"/>
      <c r="BB46" s="231"/>
      <c r="BC46" s="231">
        <f>'Ore-&gt;PI'!EF114</f>
        <v>44.774669200794314</v>
      </c>
      <c r="BD46" s="253">
        <f t="shared" si="0"/>
        <v>20860.054673363149</v>
      </c>
      <c r="BH46" s="205" t="s">
        <v>487</v>
      </c>
      <c r="BI46" s="245"/>
      <c r="BJ46" s="245"/>
      <c r="BK46" s="253">
        <f t="shared" si="1"/>
        <v>0</v>
      </c>
    </row>
    <row r="47" spans="32:63" x14ac:dyDescent="0.2">
      <c r="AF47" s="205"/>
      <c r="AO47" s="205" t="s">
        <v>531</v>
      </c>
      <c r="AP47" s="231">
        <f>'Ore-&gt;PI'!T59</f>
        <v>2.05024783499473</v>
      </c>
      <c r="AQ47" s="231">
        <f>'Ore-&gt;PI'!T140</f>
        <v>5.6184061187345121E-3</v>
      </c>
      <c r="AR47" s="231">
        <f>'Ore-&gt;PI'!T222</f>
        <v>0.48766657832528126</v>
      </c>
      <c r="AS47" s="231"/>
      <c r="AT47" s="231"/>
      <c r="AU47" s="231"/>
      <c r="AV47" s="231"/>
      <c r="AW47" s="231"/>
      <c r="AX47" s="231"/>
      <c r="AY47" s="231"/>
      <c r="AZ47" s="231"/>
      <c r="BA47" s="231"/>
      <c r="BB47" s="231"/>
      <c r="BC47" s="231"/>
      <c r="BD47" s="253">
        <f t="shared" si="0"/>
        <v>2.5435328194387457</v>
      </c>
      <c r="BH47" s="205" t="s">
        <v>531</v>
      </c>
      <c r="BI47" s="245"/>
      <c r="BJ47" s="245"/>
      <c r="BK47" s="253">
        <f t="shared" si="1"/>
        <v>0</v>
      </c>
    </row>
    <row r="48" spans="32:63" x14ac:dyDescent="0.2">
      <c r="AF48" s="205"/>
      <c r="AO48" s="205" t="s">
        <v>532</v>
      </c>
      <c r="AP48" s="231"/>
      <c r="AQ48" s="231">
        <f>'Ore-&gt;PI'!T151</f>
        <v>5.1714158616864253E-4</v>
      </c>
      <c r="AR48" s="231"/>
      <c r="AS48" s="231"/>
      <c r="AT48" s="231"/>
      <c r="AU48" s="231"/>
      <c r="AV48" s="231"/>
      <c r="AW48" s="231"/>
      <c r="AX48" s="231"/>
      <c r="AY48" s="231"/>
      <c r="AZ48" s="231"/>
      <c r="BA48" s="231"/>
      <c r="BB48" s="231"/>
      <c r="BC48" s="231"/>
      <c r="BD48" s="253">
        <f t="shared" si="0"/>
        <v>5.1714158616864253E-4</v>
      </c>
      <c r="BH48" s="205" t="s">
        <v>532</v>
      </c>
      <c r="BI48" s="245"/>
      <c r="BJ48" s="245"/>
      <c r="BK48" s="253">
        <f t="shared" si="1"/>
        <v>0</v>
      </c>
    </row>
    <row r="49" spans="32:68" x14ac:dyDescent="0.2">
      <c r="AF49" s="205"/>
      <c r="AO49" s="205" t="s">
        <v>535</v>
      </c>
      <c r="AP49" s="231"/>
      <c r="AQ49" s="231"/>
      <c r="AR49" s="231"/>
      <c r="AS49" s="231"/>
      <c r="AT49" s="231"/>
      <c r="AU49" s="231"/>
      <c r="AV49" s="231"/>
      <c r="AW49" s="231"/>
      <c r="AX49" s="231"/>
      <c r="AY49" s="231"/>
      <c r="AZ49" s="231"/>
      <c r="BA49" s="231"/>
      <c r="BB49" s="231"/>
      <c r="BC49" s="231">
        <f>'Ore-&gt;PI'!EF101</f>
        <v>4.8979947555174279</v>
      </c>
      <c r="BD49" s="253">
        <f t="shared" si="0"/>
        <v>4.8979947555174279</v>
      </c>
      <c r="BH49" s="205" t="s">
        <v>535</v>
      </c>
      <c r="BI49" s="245"/>
      <c r="BJ49" s="245"/>
      <c r="BK49" s="253">
        <f t="shared" si="1"/>
        <v>0</v>
      </c>
    </row>
    <row r="50" spans="32:68" x14ac:dyDescent="0.2">
      <c r="AF50" s="205"/>
      <c r="AO50" s="205" t="s">
        <v>588</v>
      </c>
      <c r="AP50" s="231"/>
      <c r="AQ50" s="231"/>
      <c r="AR50" s="231">
        <v>0</v>
      </c>
      <c r="AS50" s="231">
        <v>0</v>
      </c>
      <c r="AT50" s="231">
        <v>0</v>
      </c>
      <c r="AU50" s="231">
        <v>0</v>
      </c>
      <c r="AV50" s="231">
        <v>0</v>
      </c>
      <c r="AW50" s="231">
        <v>0</v>
      </c>
      <c r="AX50" s="231">
        <v>0</v>
      </c>
      <c r="AY50" s="231"/>
      <c r="AZ50" s="231"/>
      <c r="BA50" s="231"/>
      <c r="BB50" s="231"/>
      <c r="BC50" s="231">
        <v>0</v>
      </c>
      <c r="BD50" s="253">
        <f t="shared" si="0"/>
        <v>0</v>
      </c>
      <c r="BH50" s="205" t="s">
        <v>588</v>
      </c>
      <c r="BI50" s="245"/>
      <c r="BJ50" s="245"/>
      <c r="BK50" s="253">
        <f t="shared" ref="BK50:BK56" si="2">SUM(BI50:BJ50)</f>
        <v>0</v>
      </c>
    </row>
    <row r="51" spans="32:68" ht="16" x14ac:dyDescent="0.2">
      <c r="AF51" s="247"/>
      <c r="AO51" s="206" t="s">
        <v>570</v>
      </c>
      <c r="AP51" s="231"/>
      <c r="AQ51" s="231"/>
      <c r="AR51" s="231"/>
      <c r="AS51" s="231">
        <f>'Ore-&gt;PI'!AL42</f>
        <v>1011.7674660019052</v>
      </c>
      <c r="AT51" s="231"/>
      <c r="AU51" s="231"/>
      <c r="AV51" s="231"/>
      <c r="AW51" s="231"/>
      <c r="AX51" s="231"/>
      <c r="AY51" s="231"/>
      <c r="AZ51" s="231"/>
      <c r="BA51" s="231"/>
      <c r="BB51" s="231"/>
      <c r="BC51" s="231"/>
      <c r="BD51" s="253">
        <f t="shared" si="0"/>
        <v>1011.7674660019052</v>
      </c>
      <c r="BH51" s="206" t="s">
        <v>570</v>
      </c>
      <c r="BI51" s="245"/>
      <c r="BJ51" s="245"/>
      <c r="BK51" s="253">
        <f t="shared" si="2"/>
        <v>0</v>
      </c>
    </row>
    <row r="52" spans="32:68" ht="16" x14ac:dyDescent="0.2">
      <c r="AF52" s="206"/>
      <c r="AO52" s="205" t="s">
        <v>533</v>
      </c>
      <c r="AP52" s="231"/>
      <c r="AQ52" s="231"/>
      <c r="AR52" s="231"/>
      <c r="AS52" s="231"/>
      <c r="AT52" s="231"/>
      <c r="AU52" s="231"/>
      <c r="AV52" s="231"/>
      <c r="AW52" s="231"/>
      <c r="AX52" s="231"/>
      <c r="AY52" s="231"/>
      <c r="AZ52" s="231"/>
      <c r="BA52" s="231"/>
      <c r="BB52" s="231"/>
      <c r="BC52" s="231"/>
      <c r="BD52" s="253">
        <f t="shared" si="0"/>
        <v>0</v>
      </c>
      <c r="BH52" s="205" t="s">
        <v>533</v>
      </c>
      <c r="BI52" s="245"/>
      <c r="BJ52" s="245">
        <f>'Ore-&gt;PI'!AL63</f>
        <v>31.920206302076174</v>
      </c>
      <c r="BK52" s="253">
        <f t="shared" si="2"/>
        <v>31.920206302076174</v>
      </c>
    </row>
    <row r="53" spans="32:68" ht="16" x14ac:dyDescent="0.2">
      <c r="AF53" s="207"/>
      <c r="AO53" s="206" t="s">
        <v>536</v>
      </c>
      <c r="AP53" s="231"/>
      <c r="AQ53" s="231"/>
      <c r="AR53" s="231"/>
      <c r="AS53" s="231"/>
      <c r="AT53" s="231">
        <f>'Ore-&gt;PI'!AM126</f>
        <v>208.55560337725498</v>
      </c>
      <c r="AU53" s="231"/>
      <c r="AV53" s="231"/>
      <c r="AW53" s="231"/>
      <c r="AX53" s="231"/>
      <c r="AY53" s="231"/>
      <c r="AZ53" s="231"/>
      <c r="BA53" s="231"/>
      <c r="BB53" s="231"/>
      <c r="BC53" s="231"/>
      <c r="BD53" s="253">
        <f t="shared" si="0"/>
        <v>208.55560337725498</v>
      </c>
      <c r="BH53" s="206" t="s">
        <v>536</v>
      </c>
      <c r="BI53" s="245"/>
      <c r="BJ53" s="249"/>
      <c r="BK53" s="253">
        <f t="shared" si="2"/>
        <v>0</v>
      </c>
    </row>
    <row r="54" spans="32:68" x14ac:dyDescent="0.2">
      <c r="AF54" s="207"/>
      <c r="AO54" s="205" t="s">
        <v>565</v>
      </c>
      <c r="AP54" s="231"/>
      <c r="AQ54" s="231"/>
      <c r="AR54" s="231"/>
      <c r="AS54" s="231"/>
      <c r="AT54" s="231"/>
      <c r="AU54" s="231"/>
      <c r="AV54" s="231"/>
      <c r="AW54" s="231"/>
      <c r="AX54" s="231"/>
      <c r="AY54" s="231"/>
      <c r="AZ54" s="231"/>
      <c r="BA54" s="231"/>
      <c r="BB54" s="244"/>
      <c r="BC54" s="231"/>
      <c r="BD54" s="253">
        <f t="shared" si="0"/>
        <v>0</v>
      </c>
      <c r="BH54" s="205" t="s">
        <v>565</v>
      </c>
      <c r="BI54" s="245"/>
      <c r="BJ54" s="245">
        <f>'Ore-&gt;PI'!AM142</f>
        <v>9.5761232166267446E-2</v>
      </c>
      <c r="BK54" s="253">
        <f t="shared" si="2"/>
        <v>9.5761232166267446E-2</v>
      </c>
    </row>
    <row r="55" spans="32:68" x14ac:dyDescent="0.2">
      <c r="AF55" s="207"/>
      <c r="AO55" s="207" t="s">
        <v>557</v>
      </c>
      <c r="AP55" s="231"/>
      <c r="AQ55" s="231"/>
      <c r="AR55" s="231"/>
      <c r="AS55" s="231"/>
      <c r="AT55" s="231"/>
      <c r="AU55" s="231">
        <f>'Ore-&gt;PI'!AM206</f>
        <v>286.88405520213911</v>
      </c>
      <c r="AV55" s="231"/>
      <c r="AW55" s="231"/>
      <c r="AX55" s="231"/>
      <c r="AY55" s="231"/>
      <c r="AZ55" s="231"/>
      <c r="BA55" s="231"/>
      <c r="BB55" s="231"/>
      <c r="BC55" s="244"/>
      <c r="BD55" s="253">
        <f t="shared" si="0"/>
        <v>286.88405520213911</v>
      </c>
      <c r="BH55" s="207" t="s">
        <v>557</v>
      </c>
      <c r="BI55" s="245"/>
      <c r="BJ55" s="245"/>
      <c r="BK55" s="253">
        <f t="shared" si="2"/>
        <v>0</v>
      </c>
    </row>
    <row r="56" spans="32:68" x14ac:dyDescent="0.2">
      <c r="AF56" s="207"/>
      <c r="AO56" s="205" t="s">
        <v>540</v>
      </c>
      <c r="AP56" s="231"/>
      <c r="AQ56" s="231"/>
      <c r="AR56" s="231"/>
      <c r="AS56" s="231"/>
      <c r="AT56" s="231"/>
      <c r="AU56" s="231"/>
      <c r="AV56" s="231"/>
      <c r="AW56" s="231"/>
      <c r="AX56" s="231"/>
      <c r="AY56" s="231"/>
      <c r="AZ56" s="231"/>
      <c r="BA56" s="231"/>
      <c r="BB56" s="231"/>
      <c r="BC56" s="231"/>
      <c r="BD56" s="253">
        <f t="shared" si="0"/>
        <v>0</v>
      </c>
      <c r="BH56" s="205" t="s">
        <v>540</v>
      </c>
      <c r="BI56" s="245"/>
      <c r="BJ56" s="245">
        <f>'Ore-&gt;PI'!AM227</f>
        <v>7.5924566391801989</v>
      </c>
      <c r="BK56" s="253">
        <f t="shared" si="2"/>
        <v>7.5924566391801989</v>
      </c>
      <c r="BL56" s="25"/>
      <c r="BM56" s="25"/>
      <c r="BN56" s="25"/>
      <c r="BO56" s="25"/>
      <c r="BP56" s="25"/>
    </row>
    <row r="57" spans="32:68" ht="16" x14ac:dyDescent="0.2">
      <c r="AF57" s="207"/>
      <c r="AO57" s="206" t="s">
        <v>569</v>
      </c>
      <c r="AP57" s="231"/>
      <c r="AQ57" s="231"/>
      <c r="AR57" s="231"/>
      <c r="AS57" s="231"/>
      <c r="AT57" s="231"/>
      <c r="AU57" s="231"/>
      <c r="AV57" s="231">
        <f>'Ore-&gt;PI'!BD42</f>
        <v>1011.7674660019052</v>
      </c>
      <c r="AW57" s="231"/>
      <c r="AX57" s="231"/>
      <c r="AY57" s="231"/>
      <c r="AZ57" s="231"/>
      <c r="BA57" s="231"/>
      <c r="BB57" s="231"/>
      <c r="BC57" s="231"/>
      <c r="BD57" s="253">
        <f t="shared" si="0"/>
        <v>1011.7674660019052</v>
      </c>
      <c r="BH57" s="206" t="s">
        <v>569</v>
      </c>
      <c r="BI57" s="245"/>
      <c r="BJ57" s="245"/>
      <c r="BK57" s="253">
        <f t="shared" ref="BK57:BK75" si="3">SUM(BI57:BJ57)</f>
        <v>0</v>
      </c>
    </row>
    <row r="58" spans="32:68" ht="16" x14ac:dyDescent="0.2">
      <c r="AF58" s="207"/>
      <c r="AO58" s="206" t="s">
        <v>564</v>
      </c>
      <c r="AP58" s="231"/>
      <c r="AQ58" s="231"/>
      <c r="AR58" s="231"/>
      <c r="AS58" s="231"/>
      <c r="AT58" s="231"/>
      <c r="AU58" s="231"/>
      <c r="AV58" s="231"/>
      <c r="AW58" s="231">
        <f>'Ore-&gt;PI'!BE126</f>
        <v>208.55560337725498</v>
      </c>
      <c r="AX58" s="231"/>
      <c r="AY58" s="231"/>
      <c r="AZ58" s="231"/>
      <c r="BA58" s="231"/>
      <c r="BB58" s="231"/>
      <c r="BC58" s="231"/>
      <c r="BD58" s="253">
        <f t="shared" si="0"/>
        <v>208.55560337725498</v>
      </c>
      <c r="BH58" s="206" t="s">
        <v>564</v>
      </c>
      <c r="BI58" s="245"/>
      <c r="BJ58" s="245"/>
      <c r="BK58" s="253">
        <f t="shared" si="3"/>
        <v>0</v>
      </c>
    </row>
    <row r="59" spans="32:68" ht="16" x14ac:dyDescent="0.2">
      <c r="AF59" s="207"/>
      <c r="AO59" s="206" t="s">
        <v>561</v>
      </c>
      <c r="AP59" s="231"/>
      <c r="AQ59" s="231"/>
      <c r="AR59" s="231"/>
      <c r="AS59" s="231"/>
      <c r="AT59" s="231"/>
      <c r="AU59" s="231"/>
      <c r="AV59" s="231"/>
      <c r="AW59" s="231"/>
      <c r="AX59" s="231">
        <f>'Ore-&gt;PI'!BE206</f>
        <v>286.88405520213911</v>
      </c>
      <c r="AY59" s="231"/>
      <c r="AZ59" s="231"/>
      <c r="BA59" s="231"/>
      <c r="BB59" s="231"/>
      <c r="BC59" s="231"/>
      <c r="BD59" s="253">
        <f t="shared" si="0"/>
        <v>286.88405520213911</v>
      </c>
      <c r="BH59" s="206" t="s">
        <v>561</v>
      </c>
      <c r="BI59" s="245"/>
      <c r="BJ59" s="245"/>
      <c r="BK59" s="253">
        <f t="shared" si="3"/>
        <v>0</v>
      </c>
    </row>
    <row r="60" spans="32:68" ht="16" x14ac:dyDescent="0.2">
      <c r="AF60" s="254"/>
      <c r="AO60" s="206" t="s">
        <v>567</v>
      </c>
      <c r="AP60" s="231"/>
      <c r="AQ60" s="231"/>
      <c r="AR60" s="231"/>
      <c r="AS60" s="231"/>
      <c r="AT60" s="231"/>
      <c r="AU60" s="231"/>
      <c r="AV60" s="231"/>
      <c r="AW60" s="231"/>
      <c r="AX60" s="231"/>
      <c r="AY60" s="231"/>
      <c r="AZ60" s="231"/>
      <c r="BA60" s="231"/>
      <c r="BB60" s="231">
        <f>'Ore-&gt;PI'!BV42</f>
        <v>1000.0000000000001</v>
      </c>
      <c r="BC60" s="231"/>
      <c r="BD60" s="253">
        <f t="shared" si="0"/>
        <v>1000.0000000000001</v>
      </c>
      <c r="BH60" s="206" t="s">
        <v>567</v>
      </c>
      <c r="BI60" s="245"/>
      <c r="BJ60" s="245"/>
      <c r="BK60" s="253">
        <f t="shared" si="3"/>
        <v>0</v>
      </c>
    </row>
    <row r="61" spans="32:68" x14ac:dyDescent="0.2">
      <c r="AF61" s="207"/>
      <c r="AO61" s="207" t="s">
        <v>566</v>
      </c>
      <c r="AP61" s="231"/>
      <c r="AQ61" s="231"/>
      <c r="AR61" s="231"/>
      <c r="AS61" s="231"/>
      <c r="AT61" s="231"/>
      <c r="AU61" s="231"/>
      <c r="AV61" s="231"/>
      <c r="AW61" s="231"/>
      <c r="AX61" s="231"/>
      <c r="AY61" s="231"/>
      <c r="AZ61" s="231"/>
      <c r="BA61" s="231"/>
      <c r="BB61" s="231"/>
      <c r="BC61" s="244"/>
      <c r="BD61" s="253">
        <f t="shared" si="0"/>
        <v>0</v>
      </c>
      <c r="BE61" s="25"/>
      <c r="BF61" s="25"/>
      <c r="BH61" s="207" t="s">
        <v>566</v>
      </c>
      <c r="BI61" s="245"/>
      <c r="BJ61" s="245">
        <f>Beneficiation_Iron_waste</f>
        <v>11.767466001905108</v>
      </c>
      <c r="BK61" s="253">
        <f t="shared" si="3"/>
        <v>11.767466001905108</v>
      </c>
    </row>
    <row r="62" spans="32:68" x14ac:dyDescent="0.2">
      <c r="AF62" s="207"/>
      <c r="AO62" s="207" t="s">
        <v>549</v>
      </c>
      <c r="AP62" s="231"/>
      <c r="AQ62" s="231"/>
      <c r="AR62" s="231"/>
      <c r="AS62" s="231"/>
      <c r="AT62" s="231"/>
      <c r="AU62" s="231"/>
      <c r="AV62" s="231"/>
      <c r="AW62" s="231"/>
      <c r="AX62" s="231"/>
      <c r="AY62" s="231">
        <f>'Ore-&gt;PI'!BW126</f>
        <v>208.55560337725498</v>
      </c>
      <c r="AZ62" s="231"/>
      <c r="BA62" s="231"/>
      <c r="BB62" s="231"/>
      <c r="BC62" s="231"/>
      <c r="BD62" s="253">
        <f t="shared" si="0"/>
        <v>208.55560337725498</v>
      </c>
      <c r="BH62" s="207" t="s">
        <v>549</v>
      </c>
      <c r="BI62" s="245"/>
      <c r="BJ62" s="245"/>
      <c r="BK62" s="253">
        <f t="shared" si="3"/>
        <v>0</v>
      </c>
    </row>
    <row r="63" spans="32:68" x14ac:dyDescent="0.2">
      <c r="AF63" s="207"/>
      <c r="AO63" s="207" t="s">
        <v>585</v>
      </c>
      <c r="AP63" s="231"/>
      <c r="AQ63" s="231"/>
      <c r="AR63" s="231"/>
      <c r="AS63" s="231"/>
      <c r="AT63" s="231"/>
      <c r="AU63" s="231"/>
      <c r="AV63" s="231"/>
      <c r="AW63" s="231"/>
      <c r="AX63" s="231"/>
      <c r="AY63" s="231"/>
      <c r="AZ63" s="231">
        <f>'Ore-&gt;PI'!BW206</f>
        <v>286.88405520213911</v>
      </c>
      <c r="BA63" s="231"/>
      <c r="BB63" s="231"/>
      <c r="BC63" s="231"/>
      <c r="BD63" s="253">
        <f t="shared" si="0"/>
        <v>286.88405520213911</v>
      </c>
      <c r="BH63" s="207" t="s">
        <v>585</v>
      </c>
      <c r="BI63" s="245"/>
      <c r="BJ63" s="245"/>
      <c r="BK63" s="253">
        <f t="shared" si="3"/>
        <v>0</v>
      </c>
    </row>
    <row r="64" spans="32:68" x14ac:dyDescent="0.2">
      <c r="AF64" s="207"/>
      <c r="AO64" s="207" t="s">
        <v>550</v>
      </c>
      <c r="AP64" s="231"/>
      <c r="AQ64" s="231"/>
      <c r="AR64" s="231"/>
      <c r="AS64" s="231"/>
      <c r="AT64" s="231"/>
      <c r="AU64" s="231"/>
      <c r="AV64" s="231"/>
      <c r="AW64" s="231"/>
      <c r="AX64" s="231"/>
      <c r="AY64" s="231"/>
      <c r="AZ64" s="231"/>
      <c r="BA64" s="231"/>
      <c r="BB64" s="231">
        <f>'Ore-&gt;PI'!CQ126</f>
        <v>111.00813284002646</v>
      </c>
      <c r="BC64" s="231"/>
      <c r="BD64" s="253">
        <f t="shared" si="0"/>
        <v>111.00813284002646</v>
      </c>
      <c r="BH64" s="207" t="s">
        <v>550</v>
      </c>
      <c r="BI64" s="245"/>
      <c r="BJ64" s="245"/>
      <c r="BK64" s="253">
        <f t="shared" si="3"/>
        <v>0</v>
      </c>
    </row>
    <row r="65" spans="2:63" x14ac:dyDescent="0.2">
      <c r="AF65" s="207"/>
      <c r="AO65" s="207" t="s">
        <v>552</v>
      </c>
      <c r="AP65" s="231"/>
      <c r="AQ65" s="231"/>
      <c r="AR65" s="231"/>
      <c r="AS65" s="231"/>
      <c r="AT65" s="231"/>
      <c r="AU65" s="231"/>
      <c r="AV65" s="231"/>
      <c r="AW65" s="231"/>
      <c r="AX65" s="231"/>
      <c r="AY65" s="231"/>
      <c r="AZ65" s="231"/>
      <c r="BA65" s="231"/>
      <c r="BB65" s="231"/>
      <c r="BC65" s="244"/>
      <c r="BD65" s="253">
        <f t="shared" si="0"/>
        <v>0</v>
      </c>
      <c r="BH65" s="207" t="s">
        <v>552</v>
      </c>
      <c r="BI65" s="245"/>
      <c r="BJ65" s="245">
        <f>Kiln_SolidWaste</f>
        <v>4.9847525450981189</v>
      </c>
      <c r="BK65" s="253">
        <f t="shared" si="3"/>
        <v>4.9847525450981189</v>
      </c>
    </row>
    <row r="66" spans="2:63" x14ac:dyDescent="0.2">
      <c r="AF66" s="207"/>
      <c r="AO66" s="207" t="s">
        <v>551</v>
      </c>
      <c r="AP66" s="231"/>
      <c r="AQ66" s="231"/>
      <c r="AR66" s="231"/>
      <c r="AS66" s="231"/>
      <c r="AT66" s="231"/>
      <c r="AU66" s="231"/>
      <c r="AV66" s="231"/>
      <c r="AW66" s="231"/>
      <c r="AX66" s="231"/>
      <c r="AY66" s="231"/>
      <c r="AZ66" s="231"/>
      <c r="BA66" s="231"/>
      <c r="BB66" s="231"/>
      <c r="BC66" s="231"/>
      <c r="BD66" s="253">
        <f t="shared" si="0"/>
        <v>0</v>
      </c>
      <c r="BH66" s="207" t="s">
        <v>551</v>
      </c>
      <c r="BI66" s="245"/>
      <c r="BJ66" s="245">
        <f>'Ore-&gt;PI'!CQ138</f>
        <v>21178.628376204575</v>
      </c>
      <c r="BK66" s="253">
        <f t="shared" si="3"/>
        <v>21178.628376204575</v>
      </c>
    </row>
    <row r="67" spans="2:63" x14ac:dyDescent="0.2">
      <c r="AF67" s="207"/>
      <c r="AO67" s="207" t="s">
        <v>545</v>
      </c>
      <c r="AP67" s="231"/>
      <c r="AQ67" s="231"/>
      <c r="AR67" s="231"/>
      <c r="AS67" s="231"/>
      <c r="AT67" s="231"/>
      <c r="AU67" s="231"/>
      <c r="AV67" s="231"/>
      <c r="AW67" s="231"/>
      <c r="AX67" s="231"/>
      <c r="AY67" s="231"/>
      <c r="AZ67" s="231"/>
      <c r="BA67" s="231"/>
      <c r="BB67" s="231">
        <f>'Ore-&gt;PI'!CO206</f>
        <v>198.80764502323905</v>
      </c>
      <c r="BC67" s="231"/>
      <c r="BD67" s="253">
        <f t="shared" si="0"/>
        <v>198.80764502323905</v>
      </c>
      <c r="BH67" s="207" t="s">
        <v>545</v>
      </c>
      <c r="BI67" s="245"/>
      <c r="BJ67" s="245"/>
      <c r="BK67" s="253">
        <f t="shared" si="3"/>
        <v>0</v>
      </c>
    </row>
    <row r="68" spans="2:63" ht="16" x14ac:dyDescent="0.2">
      <c r="AF68" s="207"/>
      <c r="AO68" s="254" t="s">
        <v>547</v>
      </c>
      <c r="AP68" s="231"/>
      <c r="AQ68" s="231"/>
      <c r="AR68" s="231"/>
      <c r="AS68" s="231"/>
      <c r="AT68" s="231"/>
      <c r="AU68" s="231"/>
      <c r="AV68" s="231"/>
      <c r="AW68" s="231"/>
      <c r="AX68" s="231"/>
      <c r="AY68" s="231"/>
      <c r="AZ68" s="231"/>
      <c r="BA68" s="231">
        <f>'Ore-&gt;PI'!CO233</f>
        <v>69.582675758133661</v>
      </c>
      <c r="BB68" s="231"/>
      <c r="BC68" s="231"/>
      <c r="BD68" s="253">
        <f t="shared" si="0"/>
        <v>69.582675758133661</v>
      </c>
      <c r="BH68" s="254" t="s">
        <v>547</v>
      </c>
      <c r="BI68" s="245"/>
      <c r="BJ68" s="245"/>
      <c r="BK68" s="253">
        <f t="shared" si="3"/>
        <v>0</v>
      </c>
    </row>
    <row r="69" spans="2:63" x14ac:dyDescent="0.2">
      <c r="AF69" s="207"/>
      <c r="AO69" s="207" t="s">
        <v>546</v>
      </c>
      <c r="AP69" s="231"/>
      <c r="AQ69" s="231"/>
      <c r="AR69" s="231"/>
      <c r="AS69" s="231"/>
      <c r="AT69" s="231"/>
      <c r="AU69" s="231"/>
      <c r="AV69" s="231"/>
      <c r="AW69" s="231"/>
      <c r="AX69" s="231"/>
      <c r="AY69" s="231"/>
      <c r="AZ69" s="231"/>
      <c r="BA69" s="231"/>
      <c r="BB69" s="231"/>
      <c r="BC69" s="231"/>
      <c r="BD69" s="253">
        <f t="shared" si="0"/>
        <v>0</v>
      </c>
      <c r="BH69" s="207" t="s">
        <v>546</v>
      </c>
      <c r="BI69" s="245"/>
      <c r="BJ69" s="245">
        <f>Beneficiation_CoalWaste</f>
        <v>18.493734420766422</v>
      </c>
      <c r="BK69" s="253">
        <f t="shared" si="3"/>
        <v>18.493734420766422</v>
      </c>
    </row>
    <row r="70" spans="2:63" x14ac:dyDescent="0.2">
      <c r="AF70" s="207"/>
      <c r="AO70" s="205" t="s">
        <v>548</v>
      </c>
      <c r="AP70" s="231"/>
      <c r="AQ70" s="231"/>
      <c r="AR70" s="231"/>
      <c r="AS70" s="231"/>
      <c r="AT70" s="231"/>
      <c r="AU70" s="231"/>
      <c r="AV70" s="231"/>
      <c r="AW70" s="231"/>
      <c r="AX70" s="231"/>
      <c r="AY70" s="231"/>
      <c r="AZ70" s="231"/>
      <c r="BA70" s="231"/>
      <c r="BB70" s="231"/>
      <c r="BC70" s="231"/>
      <c r="BD70" s="253">
        <f t="shared" si="0"/>
        <v>0</v>
      </c>
      <c r="BH70" s="205" t="s">
        <v>548</v>
      </c>
      <c r="BI70" s="245"/>
      <c r="BJ70" s="245">
        <f>'Ore-&gt;PI'!CO250</f>
        <v>584.3657277440451</v>
      </c>
      <c r="BK70" s="253">
        <f t="shared" si="3"/>
        <v>584.3657277440451</v>
      </c>
    </row>
    <row r="71" spans="2:63" x14ac:dyDescent="0.2">
      <c r="AF71" s="207"/>
      <c r="AO71" s="207" t="s">
        <v>543</v>
      </c>
      <c r="AP71" s="231"/>
      <c r="AQ71" s="231"/>
      <c r="AR71" s="231"/>
      <c r="AS71" s="231"/>
      <c r="AT71" s="231"/>
      <c r="AU71" s="231"/>
      <c r="AV71" s="231"/>
      <c r="AW71" s="231"/>
      <c r="AX71" s="231"/>
      <c r="AY71" s="231"/>
      <c r="AZ71" s="231">
        <f>'Ore-&gt;PI'!BW225</f>
        <v>10.437401363720047</v>
      </c>
      <c r="BA71" s="231"/>
      <c r="BB71" s="231"/>
      <c r="BC71" s="244">
        <f>'Ore-&gt;PI'!EF152</f>
        <v>48.707873030693563</v>
      </c>
      <c r="BD71" s="253">
        <f t="shared" si="0"/>
        <v>59.145274394413612</v>
      </c>
      <c r="BH71" s="207" t="s">
        <v>543</v>
      </c>
      <c r="BI71" s="245">
        <f>'Ore-&gt;PI'!EM233</f>
        <v>10.437401363720047</v>
      </c>
      <c r="BJ71" s="245"/>
      <c r="BK71" s="253">
        <f t="shared" si="3"/>
        <v>10.437401363720047</v>
      </c>
    </row>
    <row r="72" spans="2:63" x14ac:dyDescent="0.2">
      <c r="AF72" s="207"/>
      <c r="AO72" s="207" t="s">
        <v>573</v>
      </c>
      <c r="AP72" s="231"/>
      <c r="AQ72" s="231"/>
      <c r="AR72" s="231"/>
      <c r="AS72" s="231"/>
      <c r="AT72" s="231"/>
      <c r="AU72" s="231"/>
      <c r="AV72" s="231"/>
      <c r="AW72" s="231"/>
      <c r="AX72" s="231"/>
      <c r="AY72" s="231"/>
      <c r="AZ72" s="231"/>
      <c r="BA72" s="231"/>
      <c r="BB72" s="231"/>
      <c r="BC72" s="244">
        <f>'Ore-&gt;PI'!EF126</f>
        <v>1309.8157778632656</v>
      </c>
      <c r="BD72" s="253">
        <f t="shared" si="0"/>
        <v>1309.8157778632656</v>
      </c>
      <c r="BH72" s="207" t="s">
        <v>573</v>
      </c>
      <c r="BI72" s="245"/>
      <c r="BJ72" s="245"/>
      <c r="BK72" s="253">
        <f t="shared" si="3"/>
        <v>0</v>
      </c>
    </row>
    <row r="73" spans="2:63" x14ac:dyDescent="0.2">
      <c r="AF73" s="207"/>
      <c r="AO73" s="207" t="s">
        <v>574</v>
      </c>
      <c r="AP73" s="231"/>
      <c r="AQ73" s="231"/>
      <c r="AR73" s="231"/>
      <c r="AS73" s="231"/>
      <c r="AT73" s="231"/>
      <c r="AU73" s="231"/>
      <c r="AV73" s="231"/>
      <c r="AW73" s="231"/>
      <c r="AX73" s="231"/>
      <c r="AY73" s="231"/>
      <c r="AZ73" s="231"/>
      <c r="BA73" s="231"/>
      <c r="BB73" s="231"/>
      <c r="BC73" s="231"/>
      <c r="BD73" s="253">
        <f t="shared" si="0"/>
        <v>0</v>
      </c>
      <c r="BH73" s="207" t="s">
        <v>574</v>
      </c>
      <c r="BI73" s="245">
        <f>'Ore-&gt;PI'!FE126</f>
        <v>616.23583583508366</v>
      </c>
      <c r="BJ73" s="245"/>
      <c r="BK73" s="253">
        <f t="shared" si="3"/>
        <v>616.23583583508366</v>
      </c>
    </row>
    <row r="74" spans="2:63" x14ac:dyDescent="0.2">
      <c r="AF74" s="207"/>
      <c r="AO74" s="207" t="s">
        <v>575</v>
      </c>
      <c r="AP74" s="231"/>
      <c r="AQ74" s="231"/>
      <c r="AR74" s="231"/>
      <c r="AS74" s="231"/>
      <c r="AT74" s="231"/>
      <c r="AU74" s="231"/>
      <c r="AV74" s="231"/>
      <c r="AW74" s="231"/>
      <c r="AX74" s="231"/>
      <c r="AY74" s="231"/>
      <c r="AZ74" s="231"/>
      <c r="BA74" s="231"/>
      <c r="BB74" s="231"/>
      <c r="BC74" s="231"/>
      <c r="BD74" s="253">
        <f t="shared" si="0"/>
        <v>0</v>
      </c>
      <c r="BH74" s="207" t="s">
        <v>575</v>
      </c>
      <c r="BI74" s="245"/>
      <c r="BJ74" s="245">
        <f>'Ore-&gt;PI'!FE141</f>
        <v>3432.8541806261665</v>
      </c>
      <c r="BK74" s="253">
        <f t="shared" si="3"/>
        <v>3432.8541806261665</v>
      </c>
    </row>
    <row r="75" spans="2:63" x14ac:dyDescent="0.2">
      <c r="AF75" s="207"/>
      <c r="AO75" s="207" t="s">
        <v>586</v>
      </c>
      <c r="AP75" s="231"/>
      <c r="AQ75" s="231"/>
      <c r="AR75" s="231"/>
      <c r="AS75" s="231"/>
      <c r="AT75" s="231"/>
      <c r="AU75" s="231"/>
      <c r="AV75" s="231"/>
      <c r="AW75" s="231"/>
      <c r="AX75" s="231"/>
      <c r="AY75" s="231"/>
      <c r="AZ75" s="231"/>
      <c r="BA75" s="231"/>
      <c r="BB75" s="231"/>
      <c r="BC75" s="231"/>
      <c r="BD75" s="253">
        <f t="shared" si="0"/>
        <v>0</v>
      </c>
      <c r="BH75" s="207" t="s">
        <v>586</v>
      </c>
      <c r="BI75" s="245"/>
      <c r="BJ75" s="245">
        <f>BF_SolidWaste</f>
        <v>229.94813284002646</v>
      </c>
      <c r="BK75" s="253">
        <f t="shared" si="3"/>
        <v>229.94813284002646</v>
      </c>
    </row>
    <row r="76" spans="2:63" x14ac:dyDescent="0.2">
      <c r="AF76" s="207"/>
      <c r="AO76" s="207"/>
      <c r="AP76" s="347" t="s">
        <v>421</v>
      </c>
      <c r="AQ76" s="347"/>
      <c r="AR76" s="347"/>
      <c r="AS76" s="347"/>
      <c r="AT76" s="347"/>
      <c r="AU76" s="347"/>
      <c r="AV76" s="347"/>
      <c r="AW76" s="347"/>
      <c r="AX76" s="347"/>
      <c r="AY76" s="347"/>
      <c r="AZ76" s="347"/>
      <c r="BA76" s="347"/>
      <c r="BB76" s="347"/>
      <c r="BC76" s="347"/>
      <c r="BD76" s="25" t="s">
        <v>479</v>
      </c>
      <c r="BI76" s="347" t="s">
        <v>423</v>
      </c>
      <c r="BJ76" s="347"/>
      <c r="BK76" s="25" t="s">
        <v>494</v>
      </c>
    </row>
    <row r="77" spans="2:63" x14ac:dyDescent="0.2">
      <c r="AF77" s="207"/>
      <c r="AO77" s="207"/>
      <c r="AP77" s="253">
        <f>SUM(AP42:AP75)</f>
        <v>1043.6876723039813</v>
      </c>
      <c r="AQ77" s="253">
        <f>SUM(AQ42:AQ75)</f>
        <v>208.65136460942125</v>
      </c>
      <c r="AR77" s="253">
        <f>SUM(AR42:AR75)</f>
        <v>294.47651184131928</v>
      </c>
      <c r="AS77" s="253">
        <f t="shared" ref="AS77:BC77" si="4">SUM(AS42:AS75)</f>
        <v>1011.7674660019052</v>
      </c>
      <c r="AT77" s="253">
        <f t="shared" si="4"/>
        <v>208.55560337725498</v>
      </c>
      <c r="AU77" s="253">
        <f t="shared" si="4"/>
        <v>286.88405520213911</v>
      </c>
      <c r="AV77" s="253">
        <f t="shared" si="4"/>
        <v>1011.7674660019052</v>
      </c>
      <c r="AW77" s="253">
        <f t="shared" si="4"/>
        <v>208.55560337725498</v>
      </c>
      <c r="AX77" s="253">
        <f t="shared" si="4"/>
        <v>286.88405520213911</v>
      </c>
      <c r="AY77" s="253">
        <f t="shared" si="4"/>
        <v>21294.621261589698</v>
      </c>
      <c r="AZ77" s="253">
        <f t="shared" si="4"/>
        <v>871.24978294618404</v>
      </c>
      <c r="BA77" s="253">
        <f t="shared" si="4"/>
        <v>69.582675758133661</v>
      </c>
      <c r="BB77" s="253">
        <f t="shared" si="4"/>
        <v>1309.8157778632656</v>
      </c>
      <c r="BC77" s="253">
        <f t="shared" si="4"/>
        <v>4279.0381493012774</v>
      </c>
      <c r="BI77" s="25"/>
      <c r="BJ77" s="25"/>
    </row>
    <row r="78" spans="2:63" ht="13" customHeight="1" x14ac:dyDescent="0.2">
      <c r="C78" s="348"/>
      <c r="D78" s="348"/>
      <c r="E78" s="234"/>
      <c r="F78" s="234"/>
      <c r="G78" s="234"/>
      <c r="H78" s="234"/>
      <c r="I78" s="234"/>
      <c r="J78" s="234"/>
      <c r="K78" s="234"/>
      <c r="L78" s="234"/>
      <c r="M78" s="234"/>
      <c r="N78" s="234"/>
      <c r="O78" s="234"/>
      <c r="P78" s="234"/>
      <c r="Q78" s="234"/>
      <c r="R78" s="234"/>
      <c r="S78" s="234"/>
      <c r="T78" s="234"/>
      <c r="U78" s="234"/>
      <c r="V78" s="234"/>
      <c r="W78" s="234"/>
      <c r="X78" s="234"/>
      <c r="Y78" s="234"/>
      <c r="Z78" s="234"/>
      <c r="AA78" s="234"/>
      <c r="AB78" s="234"/>
      <c r="AC78" s="234"/>
      <c r="AD78" s="234"/>
      <c r="AE78" s="234"/>
      <c r="AF78" s="207"/>
      <c r="AG78" s="234"/>
      <c r="AH78" s="234"/>
      <c r="AI78" s="234"/>
      <c r="AJ78" s="234"/>
      <c r="AK78" s="234"/>
      <c r="AL78" s="234"/>
      <c r="AM78" s="234"/>
      <c r="AP78" s="347" t="s">
        <v>478</v>
      </c>
      <c r="AQ78" s="347"/>
      <c r="AR78" s="347"/>
      <c r="AS78" s="347"/>
      <c r="AT78" s="347"/>
      <c r="AU78" s="347"/>
      <c r="AV78" s="347"/>
      <c r="AW78" s="347"/>
      <c r="AX78" s="347"/>
      <c r="AY78" s="347"/>
      <c r="AZ78" s="347"/>
      <c r="BA78" s="347"/>
      <c r="BB78" s="347"/>
      <c r="BC78" s="347"/>
      <c r="BI78" s="25"/>
      <c r="BJ78" s="25"/>
    </row>
    <row r="79" spans="2:63" ht="236" x14ac:dyDescent="0.2">
      <c r="B79" s="241" t="s">
        <v>457</v>
      </c>
      <c r="C79" s="208" t="s">
        <v>426</v>
      </c>
      <c r="D79" s="208" t="s">
        <v>428</v>
      </c>
      <c r="E79" s="208" t="s">
        <v>429</v>
      </c>
      <c r="F79" s="208" t="s">
        <v>451</v>
      </c>
      <c r="G79" s="208" t="s">
        <v>487</v>
      </c>
      <c r="H79" s="208" t="s">
        <v>531</v>
      </c>
      <c r="I79" s="208" t="s">
        <v>532</v>
      </c>
      <c r="J79" s="208" t="s">
        <v>535</v>
      </c>
      <c r="K79" s="208" t="s">
        <v>588</v>
      </c>
      <c r="L79" s="210" t="s">
        <v>570</v>
      </c>
      <c r="M79" s="208" t="s">
        <v>533</v>
      </c>
      <c r="N79" s="210" t="s">
        <v>536</v>
      </c>
      <c r="O79" s="208" t="s">
        <v>565</v>
      </c>
      <c r="P79" s="211" t="s">
        <v>557</v>
      </c>
      <c r="Q79" s="208" t="s">
        <v>540</v>
      </c>
      <c r="R79" s="210" t="s">
        <v>569</v>
      </c>
      <c r="S79" s="210" t="s">
        <v>564</v>
      </c>
      <c r="T79" s="210" t="s">
        <v>561</v>
      </c>
      <c r="U79" s="210" t="s">
        <v>567</v>
      </c>
      <c r="V79" s="211" t="s">
        <v>566</v>
      </c>
      <c r="W79" s="211" t="s">
        <v>549</v>
      </c>
      <c r="X79" s="211" t="s">
        <v>585</v>
      </c>
      <c r="Y79" s="211" t="s">
        <v>550</v>
      </c>
      <c r="Z79" s="211" t="s">
        <v>552</v>
      </c>
      <c r="AA79" s="211" t="s">
        <v>551</v>
      </c>
      <c r="AB79" s="211" t="s">
        <v>545</v>
      </c>
      <c r="AC79" s="233" t="s">
        <v>547</v>
      </c>
      <c r="AD79" s="211" t="s">
        <v>546</v>
      </c>
      <c r="AE79" s="208" t="s">
        <v>548</v>
      </c>
      <c r="AF79" s="211" t="s">
        <v>543</v>
      </c>
      <c r="AG79" s="211" t="s">
        <v>573</v>
      </c>
      <c r="AH79" s="211" t="s">
        <v>574</v>
      </c>
      <c r="AI79" s="211" t="s">
        <v>575</v>
      </c>
      <c r="AJ79" s="211" t="s">
        <v>586</v>
      </c>
    </row>
    <row r="80" spans="2:63" x14ac:dyDescent="0.2">
      <c r="B80" s="205" t="s">
        <v>418</v>
      </c>
      <c r="C80" s="231"/>
      <c r="D80" s="231"/>
      <c r="E80" s="231"/>
      <c r="F80" s="231"/>
      <c r="G80" s="231"/>
      <c r="H80" s="231"/>
      <c r="I80" s="231"/>
      <c r="J80" s="231"/>
      <c r="K80" s="231"/>
      <c r="L80" s="231">
        <f>'Ore-&gt;PI'!T42</f>
        <v>1011.7674660019052</v>
      </c>
      <c r="M80" s="231">
        <f>'Ore-&gt;PI'!$AL$63</f>
        <v>31.920206302076174</v>
      </c>
      <c r="N80" s="231"/>
      <c r="O80" s="231"/>
      <c r="P80" s="231"/>
      <c r="Q80" s="231"/>
      <c r="R80" s="231"/>
      <c r="S80" s="231"/>
      <c r="T80" s="231"/>
      <c r="U80" s="231"/>
      <c r="V80" s="231"/>
      <c r="W80" s="231"/>
      <c r="X80" s="231"/>
      <c r="Y80" s="231"/>
      <c r="Z80" s="231"/>
      <c r="AA80" s="231"/>
      <c r="AB80" s="231"/>
      <c r="AC80" s="231"/>
      <c r="AD80" s="231"/>
      <c r="AE80" s="231"/>
      <c r="AF80" s="231"/>
      <c r="AG80" s="231"/>
      <c r="AH80" s="231"/>
      <c r="AI80" s="231"/>
      <c r="AJ80" s="231"/>
      <c r="AK80" s="253">
        <f>SUM(C80:AJ80)</f>
        <v>1043.6876723039813</v>
      </c>
    </row>
    <row r="81" spans="2:62" x14ac:dyDescent="0.2">
      <c r="B81" s="205" t="s">
        <v>419</v>
      </c>
      <c r="C81" s="231"/>
      <c r="D81" s="231"/>
      <c r="E81" s="231"/>
      <c r="F81" s="231"/>
      <c r="G81" s="231"/>
      <c r="H81" s="231"/>
      <c r="I81" s="231"/>
      <c r="J81" s="231"/>
      <c r="K81" s="231"/>
      <c r="L81" s="231"/>
      <c r="M81" s="231"/>
      <c r="N81" s="231">
        <f>'Ore-&gt;PI'!AM126</f>
        <v>208.55560337725498</v>
      </c>
      <c r="O81" s="231">
        <f>'Ore-&gt;PI'!$AM$142</f>
        <v>9.5761232166267446E-2</v>
      </c>
      <c r="P81" s="231"/>
      <c r="Q81" s="231"/>
      <c r="R81" s="231"/>
      <c r="S81" s="231"/>
      <c r="T81" s="231"/>
      <c r="U81" s="231"/>
      <c r="V81" s="231"/>
      <c r="W81" s="231"/>
      <c r="X81" s="231"/>
      <c r="Y81" s="231"/>
      <c r="Z81" s="231"/>
      <c r="AA81" s="231"/>
      <c r="AB81" s="231"/>
      <c r="AC81" s="231"/>
      <c r="AD81" s="231"/>
      <c r="AE81" s="231"/>
      <c r="AF81" s="231"/>
      <c r="AG81" s="231"/>
      <c r="AH81" s="231"/>
      <c r="AI81" s="231"/>
      <c r="AJ81" s="231"/>
      <c r="AK81" s="253">
        <f>SUM(C81:AJ81)</f>
        <v>208.65136460942125</v>
      </c>
    </row>
    <row r="82" spans="2:62" x14ac:dyDescent="0.2">
      <c r="B82" s="205" t="s">
        <v>420</v>
      </c>
      <c r="C82" s="231"/>
      <c r="D82" s="231"/>
      <c r="E82" s="231"/>
      <c r="F82" s="231"/>
      <c r="G82" s="231"/>
      <c r="H82" s="231"/>
      <c r="I82" s="231"/>
      <c r="J82" s="231"/>
      <c r="K82" s="231">
        <v>0</v>
      </c>
      <c r="L82" s="231"/>
      <c r="M82" s="231"/>
      <c r="N82" s="231"/>
      <c r="O82" s="231"/>
      <c r="P82" s="231">
        <f>'Ore-&gt;PI'!$AM$206</f>
        <v>286.88405520213911</v>
      </c>
      <c r="Q82" s="231">
        <f>'Ore-&gt;PI'!$AM$227</f>
        <v>7.5924566391801989</v>
      </c>
      <c r="R82" s="231"/>
      <c r="S82" s="231"/>
      <c r="T82" s="231"/>
      <c r="U82" s="231"/>
      <c r="V82" s="231"/>
      <c r="W82" s="231"/>
      <c r="X82" s="231"/>
      <c r="Y82" s="231"/>
      <c r="Z82" s="231"/>
      <c r="AA82" s="231"/>
      <c r="AB82" s="231"/>
      <c r="AC82" s="231"/>
      <c r="AD82" s="231"/>
      <c r="AE82" s="231"/>
      <c r="AF82" s="231"/>
      <c r="AG82" s="231"/>
      <c r="AH82" s="231"/>
      <c r="AI82" s="231"/>
      <c r="AJ82" s="231"/>
      <c r="AK82" s="253">
        <f t="shared" ref="AK82:AK93" si="5">SUM(C82:AJ82)</f>
        <v>294.47651184131928</v>
      </c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I82" s="25"/>
      <c r="BJ82" s="25"/>
    </row>
    <row r="83" spans="2:62" x14ac:dyDescent="0.2">
      <c r="B83" s="205" t="s">
        <v>584</v>
      </c>
      <c r="C83" s="231"/>
      <c r="D83" s="231"/>
      <c r="E83" s="231"/>
      <c r="F83" s="231"/>
      <c r="G83" s="231"/>
      <c r="H83" s="231"/>
      <c r="I83" s="231"/>
      <c r="J83" s="231"/>
      <c r="K83" s="231">
        <v>0</v>
      </c>
      <c r="L83" s="231"/>
      <c r="M83" s="231"/>
      <c r="N83" s="231"/>
      <c r="O83" s="231"/>
      <c r="P83" s="231"/>
      <c r="Q83" s="231"/>
      <c r="R83" s="231">
        <f>'Ore-&gt;PI'!$BD$42</f>
        <v>1011.7674660019052</v>
      </c>
      <c r="S83" s="231"/>
      <c r="T83" s="231"/>
      <c r="U83" s="231"/>
      <c r="V83" s="231"/>
      <c r="W83" s="231"/>
      <c r="X83" s="231"/>
      <c r="Y83" s="231"/>
      <c r="Z83" s="231"/>
      <c r="AA83" s="231"/>
      <c r="AB83" s="231"/>
      <c r="AC83" s="231"/>
      <c r="AD83" s="231"/>
      <c r="AE83" s="231"/>
      <c r="AF83" s="231"/>
      <c r="AG83" s="231"/>
      <c r="AH83" s="231"/>
      <c r="AI83" s="231"/>
      <c r="AJ83" s="231"/>
      <c r="AK83" s="253">
        <f t="shared" si="5"/>
        <v>1011.7674660019052</v>
      </c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I83" s="25"/>
      <c r="BJ83" s="25"/>
    </row>
    <row r="84" spans="2:62" x14ac:dyDescent="0.2">
      <c r="B84" s="205" t="s">
        <v>563</v>
      </c>
      <c r="C84" s="231"/>
      <c r="D84" s="231"/>
      <c r="E84" s="231"/>
      <c r="F84" s="231"/>
      <c r="G84" s="231"/>
      <c r="H84" s="231"/>
      <c r="I84" s="231"/>
      <c r="J84" s="231"/>
      <c r="K84" s="231">
        <v>0</v>
      </c>
      <c r="L84" s="231"/>
      <c r="M84" s="231"/>
      <c r="N84" s="231"/>
      <c r="O84" s="231"/>
      <c r="P84" s="231"/>
      <c r="Q84" s="231"/>
      <c r="R84" s="231"/>
      <c r="S84" s="231">
        <f>'Ore-&gt;PI'!$BE$126</f>
        <v>208.55560337725498</v>
      </c>
      <c r="T84" s="231"/>
      <c r="U84" s="231"/>
      <c r="V84" s="231"/>
      <c r="W84" s="231"/>
      <c r="X84" s="231"/>
      <c r="Y84" s="231"/>
      <c r="Z84" s="231"/>
      <c r="AA84" s="231"/>
      <c r="AB84" s="231"/>
      <c r="AC84" s="231"/>
      <c r="AD84" s="231"/>
      <c r="AE84" s="231"/>
      <c r="AF84" s="231"/>
      <c r="AG84" s="231"/>
      <c r="AH84" s="231"/>
      <c r="AI84" s="231"/>
      <c r="AJ84" s="231"/>
      <c r="AK84" s="253">
        <f t="shared" si="5"/>
        <v>208.55560337725498</v>
      </c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I84" s="25"/>
      <c r="BJ84" s="25"/>
    </row>
    <row r="85" spans="2:62" x14ac:dyDescent="0.2">
      <c r="B85" s="205" t="s">
        <v>562</v>
      </c>
      <c r="C85" s="231"/>
      <c r="D85" s="231"/>
      <c r="E85" s="231"/>
      <c r="F85" s="231"/>
      <c r="G85" s="231"/>
      <c r="H85" s="231"/>
      <c r="I85" s="231"/>
      <c r="J85" s="231"/>
      <c r="K85" s="231">
        <v>0</v>
      </c>
      <c r="L85" s="231"/>
      <c r="M85" s="231"/>
      <c r="N85" s="231"/>
      <c r="O85" s="231"/>
      <c r="P85" s="231"/>
      <c r="Q85" s="231"/>
      <c r="R85" s="231"/>
      <c r="S85" s="231"/>
      <c r="T85" s="231">
        <f>'Ore-&gt;PI'!$BE$206</f>
        <v>286.88405520213911</v>
      </c>
      <c r="U85" s="231"/>
      <c r="V85" s="231"/>
      <c r="W85" s="231"/>
      <c r="X85" s="231"/>
      <c r="Y85" s="231"/>
      <c r="Z85" s="231"/>
      <c r="AA85" s="231"/>
      <c r="AB85" s="231"/>
      <c r="AC85" s="231"/>
      <c r="AD85" s="231"/>
      <c r="AE85" s="231"/>
      <c r="AF85" s="231"/>
      <c r="AG85" s="231"/>
      <c r="AH85" s="231"/>
      <c r="AI85" s="231"/>
      <c r="AJ85" s="231"/>
      <c r="AK85" s="253">
        <f t="shared" si="5"/>
        <v>286.88405520213911</v>
      </c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I85" s="25"/>
      <c r="BJ85" s="25"/>
    </row>
    <row r="86" spans="2:62" x14ac:dyDescent="0.2">
      <c r="B86" s="205" t="s">
        <v>447</v>
      </c>
      <c r="C86" s="231"/>
      <c r="D86" s="231"/>
      <c r="E86" s="231"/>
      <c r="F86" s="231"/>
      <c r="G86" s="231"/>
      <c r="H86" s="231"/>
      <c r="I86" s="231"/>
      <c r="J86" s="231"/>
      <c r="K86" s="231">
        <v>0</v>
      </c>
      <c r="L86" s="231"/>
      <c r="M86" s="231"/>
      <c r="N86" s="231"/>
      <c r="O86" s="231"/>
      <c r="P86" s="231"/>
      <c r="Q86" s="231"/>
      <c r="R86" s="231"/>
      <c r="S86" s="231"/>
      <c r="T86" s="231"/>
      <c r="U86" s="231">
        <f>'Ore-&gt;PI'!$BV$42</f>
        <v>1000.0000000000001</v>
      </c>
      <c r="V86" s="231">
        <f>Beneficiation_Iron_waste</f>
        <v>11.767466001905108</v>
      </c>
      <c r="W86" s="231"/>
      <c r="X86" s="231"/>
      <c r="Y86" s="231"/>
      <c r="Z86" s="231"/>
      <c r="AA86" s="231"/>
      <c r="AB86" s="231"/>
      <c r="AC86" s="231"/>
      <c r="AD86" s="231"/>
      <c r="AE86" s="231"/>
      <c r="AF86" s="231"/>
      <c r="AG86" s="231"/>
      <c r="AH86" s="231"/>
      <c r="AI86" s="231"/>
      <c r="AJ86" s="231"/>
      <c r="AK86" s="253">
        <f t="shared" si="5"/>
        <v>1011.7674660019052</v>
      </c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I86" s="25"/>
      <c r="BJ86" s="25"/>
    </row>
    <row r="87" spans="2:62" x14ac:dyDescent="0.2">
      <c r="B87" s="205" t="s">
        <v>444</v>
      </c>
      <c r="C87" s="231"/>
      <c r="D87" s="231"/>
      <c r="E87" s="231"/>
      <c r="F87" s="231"/>
      <c r="G87" s="231"/>
      <c r="H87" s="231"/>
      <c r="I87" s="231"/>
      <c r="J87" s="231"/>
      <c r="K87" s="231">
        <v>0</v>
      </c>
      <c r="L87" s="231"/>
      <c r="M87" s="231"/>
      <c r="N87" s="231"/>
      <c r="O87" s="231"/>
      <c r="P87" s="231"/>
      <c r="Q87" s="231"/>
      <c r="R87" s="231"/>
      <c r="S87" s="231"/>
      <c r="T87" s="231"/>
      <c r="U87" s="231"/>
      <c r="V87" s="231"/>
      <c r="W87" s="231">
        <f>'Ore-&gt;PI'!$BW$126</f>
        <v>208.55560337725498</v>
      </c>
      <c r="X87" s="231"/>
      <c r="Y87" s="231"/>
      <c r="Z87" s="231"/>
      <c r="AA87" s="231"/>
      <c r="AB87" s="231"/>
      <c r="AC87" s="231"/>
      <c r="AD87" s="231"/>
      <c r="AE87" s="231"/>
      <c r="AF87" s="231"/>
      <c r="AG87" s="231"/>
      <c r="AH87" s="231"/>
      <c r="AI87" s="231"/>
      <c r="AJ87" s="231"/>
      <c r="AK87" s="253">
        <f t="shared" si="5"/>
        <v>208.55560337725498</v>
      </c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I87" s="25"/>
      <c r="BJ87" s="25"/>
    </row>
    <row r="88" spans="2:62" x14ac:dyDescent="0.2">
      <c r="B88" s="205" t="s">
        <v>466</v>
      </c>
      <c r="C88" s="231"/>
      <c r="D88" s="231"/>
      <c r="E88" s="231"/>
      <c r="F88" s="231"/>
      <c r="G88" s="231"/>
      <c r="H88" s="231"/>
      <c r="I88" s="231"/>
      <c r="J88" s="231"/>
      <c r="K88" s="231">
        <v>0</v>
      </c>
      <c r="L88" s="231"/>
      <c r="M88" s="231"/>
      <c r="N88" s="231"/>
      <c r="O88" s="231"/>
      <c r="P88" s="231"/>
      <c r="Q88" s="231"/>
      <c r="R88" s="231"/>
      <c r="S88" s="231"/>
      <c r="T88" s="231"/>
      <c r="U88" s="231"/>
      <c r="V88" s="231"/>
      <c r="W88" s="231"/>
      <c r="X88" s="231">
        <f>'Ore-&gt;PI'!$BW$206</f>
        <v>286.88405520213911</v>
      </c>
      <c r="Y88" s="231"/>
      <c r="Z88" s="231"/>
      <c r="AA88" s="231"/>
      <c r="AB88" s="231"/>
      <c r="AC88" s="231"/>
      <c r="AD88" s="231"/>
      <c r="AE88" s="231"/>
      <c r="AF88" s="231"/>
      <c r="AG88" s="231"/>
      <c r="AH88" s="231"/>
      <c r="AI88" s="231"/>
      <c r="AJ88" s="231"/>
      <c r="AK88" s="253">
        <f t="shared" si="5"/>
        <v>286.88405520213911</v>
      </c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I88" s="25"/>
      <c r="BJ88" s="25"/>
    </row>
    <row r="89" spans="2:62" x14ac:dyDescent="0.2">
      <c r="B89" s="205" t="s">
        <v>445</v>
      </c>
      <c r="C89" s="231"/>
      <c r="D89" s="231"/>
      <c r="E89" s="231"/>
      <c r="F89" s="231"/>
      <c r="G89" s="231"/>
      <c r="H89" s="231"/>
      <c r="I89" s="231"/>
      <c r="J89" s="231"/>
      <c r="K89" s="231"/>
      <c r="L89" s="231"/>
      <c r="M89" s="231"/>
      <c r="N89" s="231"/>
      <c r="O89" s="231"/>
      <c r="P89" s="231"/>
      <c r="Q89" s="231"/>
      <c r="R89" s="231"/>
      <c r="S89" s="231"/>
      <c r="T89" s="231"/>
      <c r="U89" s="231"/>
      <c r="V89" s="231"/>
      <c r="W89" s="231"/>
      <c r="X89" s="231"/>
      <c r="Y89" s="231">
        <f>'Ore-&gt;PI'!$CQ$126</f>
        <v>111.00813284002646</v>
      </c>
      <c r="Z89" s="231">
        <f>Kiln_SolidWaste</f>
        <v>4.9847525450981189</v>
      </c>
      <c r="AA89" s="231">
        <f>'Ore-&gt;PI'!$CQ$138</f>
        <v>21178.628376204575</v>
      </c>
      <c r="AB89" s="231"/>
      <c r="AC89" s="231"/>
      <c r="AD89" s="231"/>
      <c r="AE89" s="231"/>
      <c r="AF89" s="231"/>
      <c r="AG89" s="231"/>
      <c r="AH89" s="231"/>
      <c r="AI89" s="231"/>
      <c r="AJ89" s="231"/>
      <c r="AK89" s="253">
        <f t="shared" si="5"/>
        <v>21294.621261589698</v>
      </c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I89" s="25"/>
      <c r="BJ89" s="25"/>
    </row>
    <row r="90" spans="2:62" x14ac:dyDescent="0.2">
      <c r="B90" s="205" t="s">
        <v>440</v>
      </c>
      <c r="C90" s="231"/>
      <c r="D90" s="231"/>
      <c r="E90" s="231"/>
      <c r="F90" s="231"/>
      <c r="G90" s="231"/>
      <c r="H90" s="231"/>
      <c r="I90" s="231"/>
      <c r="J90" s="231"/>
      <c r="K90" s="231"/>
      <c r="L90" s="231"/>
      <c r="M90" s="231"/>
      <c r="N90" s="231"/>
      <c r="O90" s="231"/>
      <c r="P90" s="231"/>
      <c r="Q90" s="231"/>
      <c r="R90" s="231"/>
      <c r="S90" s="231"/>
      <c r="T90" s="231"/>
      <c r="U90" s="231"/>
      <c r="V90" s="231"/>
      <c r="W90" s="231"/>
      <c r="X90" s="231"/>
      <c r="Y90" s="231"/>
      <c r="Z90" s="231"/>
      <c r="AA90" s="231"/>
      <c r="AB90" s="231">
        <f>'Ore-&gt;PI'!$CO$206</f>
        <v>198.80764502323905</v>
      </c>
      <c r="AC90" s="231">
        <f>'Ore-&gt;PI'!$CO$233</f>
        <v>69.582675758133661</v>
      </c>
      <c r="AD90" s="231">
        <f>Beneficiation_CoalWaste</f>
        <v>18.493734420766422</v>
      </c>
      <c r="AE90" s="231">
        <f>'Ore-&gt;PI'!$CO$250</f>
        <v>584.3657277440451</v>
      </c>
      <c r="AF90" s="231"/>
      <c r="AG90" s="231"/>
      <c r="AH90" s="231"/>
      <c r="AI90" s="231"/>
      <c r="AJ90" s="231"/>
      <c r="AK90" s="253">
        <f t="shared" si="5"/>
        <v>871.24978294618427</v>
      </c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I90" s="25"/>
      <c r="BJ90" s="25"/>
    </row>
    <row r="91" spans="2:62" x14ac:dyDescent="0.2">
      <c r="B91" s="205" t="s">
        <v>462</v>
      </c>
      <c r="C91" s="231"/>
      <c r="D91" s="231"/>
      <c r="E91" s="231"/>
      <c r="F91" s="231"/>
      <c r="G91" s="231"/>
      <c r="H91" s="231"/>
      <c r="I91" s="231"/>
      <c r="J91" s="231"/>
      <c r="K91" s="231"/>
      <c r="L91" s="231"/>
      <c r="M91" s="231"/>
      <c r="N91" s="231"/>
      <c r="O91" s="231"/>
      <c r="P91" s="231"/>
      <c r="Q91" s="231"/>
      <c r="R91" s="231"/>
      <c r="S91" s="231"/>
      <c r="T91" s="231"/>
      <c r="U91" s="231"/>
      <c r="V91" s="231"/>
      <c r="W91" s="231"/>
      <c r="X91" s="231"/>
      <c r="Y91" s="231"/>
      <c r="Z91" s="231"/>
      <c r="AA91" s="231"/>
      <c r="AB91" s="231"/>
      <c r="AC91" s="231"/>
      <c r="AD91" s="231"/>
      <c r="AE91" s="231"/>
      <c r="AF91" s="231">
        <f>'Ore-&gt;PI'!$DH$233</f>
        <v>69.582675758133661</v>
      </c>
      <c r="AG91" s="231"/>
      <c r="AH91" s="231"/>
      <c r="AI91" s="231"/>
      <c r="AJ91" s="231"/>
      <c r="AK91" s="253">
        <f t="shared" si="5"/>
        <v>69.582675758133661</v>
      </c>
    </row>
    <row r="92" spans="2:62" x14ac:dyDescent="0.2">
      <c r="B92" s="205" t="s">
        <v>81</v>
      </c>
      <c r="C92" s="231"/>
      <c r="D92" s="231"/>
      <c r="E92" s="231"/>
      <c r="F92" s="231"/>
      <c r="G92" s="231"/>
      <c r="H92" s="231"/>
      <c r="I92" s="231"/>
      <c r="J92" s="231"/>
      <c r="K92" s="231"/>
      <c r="L92" s="231"/>
      <c r="M92" s="231"/>
      <c r="N92" s="231"/>
      <c r="O92" s="231"/>
      <c r="P92" s="231"/>
      <c r="Q92" s="231"/>
      <c r="R92" s="231"/>
      <c r="S92" s="231"/>
      <c r="T92" s="231"/>
      <c r="U92" s="231"/>
      <c r="V92" s="231"/>
      <c r="W92" s="231"/>
      <c r="X92" s="231"/>
      <c r="Y92" s="231"/>
      <c r="Z92" s="231"/>
      <c r="AA92" s="231"/>
      <c r="AB92" s="231"/>
      <c r="AC92" s="231"/>
      <c r="AD92" s="231"/>
      <c r="AE92" s="244"/>
      <c r="AF92" s="231"/>
      <c r="AG92" s="244">
        <f>'Ore-&gt;PI'!$EF$126</f>
        <v>1309.8157778632656</v>
      </c>
      <c r="AH92" s="231"/>
      <c r="AI92" s="231"/>
      <c r="AJ92" s="231"/>
      <c r="AK92" s="253">
        <f t="shared" si="5"/>
        <v>1309.8157778632656</v>
      </c>
    </row>
    <row r="93" spans="2:62" x14ac:dyDescent="0.2">
      <c r="B93" s="205" t="s">
        <v>430</v>
      </c>
      <c r="C93" s="231"/>
      <c r="D93" s="231"/>
      <c r="E93" s="231"/>
      <c r="F93" s="244"/>
      <c r="G93" s="231"/>
      <c r="H93" s="231"/>
      <c r="I93" s="231"/>
      <c r="J93" s="231"/>
      <c r="K93" s="231">
        <v>0</v>
      </c>
      <c r="L93" s="231"/>
      <c r="M93" s="231"/>
      <c r="N93" s="231"/>
      <c r="O93" s="231"/>
      <c r="P93" s="231"/>
      <c r="Q93" s="231"/>
      <c r="R93" s="231"/>
      <c r="S93" s="231"/>
      <c r="T93" s="231"/>
      <c r="U93" s="231"/>
      <c r="V93" s="231"/>
      <c r="W93" s="231"/>
      <c r="X93" s="231"/>
      <c r="Y93" s="231"/>
      <c r="Z93" s="231"/>
      <c r="AA93" s="248"/>
      <c r="AB93" s="231"/>
      <c r="AC93" s="231"/>
      <c r="AD93" s="231"/>
      <c r="AE93" s="231"/>
      <c r="AF93" s="231"/>
      <c r="AG93" s="231"/>
      <c r="AH93" s="231">
        <f>'Ore-&gt;PI'!$FE$126</f>
        <v>616.23583583508366</v>
      </c>
      <c r="AI93" s="231">
        <f>'Ore-&gt;PI'!$FE$141</f>
        <v>3432.8541806261665</v>
      </c>
      <c r="AJ93" s="231">
        <f>BF_SolidWaste</f>
        <v>229.94813284002646</v>
      </c>
      <c r="AK93" s="253">
        <f t="shared" si="5"/>
        <v>4279.0381493012765</v>
      </c>
    </row>
    <row r="94" spans="2:62" x14ac:dyDescent="0.2">
      <c r="B94" s="205"/>
      <c r="C94" s="347" t="s">
        <v>422</v>
      </c>
      <c r="D94" s="347"/>
      <c r="E94" s="347"/>
      <c r="F94" s="347"/>
      <c r="G94" s="347"/>
      <c r="H94" s="347"/>
      <c r="I94" s="347"/>
      <c r="J94" s="347"/>
      <c r="K94" s="347"/>
      <c r="L94" s="347"/>
      <c r="M94" s="347"/>
      <c r="N94" s="347"/>
      <c r="O94" s="347"/>
      <c r="P94" s="347"/>
      <c r="Q94" s="347"/>
      <c r="R94" s="347"/>
      <c r="S94" s="347"/>
      <c r="T94" s="347"/>
      <c r="U94" s="347"/>
      <c r="V94" s="347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7"/>
      <c r="AH94" s="347"/>
      <c r="AI94" s="347"/>
      <c r="AJ94" s="347"/>
      <c r="AK94" s="25" t="s">
        <v>475</v>
      </c>
      <c r="AL94" s="25"/>
    </row>
    <row r="95" spans="2:62" x14ac:dyDescent="0.2">
      <c r="B95" s="205"/>
      <c r="C95" s="253">
        <f t="shared" ref="C95:AJ95" si="6">SUM(C80:C93)</f>
        <v>0</v>
      </c>
      <c r="D95" s="253">
        <f t="shared" si="6"/>
        <v>0</v>
      </c>
      <c r="E95" s="253">
        <f t="shared" si="6"/>
        <v>0</v>
      </c>
      <c r="F95" s="253">
        <f t="shared" si="6"/>
        <v>0</v>
      </c>
      <c r="G95" s="253">
        <f t="shared" si="6"/>
        <v>0</v>
      </c>
      <c r="H95" s="253">
        <f t="shared" si="6"/>
        <v>0</v>
      </c>
      <c r="I95" s="253">
        <f t="shared" si="6"/>
        <v>0</v>
      </c>
      <c r="J95" s="253">
        <f t="shared" si="6"/>
        <v>0</v>
      </c>
      <c r="K95" s="253">
        <f t="shared" si="6"/>
        <v>0</v>
      </c>
      <c r="L95" s="253">
        <f t="shared" si="6"/>
        <v>1011.7674660019052</v>
      </c>
      <c r="M95" s="253">
        <f t="shared" si="6"/>
        <v>31.920206302076174</v>
      </c>
      <c r="N95" s="253">
        <f t="shared" si="6"/>
        <v>208.55560337725498</v>
      </c>
      <c r="O95" s="253">
        <f t="shared" si="6"/>
        <v>9.5761232166267446E-2</v>
      </c>
      <c r="P95" s="253">
        <f t="shared" si="6"/>
        <v>286.88405520213911</v>
      </c>
      <c r="Q95" s="253">
        <f t="shared" si="6"/>
        <v>7.5924566391801989</v>
      </c>
      <c r="R95" s="253">
        <f t="shared" si="6"/>
        <v>1011.7674660019052</v>
      </c>
      <c r="S95" s="253">
        <f t="shared" si="6"/>
        <v>208.55560337725498</v>
      </c>
      <c r="T95" s="253">
        <f t="shared" si="6"/>
        <v>286.88405520213911</v>
      </c>
      <c r="U95" s="253">
        <f t="shared" si="6"/>
        <v>1000.0000000000001</v>
      </c>
      <c r="V95" s="253">
        <f t="shared" si="6"/>
        <v>11.767466001905108</v>
      </c>
      <c r="W95" s="253">
        <f t="shared" si="6"/>
        <v>208.55560337725498</v>
      </c>
      <c r="X95" s="253">
        <f t="shared" si="6"/>
        <v>286.88405520213911</v>
      </c>
      <c r="Y95" s="253">
        <f t="shared" si="6"/>
        <v>111.00813284002646</v>
      </c>
      <c r="Z95" s="253">
        <f t="shared" si="6"/>
        <v>4.9847525450981189</v>
      </c>
      <c r="AA95" s="253">
        <f t="shared" si="6"/>
        <v>21178.628376204575</v>
      </c>
      <c r="AB95" s="253">
        <f t="shared" si="6"/>
        <v>198.80764502323905</v>
      </c>
      <c r="AC95" s="253">
        <f t="shared" si="6"/>
        <v>69.582675758133661</v>
      </c>
      <c r="AD95" s="253">
        <f t="shared" si="6"/>
        <v>18.493734420766422</v>
      </c>
      <c r="AE95" s="253">
        <f t="shared" si="6"/>
        <v>584.3657277440451</v>
      </c>
      <c r="AF95" s="253">
        <f t="shared" si="6"/>
        <v>69.582675758133661</v>
      </c>
      <c r="AG95" s="253">
        <f t="shared" si="6"/>
        <v>1309.8157778632656</v>
      </c>
      <c r="AH95" s="253">
        <f t="shared" si="6"/>
        <v>616.23583583508366</v>
      </c>
      <c r="AI95" s="253">
        <f t="shared" si="6"/>
        <v>3432.8541806261665</v>
      </c>
      <c r="AJ95" s="253">
        <f t="shared" si="6"/>
        <v>229.94813284002646</v>
      </c>
    </row>
    <row r="96" spans="2:62" x14ac:dyDescent="0.2">
      <c r="B96" s="205"/>
      <c r="C96" s="347" t="s">
        <v>476</v>
      </c>
      <c r="D96" s="347"/>
      <c r="E96" s="347"/>
      <c r="F96" s="347"/>
      <c r="G96" s="347"/>
      <c r="H96" s="347"/>
      <c r="I96" s="347"/>
      <c r="J96" s="347"/>
      <c r="K96" s="347"/>
      <c r="L96" s="347"/>
      <c r="M96" s="347"/>
      <c r="N96" s="347"/>
      <c r="O96" s="347"/>
      <c r="P96" s="347"/>
      <c r="Q96" s="347"/>
      <c r="R96" s="347"/>
      <c r="S96" s="347"/>
      <c r="T96" s="347"/>
      <c r="U96" s="347"/>
      <c r="V96" s="347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7"/>
      <c r="AH96" s="347"/>
      <c r="AI96" s="347"/>
      <c r="AJ96" s="347"/>
    </row>
    <row r="97" spans="2:38" x14ac:dyDescent="0.2">
      <c r="B97" s="205"/>
    </row>
    <row r="98" spans="2:38" x14ac:dyDescent="0.2">
      <c r="B98" s="205"/>
    </row>
    <row r="99" spans="2:38" x14ac:dyDescent="0.2">
      <c r="B99" s="205"/>
    </row>
    <row r="100" spans="2:38" x14ac:dyDescent="0.2">
      <c r="B100" s="205"/>
    </row>
    <row r="101" spans="2:38" x14ac:dyDescent="0.2">
      <c r="B101" s="205"/>
    </row>
    <row r="102" spans="2:38" x14ac:dyDescent="0.2">
      <c r="B102" s="205"/>
    </row>
    <row r="103" spans="2:38" x14ac:dyDescent="0.2">
      <c r="B103" s="205"/>
    </row>
    <row r="104" spans="2:38" x14ac:dyDescent="0.2">
      <c r="B104" s="205"/>
    </row>
    <row r="105" spans="2:38" x14ac:dyDescent="0.2">
      <c r="B105" s="205"/>
    </row>
    <row r="106" spans="2:38" x14ac:dyDescent="0.2">
      <c r="B106" s="205"/>
    </row>
    <row r="107" spans="2:38" ht="236" x14ac:dyDescent="0.2">
      <c r="B107" s="205"/>
      <c r="C107" s="208" t="s">
        <v>426</v>
      </c>
      <c r="D107" s="208" t="s">
        <v>428</v>
      </c>
      <c r="E107" s="208" t="s">
        <v>429</v>
      </c>
      <c r="F107" s="208" t="s">
        <v>451</v>
      </c>
      <c r="G107" s="208" t="s">
        <v>487</v>
      </c>
      <c r="H107" s="208" t="s">
        <v>531</v>
      </c>
      <c r="I107" s="208" t="s">
        <v>532</v>
      </c>
      <c r="J107" s="208" t="s">
        <v>535</v>
      </c>
      <c r="K107" s="208" t="s">
        <v>588</v>
      </c>
      <c r="L107" s="210" t="s">
        <v>570</v>
      </c>
      <c r="M107" s="208" t="s">
        <v>533</v>
      </c>
      <c r="N107" s="210" t="s">
        <v>536</v>
      </c>
      <c r="O107" s="208" t="s">
        <v>565</v>
      </c>
      <c r="P107" s="211" t="s">
        <v>557</v>
      </c>
      <c r="Q107" s="208" t="s">
        <v>540</v>
      </c>
      <c r="R107" s="210" t="s">
        <v>569</v>
      </c>
      <c r="S107" s="210" t="s">
        <v>564</v>
      </c>
      <c r="T107" s="210" t="s">
        <v>561</v>
      </c>
      <c r="U107" s="210" t="s">
        <v>567</v>
      </c>
      <c r="V107" s="211" t="s">
        <v>566</v>
      </c>
      <c r="W107" s="211" t="s">
        <v>549</v>
      </c>
      <c r="X107" s="211" t="s">
        <v>585</v>
      </c>
      <c r="Y107" s="211" t="s">
        <v>550</v>
      </c>
      <c r="Z107" s="211" t="s">
        <v>552</v>
      </c>
      <c r="AA107" s="211" t="s">
        <v>551</v>
      </c>
      <c r="AB107" s="211" t="s">
        <v>545</v>
      </c>
      <c r="AC107" s="233" t="s">
        <v>547</v>
      </c>
      <c r="AD107" s="211" t="s">
        <v>546</v>
      </c>
      <c r="AE107" s="208" t="s">
        <v>548</v>
      </c>
      <c r="AF107" s="211" t="s">
        <v>543</v>
      </c>
      <c r="AG107" s="211" t="s">
        <v>573</v>
      </c>
      <c r="AH107" s="211" t="s">
        <v>574</v>
      </c>
      <c r="AI107" s="211" t="s">
        <v>575</v>
      </c>
      <c r="AJ107" s="211" t="s">
        <v>586</v>
      </c>
      <c r="AK107" s="211"/>
      <c r="AL107" s="211"/>
    </row>
    <row r="108" spans="2:38" x14ac:dyDescent="0.2">
      <c r="B108" s="205" t="s">
        <v>425</v>
      </c>
      <c r="C108" s="245">
        <f>'Ore-&gt;PI'!T42</f>
        <v>1011.7674660019052</v>
      </c>
      <c r="D108" s="245"/>
      <c r="E108" s="245"/>
      <c r="F108" s="245"/>
      <c r="G108" s="245"/>
      <c r="H108" s="245"/>
      <c r="I108" s="245"/>
      <c r="J108" s="245"/>
      <c r="K108" s="245"/>
      <c r="L108" s="245"/>
      <c r="M108" s="245"/>
      <c r="N108" s="245"/>
      <c r="O108" s="245"/>
      <c r="P108" s="245"/>
      <c r="Q108" s="245"/>
      <c r="R108" s="245"/>
      <c r="S108" s="245"/>
      <c r="T108" s="245"/>
      <c r="U108" s="245"/>
      <c r="V108" s="245"/>
      <c r="W108" s="245"/>
      <c r="X108" s="245"/>
      <c r="Y108" s="245"/>
      <c r="Z108" s="245"/>
      <c r="AA108" s="245"/>
      <c r="AB108" s="245"/>
      <c r="AC108" s="245"/>
      <c r="AD108" s="245"/>
      <c r="AE108" s="245"/>
      <c r="AF108" s="245"/>
      <c r="AG108" s="245"/>
      <c r="AH108" s="245"/>
      <c r="AI108" s="245"/>
      <c r="AJ108" s="245"/>
    </row>
    <row r="109" spans="2:38" ht="16" x14ac:dyDescent="0.2">
      <c r="B109" s="206" t="s">
        <v>427</v>
      </c>
      <c r="C109" s="245"/>
      <c r="D109" s="245">
        <f>'Ore-&gt;PI'!T126</f>
        <v>208.55560337725498</v>
      </c>
      <c r="E109" s="245"/>
      <c r="F109" s="245"/>
      <c r="G109" s="245"/>
      <c r="H109" s="245"/>
      <c r="I109" s="245"/>
      <c r="J109" s="245"/>
      <c r="K109" s="245"/>
      <c r="L109" s="245"/>
      <c r="M109" s="245"/>
      <c r="N109" s="245"/>
      <c r="O109" s="245"/>
      <c r="P109" s="245"/>
      <c r="Q109" s="245"/>
      <c r="R109" s="245"/>
      <c r="S109" s="245"/>
      <c r="T109" s="245"/>
      <c r="U109" s="245"/>
      <c r="V109" s="245"/>
      <c r="W109" s="245"/>
      <c r="X109" s="245"/>
      <c r="Y109" s="245"/>
      <c r="Z109" s="245"/>
      <c r="AA109" s="245"/>
      <c r="AB109" s="245"/>
      <c r="AC109" s="245"/>
      <c r="AD109" s="245"/>
      <c r="AE109" s="245"/>
      <c r="AF109" s="245"/>
      <c r="AG109" s="245"/>
      <c r="AH109" s="245"/>
      <c r="AI109" s="245"/>
      <c r="AJ109" s="245"/>
    </row>
    <row r="110" spans="2:38" x14ac:dyDescent="0.2">
      <c r="B110" s="207" t="s">
        <v>452</v>
      </c>
      <c r="C110" s="245"/>
      <c r="D110" s="245"/>
      <c r="E110" s="245">
        <f>'Ore-&gt;PI'!T206</f>
        <v>286.88405520213911</v>
      </c>
      <c r="F110" s="245"/>
      <c r="G110" s="245"/>
      <c r="H110" s="245"/>
      <c r="I110" s="245"/>
      <c r="J110" s="245"/>
      <c r="K110" s="245"/>
      <c r="L110" s="245"/>
      <c r="M110" s="245"/>
      <c r="N110" s="245"/>
      <c r="O110" s="245"/>
      <c r="P110" s="245"/>
      <c r="Q110" s="245"/>
      <c r="R110" s="245"/>
      <c r="S110" s="245"/>
      <c r="T110" s="245"/>
      <c r="U110" s="245"/>
      <c r="V110" s="245"/>
      <c r="W110" s="245"/>
      <c r="X110" s="245"/>
      <c r="Y110" s="245"/>
      <c r="Z110" s="245"/>
      <c r="AA110" s="245"/>
      <c r="AB110" s="245"/>
      <c r="AC110" s="245"/>
      <c r="AD110" s="245"/>
      <c r="AE110" s="245"/>
      <c r="AF110" s="245"/>
      <c r="AG110" s="245"/>
      <c r="AH110" s="245"/>
      <c r="AI110" s="245"/>
      <c r="AJ110" s="245"/>
    </row>
    <row r="111" spans="2:38" x14ac:dyDescent="0.2">
      <c r="B111" s="205" t="s">
        <v>493</v>
      </c>
      <c r="C111" s="245"/>
      <c r="D111" s="245"/>
      <c r="E111" s="245"/>
      <c r="F111" s="251">
        <f>'Ore-&gt;PI'!EF140+'Ore-&gt;PI'!BW140+'Ore-&gt;PI'!T163+'Ore-&gt;PI'!T72+'Ore-&gt;PI'!BW242+'Ore-&gt;PI'!T236</f>
        <v>3752.6201890938187</v>
      </c>
      <c r="G111" s="245"/>
      <c r="H111" s="245"/>
      <c r="I111" s="245"/>
      <c r="J111" s="245"/>
      <c r="K111" s="245"/>
      <c r="L111" s="245"/>
      <c r="M111" s="245"/>
      <c r="N111" s="245"/>
      <c r="O111" s="245"/>
      <c r="P111" s="245"/>
      <c r="Q111" s="245"/>
      <c r="R111" s="245"/>
      <c r="S111" s="245"/>
      <c r="T111" s="245"/>
      <c r="U111" s="245"/>
      <c r="V111" s="245"/>
      <c r="W111" s="245"/>
      <c r="X111" s="245"/>
      <c r="Y111" s="245"/>
      <c r="Z111" s="245"/>
      <c r="AA111" s="245"/>
      <c r="AB111" s="245"/>
      <c r="AC111" s="245"/>
      <c r="AD111" s="245"/>
      <c r="AE111" s="245"/>
      <c r="AF111" s="245"/>
      <c r="AG111" s="245"/>
      <c r="AH111" s="245"/>
      <c r="AI111" s="245"/>
      <c r="AJ111" s="245"/>
    </row>
    <row r="112" spans="2:38" x14ac:dyDescent="0.2">
      <c r="B112" s="205" t="s">
        <v>486</v>
      </c>
      <c r="C112" s="245"/>
      <c r="D112" s="245"/>
      <c r="E112" s="245"/>
      <c r="F112" s="245"/>
      <c r="G112" s="245">
        <f>'Ore-&gt;PI'!EF114+'Ore-&gt;PI'!BW152+'Ore-&gt;PI'!BW254</f>
        <v>20860.054673363149</v>
      </c>
      <c r="H112" s="245"/>
      <c r="I112" s="245"/>
      <c r="J112" s="245"/>
      <c r="K112" s="245"/>
      <c r="L112" s="245"/>
      <c r="M112" s="245"/>
      <c r="N112" s="245"/>
      <c r="O112" s="245"/>
      <c r="P112" s="245"/>
      <c r="Q112" s="245"/>
      <c r="R112" s="245"/>
      <c r="S112" s="245"/>
      <c r="T112" s="245"/>
      <c r="U112" s="245"/>
      <c r="V112" s="245"/>
      <c r="W112" s="245"/>
      <c r="X112" s="245"/>
      <c r="Y112" s="245"/>
      <c r="Z112" s="245"/>
      <c r="AA112" s="245"/>
      <c r="AB112" s="245"/>
      <c r="AC112" s="245"/>
      <c r="AD112" s="245"/>
      <c r="AE112" s="245"/>
      <c r="AF112" s="245"/>
      <c r="AG112" s="245"/>
      <c r="AH112" s="245"/>
      <c r="AI112" s="245"/>
      <c r="AJ112" s="245"/>
    </row>
    <row r="113" spans="2:42" x14ac:dyDescent="0.2">
      <c r="B113" s="205" t="s">
        <v>499</v>
      </c>
      <c r="C113" s="245"/>
      <c r="D113" s="245"/>
      <c r="E113" s="245"/>
      <c r="F113" s="245"/>
      <c r="G113" s="245"/>
      <c r="H113" s="245">
        <f>'Ore-&gt;PI'!T222+'Ore-&gt;PI'!T140+'Ore-&gt;PI'!T59</f>
        <v>2.5435328194387457</v>
      </c>
      <c r="I113" s="245"/>
      <c r="J113" s="245"/>
      <c r="K113" s="245"/>
      <c r="L113" s="245"/>
      <c r="M113" s="245"/>
      <c r="N113" s="245"/>
      <c r="O113" s="245"/>
      <c r="P113" s="245"/>
      <c r="Q113" s="245"/>
      <c r="R113" s="245"/>
      <c r="S113" s="245"/>
      <c r="T113" s="245"/>
      <c r="U113" s="245"/>
      <c r="V113" s="245"/>
      <c r="W113" s="245"/>
      <c r="X113" s="245"/>
      <c r="Y113" s="245"/>
      <c r="Z113" s="245"/>
      <c r="AA113" s="245"/>
      <c r="AB113" s="245"/>
      <c r="AC113" s="245"/>
      <c r="AD113" s="245"/>
      <c r="AE113" s="245"/>
      <c r="AF113" s="245"/>
      <c r="AG113" s="245"/>
      <c r="AH113" s="245"/>
      <c r="AI113" s="245"/>
      <c r="AJ113" s="245"/>
      <c r="AP113" s="233"/>
    </row>
    <row r="114" spans="2:42" x14ac:dyDescent="0.2">
      <c r="B114" s="205" t="s">
        <v>500</v>
      </c>
      <c r="C114" s="245"/>
      <c r="D114" s="245"/>
      <c r="E114" s="245"/>
      <c r="F114" s="245"/>
      <c r="G114" s="245"/>
      <c r="H114" s="245"/>
      <c r="I114" s="245">
        <f>'Ore-&gt;PI'!T151</f>
        <v>5.1714158616864253E-4</v>
      </c>
      <c r="J114" s="245"/>
      <c r="K114" s="245"/>
      <c r="L114" s="245"/>
      <c r="M114" s="245"/>
      <c r="N114" s="245"/>
      <c r="O114" s="245"/>
      <c r="P114" s="245"/>
      <c r="Q114" s="245"/>
      <c r="R114" s="245"/>
      <c r="S114" s="245"/>
      <c r="T114" s="245"/>
      <c r="U114" s="245"/>
      <c r="V114" s="245"/>
      <c r="W114" s="245"/>
      <c r="X114" s="245"/>
      <c r="Y114" s="245"/>
      <c r="Z114" s="245"/>
      <c r="AA114" s="245"/>
      <c r="AB114" s="245"/>
      <c r="AC114" s="245"/>
      <c r="AD114" s="245"/>
      <c r="AE114" s="245"/>
      <c r="AF114" s="245"/>
      <c r="AG114" s="245"/>
      <c r="AH114" s="245"/>
      <c r="AI114" s="245"/>
      <c r="AJ114" s="245"/>
    </row>
    <row r="115" spans="2:42" x14ac:dyDescent="0.2">
      <c r="B115" s="205" t="s">
        <v>534</v>
      </c>
      <c r="C115" s="245"/>
      <c r="D115" s="245"/>
      <c r="E115" s="245"/>
      <c r="F115" s="245"/>
      <c r="G115" s="245"/>
      <c r="H115" s="245"/>
      <c r="I115" s="245"/>
      <c r="J115" s="245">
        <f>'Ore-&gt;PI'!$EF$101</f>
        <v>4.8979947555174279</v>
      </c>
      <c r="K115" s="245"/>
      <c r="L115" s="245"/>
      <c r="M115" s="245"/>
      <c r="N115" s="245"/>
      <c r="O115" s="245"/>
      <c r="P115" s="245"/>
      <c r="Q115" s="245"/>
      <c r="R115" s="245"/>
      <c r="S115" s="245"/>
      <c r="T115" s="245"/>
      <c r="U115" s="245"/>
      <c r="V115" s="245"/>
      <c r="W115" s="245"/>
      <c r="X115" s="245"/>
      <c r="Y115" s="245"/>
      <c r="Z115" s="245"/>
      <c r="AA115" s="245"/>
      <c r="AB115" s="245"/>
      <c r="AC115" s="245"/>
      <c r="AD115" s="245"/>
      <c r="AE115" s="245"/>
      <c r="AF115" s="245"/>
      <c r="AG115" s="245"/>
      <c r="AH115" s="245"/>
      <c r="AI115" s="245"/>
      <c r="AJ115" s="245"/>
    </row>
    <row r="116" spans="2:42" x14ac:dyDescent="0.2">
      <c r="B116" s="205" t="s">
        <v>587</v>
      </c>
      <c r="C116" s="245"/>
      <c r="D116" s="245"/>
      <c r="E116" s="245"/>
      <c r="F116" s="245"/>
      <c r="G116" s="245"/>
      <c r="H116" s="245"/>
      <c r="I116" s="245"/>
      <c r="J116" s="245"/>
      <c r="K116" s="245">
        <v>0</v>
      </c>
      <c r="L116" s="245"/>
      <c r="M116" s="245"/>
      <c r="N116" s="245"/>
      <c r="O116" s="245"/>
      <c r="P116" s="245"/>
      <c r="Q116" s="245"/>
      <c r="R116" s="245"/>
      <c r="S116" s="245"/>
      <c r="T116" s="245"/>
      <c r="U116" s="245"/>
      <c r="V116" s="245"/>
      <c r="W116" s="245"/>
      <c r="X116" s="245"/>
      <c r="Y116" s="245"/>
      <c r="Z116" s="245"/>
      <c r="AA116" s="245"/>
      <c r="AB116" s="245"/>
      <c r="AC116" s="245"/>
      <c r="AD116" s="245"/>
      <c r="AE116" s="245"/>
      <c r="AF116" s="245"/>
      <c r="AG116" s="245"/>
      <c r="AH116" s="245"/>
      <c r="AI116" s="245"/>
      <c r="AJ116" s="245"/>
    </row>
    <row r="117" spans="2:42" x14ac:dyDescent="0.2">
      <c r="C117" s="347" t="s">
        <v>57</v>
      </c>
      <c r="D117" s="347"/>
      <c r="E117" s="347"/>
      <c r="F117" s="347"/>
      <c r="G117" s="347"/>
      <c r="H117" s="347"/>
      <c r="I117" s="347"/>
      <c r="J117" s="347"/>
      <c r="K117" s="347"/>
      <c r="L117" s="347"/>
      <c r="M117" s="347"/>
      <c r="N117" s="347"/>
      <c r="O117" s="347"/>
      <c r="P117" s="347"/>
      <c r="Q117" s="347"/>
      <c r="R117" s="347"/>
      <c r="S117" s="347"/>
      <c r="T117" s="347"/>
      <c r="U117" s="347"/>
      <c r="V117" s="347"/>
      <c r="W117" s="347"/>
      <c r="X117" s="347"/>
      <c r="Y117" s="347"/>
      <c r="Z117" s="347"/>
      <c r="AA117" s="347"/>
      <c r="AB117" s="347"/>
      <c r="AC117" s="347"/>
      <c r="AD117" s="347"/>
      <c r="AE117" s="347"/>
      <c r="AF117" s="347"/>
      <c r="AG117" s="347"/>
      <c r="AH117" s="347"/>
      <c r="AI117" s="347"/>
      <c r="AJ117" s="347"/>
      <c r="AK117" s="25"/>
      <c r="AL117" s="25"/>
    </row>
    <row r="118" spans="2:42" x14ac:dyDescent="0.2">
      <c r="C118" s="253">
        <f t="shared" ref="C118:AJ118" si="7">SUM(C108:C116)</f>
        <v>1011.7674660019052</v>
      </c>
      <c r="D118" s="253">
        <f t="shared" si="7"/>
        <v>208.55560337725498</v>
      </c>
      <c r="E118" s="253">
        <f t="shared" si="7"/>
        <v>286.88405520213911</v>
      </c>
      <c r="F118" s="253">
        <f t="shared" si="7"/>
        <v>3752.6201890938187</v>
      </c>
      <c r="G118" s="253">
        <f t="shared" si="7"/>
        <v>20860.054673363149</v>
      </c>
      <c r="H118" s="253">
        <f t="shared" si="7"/>
        <v>2.5435328194387457</v>
      </c>
      <c r="I118" s="253">
        <f t="shared" si="7"/>
        <v>5.1714158616864253E-4</v>
      </c>
      <c r="J118" s="253">
        <f t="shared" si="7"/>
        <v>4.8979947555174279</v>
      </c>
      <c r="K118" s="253">
        <f t="shared" si="7"/>
        <v>0</v>
      </c>
      <c r="L118" s="253">
        <f t="shared" si="7"/>
        <v>0</v>
      </c>
      <c r="M118" s="253">
        <f t="shared" si="7"/>
        <v>0</v>
      </c>
      <c r="N118" s="253">
        <f t="shared" si="7"/>
        <v>0</v>
      </c>
      <c r="O118" s="253">
        <f t="shared" si="7"/>
        <v>0</v>
      </c>
      <c r="P118" s="253">
        <f t="shared" si="7"/>
        <v>0</v>
      </c>
      <c r="Q118" s="253">
        <f t="shared" si="7"/>
        <v>0</v>
      </c>
      <c r="R118" s="253">
        <f t="shared" si="7"/>
        <v>0</v>
      </c>
      <c r="S118" s="253">
        <f t="shared" si="7"/>
        <v>0</v>
      </c>
      <c r="T118" s="253">
        <f t="shared" si="7"/>
        <v>0</v>
      </c>
      <c r="U118" s="253">
        <f t="shared" si="7"/>
        <v>0</v>
      </c>
      <c r="V118" s="253">
        <f t="shared" si="7"/>
        <v>0</v>
      </c>
      <c r="W118" s="253">
        <f t="shared" si="7"/>
        <v>0</v>
      </c>
      <c r="X118" s="253">
        <f t="shared" si="7"/>
        <v>0</v>
      </c>
      <c r="Y118" s="253">
        <f t="shared" si="7"/>
        <v>0</v>
      </c>
      <c r="Z118" s="253">
        <f t="shared" si="7"/>
        <v>0</v>
      </c>
      <c r="AA118" s="253">
        <f t="shared" si="7"/>
        <v>0</v>
      </c>
      <c r="AB118" s="253">
        <f t="shared" si="7"/>
        <v>0</v>
      </c>
      <c r="AC118" s="253">
        <f t="shared" si="7"/>
        <v>0</v>
      </c>
      <c r="AD118" s="253">
        <f t="shared" si="7"/>
        <v>0</v>
      </c>
      <c r="AE118" s="253">
        <f t="shared" si="7"/>
        <v>0</v>
      </c>
      <c r="AF118" s="253">
        <f t="shared" si="7"/>
        <v>0</v>
      </c>
      <c r="AG118" s="253">
        <f t="shared" si="7"/>
        <v>0</v>
      </c>
      <c r="AH118" s="253">
        <f t="shared" si="7"/>
        <v>0</v>
      </c>
      <c r="AI118" s="253">
        <f t="shared" si="7"/>
        <v>0</v>
      </c>
      <c r="AJ118" s="253">
        <f t="shared" si="7"/>
        <v>0</v>
      </c>
    </row>
    <row r="119" spans="2:42" x14ac:dyDescent="0.2">
      <c r="C119" s="347" t="s">
        <v>477</v>
      </c>
      <c r="D119" s="347"/>
      <c r="E119" s="347"/>
      <c r="F119" s="347"/>
      <c r="G119" s="347"/>
      <c r="H119" s="347"/>
      <c r="I119" s="347"/>
      <c r="J119" s="347"/>
      <c r="K119" s="347"/>
      <c r="L119" s="347"/>
      <c r="M119" s="347"/>
      <c r="N119" s="347"/>
      <c r="O119" s="347"/>
      <c r="P119" s="347"/>
      <c r="Q119" s="347"/>
      <c r="R119" s="347"/>
      <c r="S119" s="347"/>
      <c r="T119" s="347"/>
      <c r="U119" s="347"/>
      <c r="V119" s="347"/>
      <c r="W119" s="347"/>
      <c r="X119" s="347"/>
      <c r="Y119" s="347"/>
      <c r="Z119" s="347"/>
      <c r="AA119" s="347"/>
      <c r="AB119" s="347"/>
      <c r="AC119" s="347"/>
      <c r="AD119" s="347"/>
      <c r="AE119" s="347"/>
      <c r="AF119" s="347"/>
      <c r="AG119" s="347"/>
      <c r="AH119" s="347"/>
      <c r="AI119" s="347"/>
      <c r="AJ119" s="347"/>
      <c r="AK119" s="25"/>
      <c r="AL119" s="25"/>
    </row>
    <row r="123" spans="2:42" x14ac:dyDescent="0.2">
      <c r="C123" s="347" t="s">
        <v>474</v>
      </c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246"/>
      <c r="R123" s="246"/>
      <c r="S123" s="246"/>
      <c r="T123" s="246"/>
      <c r="U123" s="25"/>
      <c r="V123" s="25"/>
    </row>
    <row r="126" spans="2:42" x14ac:dyDescent="0.2">
      <c r="B126" s="205" t="s">
        <v>426</v>
      </c>
      <c r="C126" s="253">
        <f>C118</f>
        <v>1011.7674660019052</v>
      </c>
      <c r="E126" s="253" cm="1">
        <f t="array" ref="E126:E159">TRANSPOSE(C95:AJ95)</f>
        <v>0</v>
      </c>
      <c r="G126" s="253">
        <f t="shared" ref="G126:G145" si="8">BD42</f>
        <v>1011.7674660019052</v>
      </c>
      <c r="I126" s="253" cm="1">
        <f t="array" ref="I126:I159">BK42:BK75</f>
        <v>0</v>
      </c>
      <c r="K126" s="253">
        <f>C126+E126-G126-I126</f>
        <v>0</v>
      </c>
    </row>
    <row r="127" spans="2:42" x14ac:dyDescent="0.2">
      <c r="B127" s="205" t="s">
        <v>428</v>
      </c>
      <c r="C127" s="253">
        <f>D118</f>
        <v>208.55560337725498</v>
      </c>
      <c r="E127" s="253">
        <v>0</v>
      </c>
      <c r="G127" s="253">
        <f t="shared" si="8"/>
        <v>208.55560337725498</v>
      </c>
      <c r="I127" s="253">
        <v>0</v>
      </c>
      <c r="K127" s="253">
        <f>C127+E127-G127-I127</f>
        <v>0</v>
      </c>
    </row>
    <row r="128" spans="2:42" x14ac:dyDescent="0.2">
      <c r="B128" s="205" t="s">
        <v>429</v>
      </c>
      <c r="C128" s="253">
        <f>E118</f>
        <v>286.88405520213911</v>
      </c>
      <c r="E128" s="253">
        <v>0</v>
      </c>
      <c r="G128" s="253">
        <f t="shared" si="8"/>
        <v>286.88405520213911</v>
      </c>
      <c r="I128" s="253">
        <v>0</v>
      </c>
      <c r="K128" s="253">
        <f>C128+E128-G128-I128</f>
        <v>0</v>
      </c>
    </row>
    <row r="129" spans="2:11" x14ac:dyDescent="0.2">
      <c r="B129" s="205" t="s">
        <v>451</v>
      </c>
      <c r="C129" s="253">
        <f>F118</f>
        <v>3752.6201890938187</v>
      </c>
      <c r="E129" s="253">
        <v>0</v>
      </c>
      <c r="G129" s="253">
        <f t="shared" si="8"/>
        <v>3752.6201890938191</v>
      </c>
      <c r="I129" s="253">
        <v>0</v>
      </c>
      <c r="K129" s="253">
        <f>ROUND(C129+E129-G129-I129, 10)</f>
        <v>0</v>
      </c>
    </row>
    <row r="130" spans="2:11" x14ac:dyDescent="0.2">
      <c r="B130" s="205" t="s">
        <v>487</v>
      </c>
      <c r="C130" s="253">
        <f>G118</f>
        <v>20860.054673363149</v>
      </c>
      <c r="E130" s="253">
        <v>0</v>
      </c>
      <c r="G130" s="253">
        <f t="shared" si="8"/>
        <v>20860.054673363149</v>
      </c>
      <c r="I130" s="253">
        <v>0</v>
      </c>
      <c r="K130" s="253">
        <f t="shared" ref="K130:K145" si="9">C130+E130-G130-I130</f>
        <v>0</v>
      </c>
    </row>
    <row r="131" spans="2:11" x14ac:dyDescent="0.2">
      <c r="B131" s="205" t="s">
        <v>531</v>
      </c>
      <c r="C131" s="253">
        <f>H118</f>
        <v>2.5435328194387457</v>
      </c>
      <c r="E131" s="253">
        <v>0</v>
      </c>
      <c r="G131" s="253">
        <f t="shared" si="8"/>
        <v>2.5435328194387457</v>
      </c>
      <c r="I131" s="253">
        <v>0</v>
      </c>
      <c r="K131" s="253">
        <f t="shared" si="9"/>
        <v>0</v>
      </c>
    </row>
    <row r="132" spans="2:11" x14ac:dyDescent="0.2">
      <c r="B132" s="205" t="s">
        <v>532</v>
      </c>
      <c r="C132" s="253">
        <f>I118</f>
        <v>5.1714158616864253E-4</v>
      </c>
      <c r="E132" s="253">
        <v>0</v>
      </c>
      <c r="G132" s="253">
        <f t="shared" si="8"/>
        <v>5.1714158616864253E-4</v>
      </c>
      <c r="I132" s="253">
        <v>0</v>
      </c>
      <c r="K132" s="253">
        <f t="shared" si="9"/>
        <v>0</v>
      </c>
    </row>
    <row r="133" spans="2:11" x14ac:dyDescent="0.2">
      <c r="B133" s="205" t="s">
        <v>535</v>
      </c>
      <c r="C133" s="253">
        <f>J118</f>
        <v>4.8979947555174279</v>
      </c>
      <c r="E133" s="253">
        <v>0</v>
      </c>
      <c r="G133" s="253">
        <f t="shared" si="8"/>
        <v>4.8979947555174279</v>
      </c>
      <c r="I133" s="253">
        <v>0</v>
      </c>
      <c r="K133" s="253">
        <f t="shared" si="9"/>
        <v>0</v>
      </c>
    </row>
    <row r="134" spans="2:11" x14ac:dyDescent="0.2">
      <c r="B134" s="205" t="s">
        <v>588</v>
      </c>
      <c r="C134" s="253">
        <f>K118</f>
        <v>0</v>
      </c>
      <c r="E134" s="253">
        <v>0</v>
      </c>
      <c r="G134" s="253">
        <f t="shared" si="8"/>
        <v>0</v>
      </c>
      <c r="I134" s="253">
        <v>0</v>
      </c>
      <c r="K134" s="253">
        <f t="shared" si="9"/>
        <v>0</v>
      </c>
    </row>
    <row r="135" spans="2:11" ht="16" x14ac:dyDescent="0.2">
      <c r="B135" s="206" t="s">
        <v>570</v>
      </c>
      <c r="C135" s="253">
        <f>L118</f>
        <v>0</v>
      </c>
      <c r="E135" s="253">
        <v>1011.7674660019052</v>
      </c>
      <c r="G135" s="253">
        <f t="shared" si="8"/>
        <v>1011.7674660019052</v>
      </c>
      <c r="I135" s="253">
        <v>0</v>
      </c>
      <c r="K135" s="253">
        <f t="shared" si="9"/>
        <v>0</v>
      </c>
    </row>
    <row r="136" spans="2:11" x14ac:dyDescent="0.2">
      <c r="B136" s="205" t="s">
        <v>533</v>
      </c>
      <c r="C136" s="253">
        <f>M118</f>
        <v>0</v>
      </c>
      <c r="E136" s="253">
        <v>31.920206302076174</v>
      </c>
      <c r="G136" s="253">
        <f t="shared" si="8"/>
        <v>0</v>
      </c>
      <c r="I136" s="253">
        <v>31.920206302076174</v>
      </c>
      <c r="K136" s="253">
        <f t="shared" si="9"/>
        <v>0</v>
      </c>
    </row>
    <row r="137" spans="2:11" ht="16" x14ac:dyDescent="0.2">
      <c r="B137" s="206" t="s">
        <v>536</v>
      </c>
      <c r="C137" s="253">
        <f>N118</f>
        <v>0</v>
      </c>
      <c r="E137" s="253">
        <v>208.55560337725498</v>
      </c>
      <c r="G137" s="253">
        <f t="shared" si="8"/>
        <v>208.55560337725498</v>
      </c>
      <c r="I137" s="253">
        <v>0</v>
      </c>
      <c r="K137" s="253">
        <f t="shared" si="9"/>
        <v>0</v>
      </c>
    </row>
    <row r="138" spans="2:11" x14ac:dyDescent="0.2">
      <c r="B138" s="205" t="s">
        <v>565</v>
      </c>
      <c r="C138" s="253">
        <f>O118</f>
        <v>0</v>
      </c>
      <c r="E138" s="253">
        <v>9.5761232166267446E-2</v>
      </c>
      <c r="G138" s="253">
        <f t="shared" si="8"/>
        <v>0</v>
      </c>
      <c r="I138" s="253">
        <v>9.5761232166267446E-2</v>
      </c>
      <c r="K138" s="253">
        <f t="shared" si="9"/>
        <v>0</v>
      </c>
    </row>
    <row r="139" spans="2:11" x14ac:dyDescent="0.2">
      <c r="B139" s="207" t="s">
        <v>557</v>
      </c>
      <c r="C139" s="253">
        <f>P118</f>
        <v>0</v>
      </c>
      <c r="D139" s="260" t="s">
        <v>481</v>
      </c>
      <c r="E139" s="253">
        <v>286.88405520213911</v>
      </c>
      <c r="F139" s="172" t="s">
        <v>483</v>
      </c>
      <c r="G139" s="253">
        <f t="shared" si="8"/>
        <v>286.88405520213911</v>
      </c>
      <c r="H139" s="172" t="s">
        <v>483</v>
      </c>
      <c r="I139" s="253">
        <v>0</v>
      </c>
      <c r="J139" s="260" t="s">
        <v>484</v>
      </c>
      <c r="K139" s="253">
        <f t="shared" si="9"/>
        <v>0</v>
      </c>
    </row>
    <row r="140" spans="2:11" x14ac:dyDescent="0.2">
      <c r="B140" s="205" t="s">
        <v>540</v>
      </c>
      <c r="C140" s="253">
        <f>Q118</f>
        <v>0</v>
      </c>
      <c r="E140" s="253">
        <v>7.5924566391801989</v>
      </c>
      <c r="G140" s="253">
        <f t="shared" si="8"/>
        <v>0</v>
      </c>
      <c r="I140" s="253">
        <v>7.5924566391801989</v>
      </c>
      <c r="K140" s="253">
        <f t="shared" si="9"/>
        <v>0</v>
      </c>
    </row>
    <row r="141" spans="2:11" ht="16" x14ac:dyDescent="0.2">
      <c r="B141" s="206" t="s">
        <v>569</v>
      </c>
      <c r="C141" s="253">
        <f>R118</f>
        <v>0</v>
      </c>
      <c r="E141" s="253">
        <v>1011.7674660019052</v>
      </c>
      <c r="G141" s="253">
        <f t="shared" si="8"/>
        <v>1011.7674660019052</v>
      </c>
      <c r="I141" s="253">
        <v>0</v>
      </c>
      <c r="K141" s="253">
        <f t="shared" si="9"/>
        <v>0</v>
      </c>
    </row>
    <row r="142" spans="2:11" ht="16" x14ac:dyDescent="0.2">
      <c r="B142" s="206" t="s">
        <v>564</v>
      </c>
      <c r="C142" s="253">
        <f>S118</f>
        <v>0</v>
      </c>
      <c r="E142" s="253">
        <v>208.55560337725498</v>
      </c>
      <c r="G142" s="253">
        <f t="shared" si="8"/>
        <v>208.55560337725498</v>
      </c>
      <c r="I142" s="253">
        <v>0</v>
      </c>
      <c r="K142" s="253">
        <f t="shared" si="9"/>
        <v>0</v>
      </c>
    </row>
    <row r="143" spans="2:11" ht="16" x14ac:dyDescent="0.2">
      <c r="B143" s="206" t="s">
        <v>561</v>
      </c>
      <c r="C143" s="253">
        <f>T118</f>
        <v>0</v>
      </c>
      <c r="E143" s="253">
        <v>286.88405520213911</v>
      </c>
      <c r="G143" s="253">
        <f t="shared" si="8"/>
        <v>286.88405520213911</v>
      </c>
      <c r="I143" s="253">
        <v>0</v>
      </c>
      <c r="K143" s="253">
        <f t="shared" si="9"/>
        <v>0</v>
      </c>
    </row>
    <row r="144" spans="2:11" ht="16" x14ac:dyDescent="0.2">
      <c r="B144" s="206" t="s">
        <v>567</v>
      </c>
      <c r="C144" s="253">
        <f>U118</f>
        <v>0</v>
      </c>
      <c r="E144" s="253">
        <v>1000.0000000000001</v>
      </c>
      <c r="G144" s="253">
        <f t="shared" si="8"/>
        <v>1000.0000000000001</v>
      </c>
      <c r="I144" s="253">
        <v>0</v>
      </c>
      <c r="K144" s="253">
        <f t="shared" si="9"/>
        <v>0</v>
      </c>
    </row>
    <row r="145" spans="2:19" x14ac:dyDescent="0.2">
      <c r="B145" s="207" t="s">
        <v>566</v>
      </c>
      <c r="C145" s="253">
        <f>V118</f>
        <v>0</v>
      </c>
      <c r="E145" s="253">
        <v>11.767466001905108</v>
      </c>
      <c r="G145" s="253">
        <f t="shared" si="8"/>
        <v>0</v>
      </c>
      <c r="I145" s="253">
        <v>11.767466001905108</v>
      </c>
      <c r="K145" s="253">
        <f t="shared" si="9"/>
        <v>0</v>
      </c>
    </row>
    <row r="146" spans="2:19" x14ac:dyDescent="0.2">
      <c r="B146" s="207" t="s">
        <v>549</v>
      </c>
      <c r="C146" s="253">
        <f>W118</f>
        <v>0</v>
      </c>
      <c r="E146" s="253">
        <v>208.55560337725498</v>
      </c>
      <c r="G146" s="253">
        <f t="shared" ref="G146:G159" si="10">BD62</f>
        <v>208.55560337725498</v>
      </c>
      <c r="I146" s="253">
        <v>0</v>
      </c>
      <c r="K146" s="253">
        <f t="shared" ref="K146:K152" si="11">C146+E146-G146-I146</f>
        <v>0</v>
      </c>
      <c r="N146" s="25"/>
      <c r="P146" s="25"/>
      <c r="Q146" s="25"/>
      <c r="R146" s="25"/>
    </row>
    <row r="147" spans="2:19" x14ac:dyDescent="0.2">
      <c r="B147" s="207" t="s">
        <v>585</v>
      </c>
      <c r="C147" s="253">
        <f>X118</f>
        <v>0</v>
      </c>
      <c r="E147" s="253">
        <v>286.88405520213911</v>
      </c>
      <c r="G147" s="253">
        <f t="shared" si="10"/>
        <v>286.88405520213911</v>
      </c>
      <c r="I147" s="253">
        <v>0</v>
      </c>
      <c r="K147" s="253">
        <f t="shared" si="11"/>
        <v>0</v>
      </c>
      <c r="N147" s="25"/>
      <c r="P147" s="25"/>
      <c r="Q147" s="25"/>
      <c r="R147" s="25"/>
    </row>
    <row r="148" spans="2:19" x14ac:dyDescent="0.2">
      <c r="B148" s="207" t="s">
        <v>550</v>
      </c>
      <c r="C148" s="253">
        <f>Y118</f>
        <v>0</v>
      </c>
      <c r="E148" s="253">
        <v>111.00813284002646</v>
      </c>
      <c r="G148" s="253">
        <f t="shared" si="10"/>
        <v>111.00813284002646</v>
      </c>
      <c r="I148" s="253">
        <v>0</v>
      </c>
      <c r="K148" s="253">
        <f t="shared" si="11"/>
        <v>0</v>
      </c>
      <c r="N148" s="25"/>
      <c r="P148" s="25"/>
      <c r="Q148" s="25"/>
      <c r="R148" s="25"/>
    </row>
    <row r="149" spans="2:19" x14ac:dyDescent="0.2">
      <c r="B149" s="207" t="s">
        <v>552</v>
      </c>
      <c r="C149" s="253">
        <f>Z118</f>
        <v>0</v>
      </c>
      <c r="E149" s="253">
        <v>4.9847525450981189</v>
      </c>
      <c r="G149" s="253">
        <f t="shared" si="10"/>
        <v>0</v>
      </c>
      <c r="I149" s="253">
        <v>4.9847525450981189</v>
      </c>
      <c r="K149" s="253">
        <f t="shared" si="11"/>
        <v>0</v>
      </c>
      <c r="N149" s="25"/>
      <c r="P149" s="25"/>
      <c r="Q149" s="25"/>
      <c r="R149" s="25"/>
    </row>
    <row r="150" spans="2:19" x14ac:dyDescent="0.2">
      <c r="B150" s="207" t="s">
        <v>551</v>
      </c>
      <c r="C150" s="253">
        <f>AA118</f>
        <v>0</v>
      </c>
      <c r="E150" s="253">
        <v>21178.628376204575</v>
      </c>
      <c r="G150" s="253">
        <f t="shared" si="10"/>
        <v>0</v>
      </c>
      <c r="I150" s="253">
        <v>21178.628376204575</v>
      </c>
      <c r="K150" s="253">
        <f t="shared" si="11"/>
        <v>0</v>
      </c>
      <c r="N150" s="25"/>
      <c r="P150" s="25"/>
      <c r="Q150" s="25"/>
      <c r="R150" s="25"/>
    </row>
    <row r="151" spans="2:19" x14ac:dyDescent="0.2">
      <c r="B151" s="207" t="s">
        <v>545</v>
      </c>
      <c r="C151" s="253">
        <f>AB118</f>
        <v>0</v>
      </c>
      <c r="E151" s="253">
        <v>198.80764502323905</v>
      </c>
      <c r="G151" s="253">
        <f t="shared" si="10"/>
        <v>198.80764502323905</v>
      </c>
      <c r="I151" s="253">
        <v>0</v>
      </c>
      <c r="K151" s="253">
        <f t="shared" si="11"/>
        <v>0</v>
      </c>
    </row>
    <row r="152" spans="2:19" ht="16" x14ac:dyDescent="0.2">
      <c r="B152" s="254" t="s">
        <v>547</v>
      </c>
      <c r="C152" s="253">
        <f>AC118</f>
        <v>0</v>
      </c>
      <c r="E152" s="253">
        <v>69.582675758133661</v>
      </c>
      <c r="G152" s="253">
        <f t="shared" si="10"/>
        <v>69.582675758133661</v>
      </c>
      <c r="I152" s="253">
        <v>0</v>
      </c>
      <c r="K152" s="253">
        <f t="shared" si="11"/>
        <v>0</v>
      </c>
    </row>
    <row r="153" spans="2:19" x14ac:dyDescent="0.2">
      <c r="B153" s="207" t="s">
        <v>546</v>
      </c>
      <c r="C153" s="253">
        <f>AD118</f>
        <v>0</v>
      </c>
      <c r="E153" s="253">
        <v>18.493734420766422</v>
      </c>
      <c r="G153" s="253">
        <f t="shared" si="10"/>
        <v>0</v>
      </c>
      <c r="I153" s="253">
        <v>18.493734420766422</v>
      </c>
      <c r="K153" s="253">
        <f t="shared" ref="K153:K159" si="12">C153+E153-G153-I153</f>
        <v>0</v>
      </c>
      <c r="L153" s="25"/>
    </row>
    <row r="154" spans="2:19" x14ac:dyDescent="0.2">
      <c r="B154" s="205" t="s">
        <v>548</v>
      </c>
      <c r="C154" s="253">
        <f>AE118</f>
        <v>0</v>
      </c>
      <c r="E154" s="253">
        <v>584.3657277440451</v>
      </c>
      <c r="G154" s="253">
        <f t="shared" si="10"/>
        <v>0</v>
      </c>
      <c r="I154" s="253">
        <v>584.3657277440451</v>
      </c>
      <c r="K154" s="253">
        <f t="shared" si="12"/>
        <v>0</v>
      </c>
    </row>
    <row r="155" spans="2:19" x14ac:dyDescent="0.2">
      <c r="B155" s="207" t="s">
        <v>543</v>
      </c>
      <c r="C155" s="253">
        <f>AF118</f>
        <v>0</v>
      </c>
      <c r="E155" s="253">
        <v>69.582675758133661</v>
      </c>
      <c r="G155" s="253">
        <f t="shared" si="10"/>
        <v>59.145274394413612</v>
      </c>
      <c r="I155" s="253">
        <v>10.437401363720047</v>
      </c>
      <c r="K155" s="253">
        <f t="shared" si="12"/>
        <v>0</v>
      </c>
    </row>
    <row r="156" spans="2:19" x14ac:dyDescent="0.2">
      <c r="B156" s="207" t="s">
        <v>573</v>
      </c>
      <c r="C156" s="253">
        <f>AG118</f>
        <v>0</v>
      </c>
      <c r="E156" s="253">
        <v>1309.8157778632656</v>
      </c>
      <c r="G156" s="253">
        <f t="shared" si="10"/>
        <v>1309.8157778632656</v>
      </c>
      <c r="I156" s="253">
        <v>0</v>
      </c>
      <c r="K156" s="253">
        <f t="shared" si="12"/>
        <v>0</v>
      </c>
      <c r="P156" s="246"/>
      <c r="Q156" s="246"/>
      <c r="R156" s="246"/>
      <c r="S156" s="246"/>
    </row>
    <row r="157" spans="2:19" x14ac:dyDescent="0.2">
      <c r="B157" s="207" t="s">
        <v>574</v>
      </c>
      <c r="C157" s="253">
        <f>AH118</f>
        <v>0</v>
      </c>
      <c r="E157" s="253">
        <v>616.23583583508366</v>
      </c>
      <c r="G157" s="253">
        <f t="shared" si="10"/>
        <v>0</v>
      </c>
      <c r="I157" s="253">
        <v>616.23583583508366</v>
      </c>
      <c r="K157" s="253">
        <f t="shared" si="12"/>
        <v>0</v>
      </c>
    </row>
    <row r="158" spans="2:19" x14ac:dyDescent="0.2">
      <c r="B158" s="207" t="s">
        <v>575</v>
      </c>
      <c r="C158" s="253">
        <f>AI118</f>
        <v>0</v>
      </c>
      <c r="E158" s="253">
        <v>3432.8541806261665</v>
      </c>
      <c r="G158" s="253">
        <f t="shared" si="10"/>
        <v>0</v>
      </c>
      <c r="I158" s="253">
        <v>3432.8541806261665</v>
      </c>
      <c r="K158" s="253">
        <f t="shared" si="12"/>
        <v>0</v>
      </c>
    </row>
    <row r="159" spans="2:19" x14ac:dyDescent="0.2">
      <c r="B159" s="207" t="s">
        <v>586</v>
      </c>
      <c r="C159" s="253">
        <f>AJ118</f>
        <v>0</v>
      </c>
      <c r="E159" s="253">
        <v>229.94813284002646</v>
      </c>
      <c r="G159" s="253">
        <f t="shared" si="10"/>
        <v>0</v>
      </c>
      <c r="I159" s="253">
        <v>229.94813284002646</v>
      </c>
      <c r="K159" s="253">
        <f t="shared" si="12"/>
        <v>0</v>
      </c>
    </row>
    <row r="160" spans="2:19" ht="17" x14ac:dyDescent="0.2">
      <c r="B160" s="207"/>
      <c r="C160" s="3" t="s">
        <v>480</v>
      </c>
      <c r="E160" s="3" t="s">
        <v>482</v>
      </c>
      <c r="G160" s="25" t="s">
        <v>479</v>
      </c>
      <c r="I160" s="25" t="s">
        <v>39</v>
      </c>
      <c r="K160" s="25">
        <f>SUM(K126:K159)</f>
        <v>0</v>
      </c>
    </row>
    <row r="161" spans="2:15" x14ac:dyDescent="0.2">
      <c r="B161" s="207"/>
      <c r="G161" s="25"/>
      <c r="I161" s="25"/>
    </row>
    <row r="162" spans="2:15" x14ac:dyDescent="0.2">
      <c r="B162" s="207"/>
    </row>
    <row r="163" spans="2:15" x14ac:dyDescent="0.2">
      <c r="C163" s="347" t="s">
        <v>485</v>
      </c>
      <c r="D163" s="347"/>
      <c r="E163" s="347"/>
      <c r="F163" s="347"/>
      <c r="G163" s="347"/>
      <c r="L163" s="246"/>
      <c r="M163" s="246"/>
    </row>
    <row r="166" spans="2:15" x14ac:dyDescent="0.2">
      <c r="B166" s="205" t="s">
        <v>418</v>
      </c>
      <c r="C166" s="253">
        <f>AP77</f>
        <v>1043.6876723039813</v>
      </c>
      <c r="E166" s="253">
        <f>AK80</f>
        <v>1043.6876723039813</v>
      </c>
      <c r="G166" s="253">
        <f>C166-E166</f>
        <v>0</v>
      </c>
    </row>
    <row r="167" spans="2:15" x14ac:dyDescent="0.2">
      <c r="B167" s="205" t="s">
        <v>419</v>
      </c>
      <c r="C167" s="253">
        <f>AQ77</f>
        <v>208.65136460942125</v>
      </c>
      <c r="E167" s="253">
        <f t="shared" ref="E167:E179" si="13">AK81</f>
        <v>208.65136460942125</v>
      </c>
      <c r="G167" s="253">
        <f t="shared" ref="G167:G179" si="14">C167-E167</f>
        <v>0</v>
      </c>
      <c r="N167" s="246"/>
      <c r="O167" s="246"/>
    </row>
    <row r="168" spans="2:15" x14ac:dyDescent="0.2">
      <c r="B168" s="205" t="s">
        <v>420</v>
      </c>
      <c r="C168" s="253">
        <f>AR77</f>
        <v>294.47651184131928</v>
      </c>
      <c r="E168" s="253">
        <f t="shared" si="13"/>
        <v>294.47651184131928</v>
      </c>
      <c r="G168" s="253">
        <f t="shared" si="14"/>
        <v>0</v>
      </c>
    </row>
    <row r="169" spans="2:15" x14ac:dyDescent="0.2">
      <c r="B169" s="205" t="s">
        <v>584</v>
      </c>
      <c r="C169" s="253">
        <f>AS77</f>
        <v>1011.7674660019052</v>
      </c>
      <c r="D169" s="255"/>
      <c r="E169" s="253">
        <f t="shared" si="13"/>
        <v>1011.7674660019052</v>
      </c>
      <c r="F169" s="255"/>
      <c r="G169" s="253">
        <f t="shared" si="14"/>
        <v>0</v>
      </c>
    </row>
    <row r="170" spans="2:15" x14ac:dyDescent="0.2">
      <c r="B170" s="205" t="s">
        <v>563</v>
      </c>
      <c r="C170" s="253">
        <f>AT77</f>
        <v>208.55560337725498</v>
      </c>
      <c r="E170" s="253">
        <f t="shared" si="13"/>
        <v>208.55560337725498</v>
      </c>
      <c r="G170" s="253">
        <f t="shared" si="14"/>
        <v>0</v>
      </c>
      <c r="H170" s="246"/>
      <c r="I170" s="246"/>
      <c r="J170" s="246"/>
      <c r="K170" s="246"/>
    </row>
    <row r="171" spans="2:15" x14ac:dyDescent="0.2">
      <c r="B171" s="205" t="s">
        <v>562</v>
      </c>
      <c r="C171" s="253">
        <f>AU77</f>
        <v>286.88405520213911</v>
      </c>
      <c r="E171" s="253">
        <f t="shared" si="13"/>
        <v>286.88405520213911</v>
      </c>
      <c r="G171" s="253">
        <f t="shared" si="14"/>
        <v>0</v>
      </c>
    </row>
    <row r="172" spans="2:15" x14ac:dyDescent="0.2">
      <c r="B172" s="205" t="s">
        <v>447</v>
      </c>
      <c r="C172" s="253">
        <f>AV77</f>
        <v>1011.7674660019052</v>
      </c>
      <c r="E172" s="253">
        <f t="shared" si="13"/>
        <v>1011.7674660019052</v>
      </c>
      <c r="G172" s="253">
        <f t="shared" si="14"/>
        <v>0</v>
      </c>
    </row>
    <row r="173" spans="2:15" x14ac:dyDescent="0.2">
      <c r="B173" s="205" t="s">
        <v>444</v>
      </c>
      <c r="C173" s="253">
        <f>AW77</f>
        <v>208.55560337725498</v>
      </c>
      <c r="D173" s="172" t="s">
        <v>488</v>
      </c>
      <c r="E173" s="253">
        <f t="shared" si="13"/>
        <v>208.55560337725498</v>
      </c>
      <c r="F173" s="172" t="s">
        <v>484</v>
      </c>
      <c r="G173" s="253">
        <f t="shared" si="14"/>
        <v>0</v>
      </c>
    </row>
    <row r="174" spans="2:15" x14ac:dyDescent="0.2">
      <c r="B174" s="205" t="s">
        <v>466</v>
      </c>
      <c r="C174" s="253">
        <f>AX77</f>
        <v>286.88405520213911</v>
      </c>
      <c r="E174" s="253">
        <f t="shared" si="13"/>
        <v>286.88405520213911</v>
      </c>
      <c r="G174" s="253">
        <f t="shared" si="14"/>
        <v>0</v>
      </c>
    </row>
    <row r="175" spans="2:15" x14ac:dyDescent="0.2">
      <c r="B175" s="205" t="s">
        <v>445</v>
      </c>
      <c r="C175" s="253">
        <f>AY77</f>
        <v>21294.621261589698</v>
      </c>
      <c r="E175" s="253">
        <f t="shared" si="13"/>
        <v>21294.621261589698</v>
      </c>
      <c r="G175" s="253">
        <f t="shared" si="14"/>
        <v>0</v>
      </c>
    </row>
    <row r="176" spans="2:15" x14ac:dyDescent="0.2">
      <c r="B176" s="205" t="s">
        <v>440</v>
      </c>
      <c r="C176" s="253">
        <f>AZ77</f>
        <v>871.24978294618404</v>
      </c>
      <c r="E176" s="253">
        <f t="shared" si="13"/>
        <v>871.24978294618427</v>
      </c>
      <c r="G176" s="253">
        <f t="shared" si="14"/>
        <v>0</v>
      </c>
    </row>
    <row r="177" spans="2:11" x14ac:dyDescent="0.2">
      <c r="B177" s="205" t="s">
        <v>462</v>
      </c>
      <c r="C177" s="253">
        <f>BA77</f>
        <v>69.582675758133661</v>
      </c>
      <c r="E177" s="253">
        <f t="shared" si="13"/>
        <v>69.582675758133661</v>
      </c>
      <c r="G177" s="253">
        <f t="shared" si="14"/>
        <v>0</v>
      </c>
    </row>
    <row r="178" spans="2:11" x14ac:dyDescent="0.2">
      <c r="B178" s="205" t="s">
        <v>81</v>
      </c>
      <c r="C178" s="253">
        <f>BB77</f>
        <v>1309.8157778632656</v>
      </c>
      <c r="E178" s="253">
        <f t="shared" si="13"/>
        <v>1309.8157778632656</v>
      </c>
      <c r="G178" s="253">
        <f t="shared" si="14"/>
        <v>0</v>
      </c>
    </row>
    <row r="179" spans="2:11" x14ac:dyDescent="0.2">
      <c r="B179" s="205" t="s">
        <v>430</v>
      </c>
      <c r="C179" s="253">
        <f>BC77</f>
        <v>4279.0381493012774</v>
      </c>
      <c r="D179" s="172"/>
      <c r="E179" s="253">
        <f t="shared" si="13"/>
        <v>4279.0381493012765</v>
      </c>
      <c r="G179" s="253">
        <f t="shared" si="14"/>
        <v>0</v>
      </c>
    </row>
    <row r="180" spans="2:11" x14ac:dyDescent="0.2">
      <c r="B180" s="207"/>
      <c r="C180" s="172" t="s">
        <v>478</v>
      </c>
      <c r="D180" s="172"/>
      <c r="E180" s="172" t="s">
        <v>475</v>
      </c>
      <c r="F180" s="172"/>
      <c r="G180" s="172">
        <v>0</v>
      </c>
    </row>
    <row r="181" spans="2:11" x14ac:dyDescent="0.2">
      <c r="B181" s="207"/>
    </row>
    <row r="182" spans="2:11" x14ac:dyDescent="0.2">
      <c r="B182" s="207"/>
    </row>
    <row r="187" spans="2:11" x14ac:dyDescent="0.2">
      <c r="H187" s="172"/>
      <c r="I187" s="172"/>
      <c r="J187" s="172"/>
      <c r="K187" s="172"/>
    </row>
  </sheetData>
  <mergeCells count="10">
    <mergeCell ref="C163:G163"/>
    <mergeCell ref="C123:P123"/>
    <mergeCell ref="C117:AJ117"/>
    <mergeCell ref="C119:AJ119"/>
    <mergeCell ref="BI76:BJ76"/>
    <mergeCell ref="AP78:BC78"/>
    <mergeCell ref="C94:AJ94"/>
    <mergeCell ref="C96:AJ96"/>
    <mergeCell ref="C78:D78"/>
    <mergeCell ref="AP76:BC76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0098A-FE70-C14D-930B-DF2EDED58DAC}">
  <dimension ref="B41:AI92"/>
  <sheetViews>
    <sheetView topLeftCell="A54" zoomScale="137" workbookViewId="0">
      <selection activeCell="B87" sqref="B87:B89"/>
    </sheetView>
  </sheetViews>
  <sheetFormatPr baseColWidth="10" defaultRowHeight="15" x14ac:dyDescent="0.2"/>
  <cols>
    <col min="2" max="2" width="17" bestFit="1" customWidth="1"/>
    <col min="28" max="28" width="16" customWidth="1"/>
  </cols>
  <sheetData>
    <row r="41" spans="10:31" x14ac:dyDescent="0.2">
      <c r="K41" s="208"/>
      <c r="L41" s="208"/>
      <c r="M41" s="208"/>
      <c r="N41" s="208"/>
      <c r="O41" s="208"/>
      <c r="P41" s="208"/>
      <c r="Q41" s="208"/>
      <c r="R41" s="208"/>
      <c r="S41" s="208"/>
      <c r="T41" s="208"/>
      <c r="U41" s="208"/>
      <c r="V41" s="208"/>
      <c r="W41" s="208"/>
      <c r="AC41" s="208"/>
      <c r="AD41" s="208"/>
      <c r="AE41" s="208"/>
    </row>
    <row r="42" spans="10:31" x14ac:dyDescent="0.2">
      <c r="J42" s="205"/>
      <c r="K42" s="224"/>
      <c r="L42" s="224"/>
      <c r="M42" s="224"/>
      <c r="N42" s="224"/>
      <c r="O42" s="224"/>
      <c r="P42" s="224"/>
      <c r="Q42" s="224"/>
      <c r="R42" s="224"/>
      <c r="S42" s="224"/>
      <c r="T42" s="224"/>
      <c r="U42" s="224"/>
      <c r="V42" s="231"/>
      <c r="W42" s="224"/>
      <c r="AB42" s="205"/>
      <c r="AC42" s="209"/>
      <c r="AD42" s="209"/>
      <c r="AE42" s="209"/>
    </row>
    <row r="43" spans="10:31" x14ac:dyDescent="0.2">
      <c r="J43" s="205"/>
      <c r="K43" s="224"/>
      <c r="L43" s="224"/>
      <c r="M43" s="224"/>
      <c r="N43" s="224"/>
      <c r="O43" s="224"/>
      <c r="P43" s="224"/>
      <c r="Q43" s="224"/>
      <c r="R43" s="224"/>
      <c r="S43" s="224"/>
      <c r="T43" s="224"/>
      <c r="U43" s="224"/>
      <c r="V43" s="231"/>
      <c r="W43" s="224"/>
      <c r="AB43" s="205"/>
      <c r="AC43" s="209"/>
      <c r="AD43" s="209"/>
      <c r="AE43" s="209"/>
    </row>
    <row r="44" spans="10:31" x14ac:dyDescent="0.2">
      <c r="J44" s="205"/>
      <c r="K44" s="224"/>
      <c r="L44" s="224"/>
      <c r="M44" s="224"/>
      <c r="N44" s="224"/>
      <c r="O44" s="224"/>
      <c r="P44" s="224"/>
      <c r="Q44" s="224"/>
      <c r="R44" s="224"/>
      <c r="S44" s="224"/>
      <c r="T44" s="224"/>
      <c r="U44" s="224"/>
      <c r="V44" s="231"/>
      <c r="W44" s="224"/>
      <c r="AB44" s="205"/>
      <c r="AC44" s="209"/>
      <c r="AD44" s="209"/>
      <c r="AE44" s="209"/>
    </row>
    <row r="45" spans="10:31" x14ac:dyDescent="0.2">
      <c r="J45" s="205"/>
      <c r="K45" s="224"/>
      <c r="L45" s="224"/>
      <c r="M45" s="224"/>
      <c r="N45" s="224"/>
      <c r="O45" s="224"/>
      <c r="P45" s="224"/>
      <c r="Q45" s="224"/>
      <c r="R45" s="224"/>
      <c r="S45" s="224"/>
      <c r="T45" s="224"/>
      <c r="U45" s="224"/>
      <c r="V45" s="224"/>
      <c r="W45" s="224"/>
      <c r="AB45" s="205"/>
      <c r="AC45" s="209"/>
      <c r="AD45" s="209"/>
      <c r="AE45" s="209"/>
    </row>
    <row r="46" spans="10:31" x14ac:dyDescent="0.2">
      <c r="J46" s="205"/>
      <c r="K46" s="224"/>
      <c r="L46" s="224"/>
      <c r="M46" s="224"/>
      <c r="N46" s="224"/>
      <c r="O46" s="224"/>
      <c r="P46" s="224"/>
      <c r="Q46" s="224"/>
      <c r="R46" s="224"/>
      <c r="S46" s="224"/>
      <c r="T46" s="224"/>
      <c r="U46" s="224"/>
      <c r="V46" s="224"/>
      <c r="W46" s="224"/>
      <c r="AB46" s="205"/>
      <c r="AC46" s="209"/>
      <c r="AD46" s="209"/>
      <c r="AE46" s="209"/>
    </row>
    <row r="47" spans="10:31" x14ac:dyDescent="0.2">
      <c r="J47" s="205"/>
      <c r="K47" s="224"/>
      <c r="L47" s="224"/>
      <c r="M47" s="224"/>
      <c r="N47" s="224"/>
      <c r="O47" s="224"/>
      <c r="P47" s="224"/>
      <c r="Q47" s="224"/>
      <c r="R47" s="224"/>
      <c r="S47" s="224"/>
      <c r="T47" s="224"/>
      <c r="U47" s="224"/>
      <c r="V47" s="224"/>
      <c r="W47" s="224"/>
      <c r="AB47" s="205"/>
      <c r="AC47" s="209"/>
      <c r="AD47" s="230"/>
      <c r="AE47" s="209"/>
    </row>
    <row r="48" spans="10:31" x14ac:dyDescent="0.2">
      <c r="J48" s="205"/>
      <c r="K48" s="224"/>
      <c r="L48" s="224"/>
      <c r="M48" s="224"/>
      <c r="N48" s="224"/>
      <c r="O48" s="224"/>
      <c r="P48" s="231"/>
      <c r="Q48" s="224"/>
      <c r="R48" s="224"/>
      <c r="S48" s="224"/>
      <c r="T48" s="224"/>
      <c r="U48" s="224"/>
      <c r="V48" s="232"/>
      <c r="W48" s="224"/>
      <c r="AB48" s="205"/>
      <c r="AC48" s="209"/>
      <c r="AD48" s="209"/>
      <c r="AE48" s="209"/>
    </row>
    <row r="49" spans="2:35" x14ac:dyDescent="0.2">
      <c r="J49" s="205"/>
      <c r="K49" s="224"/>
      <c r="L49" s="224"/>
      <c r="M49" s="224"/>
      <c r="N49" s="224"/>
      <c r="O49" s="224"/>
      <c r="P49" s="231"/>
      <c r="Q49" s="224"/>
      <c r="R49" s="224"/>
      <c r="S49" s="224"/>
      <c r="T49" s="224"/>
      <c r="U49" s="224"/>
      <c r="V49" s="224"/>
      <c r="W49" s="224"/>
      <c r="AB49" s="205"/>
      <c r="AC49" s="209"/>
      <c r="AD49" s="209"/>
      <c r="AE49" s="209"/>
    </row>
    <row r="50" spans="2:35" x14ac:dyDescent="0.2">
      <c r="J50" s="205"/>
      <c r="K50" s="224"/>
      <c r="L50" s="224"/>
      <c r="M50" s="224"/>
      <c r="N50" s="224"/>
      <c r="O50" s="224"/>
      <c r="P50" s="231"/>
      <c r="Q50" s="224"/>
      <c r="R50" s="224"/>
      <c r="S50" s="224"/>
      <c r="T50" s="224"/>
      <c r="U50" s="224"/>
      <c r="V50" s="224"/>
      <c r="W50" s="224"/>
      <c r="AC50" s="347" t="s">
        <v>423</v>
      </c>
      <c r="AD50" s="347"/>
      <c r="AE50" s="347"/>
    </row>
    <row r="51" spans="2:35" x14ac:dyDescent="0.2">
      <c r="K51" s="224"/>
      <c r="L51" s="224"/>
      <c r="M51" s="224"/>
      <c r="N51" s="224"/>
      <c r="O51" s="224"/>
      <c r="P51" s="224"/>
      <c r="Q51" s="224"/>
      <c r="R51" s="224"/>
      <c r="S51" s="224"/>
      <c r="T51" s="224"/>
      <c r="U51" s="224"/>
      <c r="V51" s="224"/>
      <c r="W51" s="224"/>
    </row>
    <row r="52" spans="2:35" x14ac:dyDescent="0.2">
      <c r="K52" s="224"/>
      <c r="L52" s="224"/>
      <c r="M52" s="224"/>
      <c r="N52" s="224"/>
      <c r="O52" s="224"/>
      <c r="P52" s="224"/>
      <c r="Q52" s="224"/>
      <c r="R52" s="224"/>
      <c r="S52" s="224"/>
      <c r="T52" s="224"/>
      <c r="U52" s="224"/>
      <c r="V52" s="224"/>
      <c r="W52" s="224"/>
    </row>
    <row r="53" spans="2:35" x14ac:dyDescent="0.2">
      <c r="K53" s="347" t="s">
        <v>421</v>
      </c>
      <c r="L53" s="347"/>
      <c r="M53" s="347"/>
      <c r="N53" s="347"/>
      <c r="O53" s="347"/>
      <c r="P53" s="347"/>
      <c r="Q53" s="347"/>
      <c r="R53" s="347"/>
      <c r="S53" s="347"/>
      <c r="T53" s="347"/>
      <c r="U53" s="347"/>
      <c r="V53" s="347"/>
      <c r="W53" s="347"/>
      <c r="AD53" s="25"/>
      <c r="AE53" s="25"/>
      <c r="AF53" s="25"/>
      <c r="AG53" s="25"/>
      <c r="AH53" s="25"/>
      <c r="AI53" s="25"/>
    </row>
    <row r="58" spans="2:35" x14ac:dyDescent="0.2">
      <c r="C58" s="348"/>
      <c r="D58" s="348"/>
      <c r="E58" s="235"/>
      <c r="F58" s="235"/>
      <c r="G58" s="235"/>
      <c r="H58" s="235"/>
    </row>
    <row r="59" spans="2:35" x14ac:dyDescent="0.2">
      <c r="C59" s="210"/>
      <c r="D59" s="210"/>
      <c r="E59" s="211"/>
      <c r="F59" s="211"/>
      <c r="G59" s="211"/>
      <c r="H59" s="211"/>
      <c r="I59" s="233"/>
      <c r="J59" s="233"/>
    </row>
    <row r="60" spans="2:35" x14ac:dyDescent="0.2">
      <c r="B60" s="3"/>
      <c r="C60" s="224"/>
      <c r="D60" s="224"/>
      <c r="E60" s="224"/>
      <c r="F60" s="224"/>
      <c r="G60" s="224"/>
      <c r="H60" s="224"/>
      <c r="I60" s="224"/>
      <c r="J60" s="224"/>
    </row>
    <row r="61" spans="2:35" x14ac:dyDescent="0.2">
      <c r="B61" s="3"/>
      <c r="C61" s="224"/>
      <c r="D61" s="224"/>
      <c r="E61" s="224"/>
      <c r="F61" s="224"/>
      <c r="G61" s="224"/>
      <c r="H61" s="224"/>
      <c r="I61" s="224"/>
      <c r="J61" s="224"/>
    </row>
    <row r="62" spans="2:35" x14ac:dyDescent="0.2">
      <c r="B62" s="3"/>
      <c r="C62" s="224"/>
      <c r="D62" s="224"/>
      <c r="E62" s="224"/>
      <c r="F62" s="224"/>
      <c r="G62" s="224"/>
      <c r="H62" s="224"/>
      <c r="I62" s="224"/>
      <c r="J62" s="224"/>
    </row>
    <row r="63" spans="2:35" x14ac:dyDescent="0.2">
      <c r="B63" s="3"/>
      <c r="C63" s="224"/>
      <c r="D63" s="224"/>
      <c r="E63" s="224"/>
      <c r="F63" s="224"/>
      <c r="G63" s="224"/>
      <c r="H63" s="224"/>
      <c r="I63" s="224"/>
      <c r="J63" s="224"/>
    </row>
    <row r="64" spans="2:35" x14ac:dyDescent="0.2">
      <c r="B64" s="3"/>
      <c r="C64" s="224"/>
      <c r="D64" s="224"/>
      <c r="E64" s="224"/>
      <c r="F64" s="224"/>
      <c r="G64" s="224"/>
      <c r="H64" s="224"/>
      <c r="I64" s="224"/>
      <c r="J64" s="224"/>
    </row>
    <row r="65" spans="2:10" x14ac:dyDescent="0.2">
      <c r="B65" s="3"/>
      <c r="C65" s="224"/>
      <c r="D65" s="224"/>
      <c r="E65" s="224"/>
      <c r="F65" s="224"/>
      <c r="G65" s="224"/>
      <c r="H65" s="224"/>
      <c r="I65" s="224"/>
      <c r="J65" s="224"/>
    </row>
    <row r="66" spans="2:10" x14ac:dyDescent="0.2">
      <c r="B66" s="3"/>
      <c r="C66" s="224"/>
      <c r="D66" s="224"/>
      <c r="E66" s="224"/>
      <c r="F66" s="224"/>
      <c r="G66" s="224"/>
      <c r="H66" s="224"/>
      <c r="I66" s="224"/>
      <c r="J66" s="224"/>
    </row>
    <row r="67" spans="2:10" x14ac:dyDescent="0.2">
      <c r="B67" s="3"/>
      <c r="C67" s="224"/>
      <c r="D67" s="224"/>
      <c r="E67" s="224"/>
      <c r="F67" s="224"/>
      <c r="G67" s="224"/>
      <c r="H67" s="232"/>
      <c r="I67" s="224"/>
      <c r="J67" s="224"/>
    </row>
    <row r="68" spans="2:10" x14ac:dyDescent="0.2">
      <c r="B68" s="3"/>
      <c r="C68" s="224"/>
      <c r="D68" s="224"/>
      <c r="E68" s="224"/>
      <c r="F68" s="224"/>
      <c r="G68" s="224"/>
      <c r="H68" s="224"/>
      <c r="I68" s="224"/>
      <c r="J68" s="224"/>
    </row>
    <row r="69" spans="2:10" x14ac:dyDescent="0.2">
      <c r="B69" s="3"/>
      <c r="C69" s="224"/>
      <c r="D69" s="224"/>
      <c r="E69" s="224"/>
      <c r="F69" s="224"/>
      <c r="G69" s="224"/>
      <c r="H69" s="224"/>
      <c r="I69" s="224"/>
      <c r="J69" s="224"/>
    </row>
    <row r="70" spans="2:10" x14ac:dyDescent="0.2">
      <c r="B70" s="3"/>
      <c r="C70" s="224"/>
      <c r="D70" s="224"/>
      <c r="E70" s="224"/>
      <c r="F70" s="224"/>
      <c r="G70" s="224"/>
      <c r="H70" s="224"/>
      <c r="I70" s="224"/>
      <c r="J70" s="224"/>
    </row>
    <row r="71" spans="2:10" x14ac:dyDescent="0.2">
      <c r="B71" s="3"/>
      <c r="C71" s="224"/>
      <c r="D71" s="224"/>
      <c r="E71" s="224"/>
      <c r="F71" s="224"/>
      <c r="G71" s="224"/>
      <c r="H71" s="232"/>
      <c r="I71" s="224"/>
      <c r="J71" s="224"/>
    </row>
    <row r="72" spans="2:10" x14ac:dyDescent="0.2">
      <c r="B72" s="3"/>
      <c r="C72" s="224"/>
      <c r="D72" s="224"/>
      <c r="E72" s="224"/>
      <c r="F72" s="224"/>
      <c r="G72" s="224"/>
      <c r="H72" s="224"/>
      <c r="I72" s="224"/>
      <c r="J72" s="224"/>
    </row>
    <row r="73" spans="2:10" x14ac:dyDescent="0.2">
      <c r="C73" s="347" t="s">
        <v>422</v>
      </c>
      <c r="D73" s="347"/>
      <c r="E73" s="347"/>
      <c r="F73" s="347"/>
      <c r="G73" s="347"/>
      <c r="H73" s="347"/>
      <c r="I73" s="347"/>
      <c r="J73" s="347"/>
    </row>
    <row r="86" spans="2:7" x14ac:dyDescent="0.2">
      <c r="C86" s="208"/>
      <c r="D86" s="208"/>
      <c r="E86" s="208"/>
      <c r="F86" s="208"/>
      <c r="G86" s="208"/>
    </row>
    <row r="87" spans="2:7" x14ac:dyDescent="0.2">
      <c r="B87" s="205" t="s">
        <v>279</v>
      </c>
      <c r="C87" s="209"/>
      <c r="D87" s="209"/>
      <c r="E87" s="209"/>
      <c r="F87" s="209"/>
      <c r="G87" s="209"/>
    </row>
    <row r="88" spans="2:7" x14ac:dyDescent="0.2">
      <c r="B88" s="205" t="s">
        <v>438</v>
      </c>
      <c r="C88" s="209"/>
      <c r="D88" s="209"/>
      <c r="E88" s="209"/>
      <c r="F88" s="209"/>
      <c r="G88" s="209"/>
    </row>
    <row r="89" spans="2:7" x14ac:dyDescent="0.2">
      <c r="B89" s="205" t="s">
        <v>439</v>
      </c>
      <c r="C89" s="209"/>
      <c r="D89" s="209"/>
      <c r="E89" s="209"/>
      <c r="F89" s="209"/>
      <c r="G89" s="209"/>
    </row>
    <row r="90" spans="2:7" x14ac:dyDescent="0.2">
      <c r="C90" s="209"/>
      <c r="D90" s="209"/>
      <c r="E90" s="209"/>
      <c r="F90" s="230"/>
      <c r="G90" s="209"/>
    </row>
    <row r="91" spans="2:7" x14ac:dyDescent="0.2">
      <c r="C91" s="209"/>
      <c r="D91" s="209"/>
      <c r="E91" s="209"/>
      <c r="F91" s="209"/>
      <c r="G91" s="209"/>
    </row>
    <row r="92" spans="2:7" x14ac:dyDescent="0.2">
      <c r="C92" s="347" t="s">
        <v>57</v>
      </c>
      <c r="D92" s="347"/>
      <c r="E92" s="347"/>
      <c r="F92" s="347"/>
      <c r="G92" s="347"/>
    </row>
  </sheetData>
  <mergeCells count="5">
    <mergeCell ref="AC50:AE50"/>
    <mergeCell ref="K53:W53"/>
    <mergeCell ref="C58:D58"/>
    <mergeCell ref="C73:J73"/>
    <mergeCell ref="C92:G9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9D22B-4910-484C-BB61-BADEEADCD9AD}">
  <sheetPr>
    <pageSetUpPr fitToPage="1"/>
  </sheetPr>
  <dimension ref="B2:V34"/>
  <sheetViews>
    <sheetView topLeftCell="A11" zoomScale="160" workbookViewId="0">
      <selection activeCell="K32" sqref="K32"/>
    </sheetView>
  </sheetViews>
  <sheetFormatPr baseColWidth="10" defaultColWidth="8.83203125" defaultRowHeight="15" x14ac:dyDescent="0.2"/>
  <cols>
    <col min="3" max="4" width="8.83203125" customWidth="1"/>
    <col min="7" max="7" width="11.5" bestFit="1" customWidth="1"/>
  </cols>
  <sheetData>
    <row r="2" spans="2:22" x14ac:dyDescent="0.2">
      <c r="B2" s="3"/>
      <c r="C2" s="3"/>
      <c r="D2" s="288" t="s">
        <v>318</v>
      </c>
      <c r="E2" s="288"/>
      <c r="F2" s="288"/>
      <c r="G2" s="288"/>
      <c r="V2" s="167"/>
    </row>
    <row r="3" spans="2:22" x14ac:dyDescent="0.2">
      <c r="B3" s="3"/>
      <c r="C3" s="3"/>
      <c r="D3" s="359" t="s">
        <v>83</v>
      </c>
      <c r="E3" s="359"/>
      <c r="F3" s="359"/>
      <c r="G3" s="359"/>
      <c r="O3" s="167"/>
      <c r="P3" s="167"/>
      <c r="Q3" s="167"/>
      <c r="R3" s="167"/>
      <c r="S3" s="167"/>
      <c r="T3" s="167"/>
      <c r="U3" s="167"/>
      <c r="V3" s="167"/>
    </row>
    <row r="4" spans="2:22" x14ac:dyDescent="0.2">
      <c r="B4" s="364" t="s">
        <v>4</v>
      </c>
      <c r="C4" s="3"/>
      <c r="D4" s="197" t="s">
        <v>365</v>
      </c>
      <c r="E4" s="197" t="s">
        <v>190</v>
      </c>
      <c r="F4" s="197" t="s">
        <v>177</v>
      </c>
      <c r="G4" s="197" t="s">
        <v>351</v>
      </c>
      <c r="I4" s="3"/>
      <c r="K4" s="3"/>
      <c r="L4" s="3"/>
      <c r="O4" s="167"/>
      <c r="P4" s="167"/>
      <c r="Q4" s="167"/>
      <c r="R4" s="361" t="s">
        <v>356</v>
      </c>
      <c r="S4" s="361"/>
      <c r="T4" s="361"/>
      <c r="U4" s="361"/>
      <c r="V4" s="167"/>
    </row>
    <row r="5" spans="2:22" ht="14.5" customHeight="1" x14ac:dyDescent="0.2">
      <c r="B5" s="364"/>
      <c r="C5" s="148" t="s">
        <v>342</v>
      </c>
      <c r="D5" s="3">
        <f>Bejan_MEROI_Iron</f>
        <v>0.71020207646031153</v>
      </c>
      <c r="E5" s="3">
        <f>Bejan_IronExtraction</f>
        <v>0</v>
      </c>
      <c r="F5" s="3">
        <f>Bejan_IronHauling</f>
        <v>0</v>
      </c>
      <c r="G5" s="3">
        <f>Bejan_IronBeneficiation</f>
        <v>0.10204303400670409</v>
      </c>
      <c r="I5" s="3"/>
      <c r="K5" s="3"/>
      <c r="L5" s="3"/>
      <c r="O5" s="167"/>
      <c r="P5" s="167"/>
      <c r="Q5" s="167"/>
      <c r="R5" s="361"/>
      <c r="S5" s="361"/>
      <c r="T5" s="361"/>
      <c r="U5" s="361"/>
      <c r="V5" s="167"/>
    </row>
    <row r="6" spans="2:22" x14ac:dyDescent="0.2">
      <c r="B6" s="364"/>
      <c r="C6" s="150" t="s">
        <v>343</v>
      </c>
      <c r="D6" s="3">
        <f>Student_MEROI_Iron</f>
        <v>1.2482139892596125</v>
      </c>
      <c r="E6" s="3">
        <f>Student_IronExtraction</f>
        <v>0.56670793822679022</v>
      </c>
      <c r="F6" s="3">
        <f>Student_IronHauling</f>
        <v>0.15191900995389168</v>
      </c>
      <c r="G6" s="3">
        <f>Student_IronBeneficiation</f>
        <v>0.9084965360427989</v>
      </c>
      <c r="I6" s="3"/>
      <c r="K6" s="3"/>
      <c r="L6" s="3"/>
      <c r="O6" s="167"/>
      <c r="P6" s="167"/>
      <c r="Q6" s="167"/>
      <c r="R6" s="361"/>
      <c r="S6" s="361"/>
      <c r="T6" s="361"/>
      <c r="U6" s="361"/>
      <c r="V6" s="167"/>
    </row>
    <row r="7" spans="2:22" ht="16" thickBot="1" x14ac:dyDescent="0.25">
      <c r="B7" s="364"/>
      <c r="C7" s="149" t="s">
        <v>409</v>
      </c>
      <c r="D7" s="166">
        <f>Product_MEROI_Iron</f>
        <v>1.0480771193974399</v>
      </c>
      <c r="E7" s="3">
        <f>Product_IronExtraction</f>
        <v>0.46562872171536246</v>
      </c>
      <c r="F7" s="3">
        <f>Product_IronHauling</f>
        <v>0.12756053024900801</v>
      </c>
      <c r="G7" s="3">
        <f>Product_IronBeneficiation</f>
        <v>0.75440225157720575</v>
      </c>
      <c r="I7" s="3"/>
      <c r="K7" s="3"/>
      <c r="L7" s="3"/>
      <c r="O7" s="167"/>
      <c r="P7" s="167"/>
      <c r="Q7" s="167"/>
      <c r="R7" s="362"/>
      <c r="S7" s="362"/>
      <c r="T7" s="362"/>
      <c r="U7" s="362"/>
      <c r="V7" s="167"/>
    </row>
    <row r="8" spans="2:22" x14ac:dyDescent="0.2">
      <c r="C8" s="133" t="s">
        <v>338</v>
      </c>
      <c r="E8" s="17">
        <f>mass_bal_IronExt</f>
        <v>0</v>
      </c>
      <c r="F8" s="17">
        <f>mass_bal_IronHaul</f>
        <v>0</v>
      </c>
      <c r="G8" s="17">
        <f>mass_bal_IronBenef</f>
        <v>0</v>
      </c>
      <c r="H8" s="3"/>
      <c r="I8" s="3"/>
      <c r="L8" s="3"/>
      <c r="M8" s="3"/>
      <c r="O8" s="167"/>
      <c r="P8" s="361" t="s">
        <v>355</v>
      </c>
      <c r="Q8" s="377"/>
      <c r="R8" s="379" t="s">
        <v>342</v>
      </c>
      <c r="S8" s="380"/>
      <c r="T8" s="365" t="s">
        <v>409</v>
      </c>
      <c r="U8" s="366"/>
      <c r="V8" s="167"/>
    </row>
    <row r="9" spans="2:22" x14ac:dyDescent="0.2">
      <c r="E9" s="3"/>
      <c r="F9" s="3"/>
      <c r="G9" s="3"/>
      <c r="H9" s="3"/>
      <c r="I9" s="3"/>
      <c r="L9" s="3"/>
      <c r="M9" s="3"/>
      <c r="O9" s="167"/>
      <c r="P9" s="361"/>
      <c r="Q9" s="377"/>
      <c r="R9" s="381"/>
      <c r="S9" s="382"/>
      <c r="T9" s="367"/>
      <c r="U9" s="368"/>
      <c r="V9" s="167"/>
    </row>
    <row r="10" spans="2:22" x14ac:dyDescent="0.2">
      <c r="L10" s="3"/>
      <c r="M10" s="3"/>
      <c r="O10" s="167"/>
      <c r="P10" s="361"/>
      <c r="Q10" s="377"/>
      <c r="R10" s="381"/>
      <c r="S10" s="382"/>
      <c r="T10" s="367"/>
      <c r="U10" s="368"/>
      <c r="V10" s="167"/>
    </row>
    <row r="11" spans="2:22" x14ac:dyDescent="0.2">
      <c r="B11" s="3"/>
      <c r="C11" s="3"/>
      <c r="D11" s="288" t="s">
        <v>318</v>
      </c>
      <c r="E11" s="288"/>
      <c r="F11" s="288"/>
      <c r="G11" s="288"/>
      <c r="H11" s="288"/>
      <c r="L11" s="3"/>
      <c r="M11" s="3"/>
      <c r="O11" s="167"/>
      <c r="P11" s="361"/>
      <c r="Q11" s="377"/>
      <c r="R11" s="381"/>
      <c r="S11" s="382"/>
      <c r="T11" s="367"/>
      <c r="U11" s="368"/>
      <c r="V11" s="167"/>
    </row>
    <row r="12" spans="2:22" x14ac:dyDescent="0.2">
      <c r="B12" s="3"/>
      <c r="C12" s="3"/>
      <c r="D12" s="359" t="s">
        <v>83</v>
      </c>
      <c r="E12" s="359"/>
      <c r="F12" s="359"/>
      <c r="G12" s="359"/>
      <c r="H12" s="359"/>
      <c r="L12" s="3"/>
      <c r="M12" s="3"/>
      <c r="O12" s="167"/>
      <c r="P12" s="378" t="s">
        <v>408</v>
      </c>
      <c r="Q12" s="377"/>
      <c r="R12" s="373" t="s">
        <v>317</v>
      </c>
      <c r="S12" s="374"/>
      <c r="T12" s="369" t="s">
        <v>343</v>
      </c>
      <c r="U12" s="370"/>
      <c r="V12" s="167"/>
    </row>
    <row r="13" spans="2:22" ht="14.5" customHeight="1" x14ac:dyDescent="0.2">
      <c r="B13" s="363" t="s">
        <v>20</v>
      </c>
      <c r="C13" s="3"/>
      <c r="D13" s="198" t="s">
        <v>365</v>
      </c>
      <c r="E13" s="198" t="s">
        <v>190</v>
      </c>
      <c r="F13" s="198" t="s">
        <v>177</v>
      </c>
      <c r="G13" s="198" t="s">
        <v>351</v>
      </c>
      <c r="H13" s="198" t="s">
        <v>352</v>
      </c>
      <c r="J13" s="3"/>
      <c r="L13" s="3"/>
      <c r="M13" s="3"/>
      <c r="O13" s="167"/>
      <c r="P13" s="361"/>
      <c r="Q13" s="377"/>
      <c r="R13" s="373"/>
      <c r="S13" s="374"/>
      <c r="T13" s="369"/>
      <c r="U13" s="370"/>
      <c r="V13" s="167"/>
    </row>
    <row r="14" spans="2:22" x14ac:dyDescent="0.2">
      <c r="B14" s="363"/>
      <c r="C14" s="148" t="s">
        <v>342</v>
      </c>
      <c r="D14" s="3">
        <f>Bejan_MEROI_Limestone</f>
        <v>20716.65209277975</v>
      </c>
      <c r="E14" s="3">
        <f>Bejan_LimeExtraction</f>
        <v>0</v>
      </c>
      <c r="F14" s="3">
        <f>Bejan_LimeHauling</f>
        <v>0</v>
      </c>
      <c r="G14" s="3">
        <f>Bejan_LimeBeneficiation</f>
        <v>0</v>
      </c>
      <c r="H14" s="3" t="s">
        <v>99</v>
      </c>
      <c r="J14" s="3"/>
      <c r="L14" s="3"/>
      <c r="M14" s="3"/>
      <c r="O14" s="167"/>
      <c r="P14" s="361"/>
      <c r="Q14" s="377"/>
      <c r="R14" s="373"/>
      <c r="S14" s="374"/>
      <c r="T14" s="369"/>
      <c r="U14" s="370"/>
      <c r="V14" s="167"/>
    </row>
    <row r="15" spans="2:22" ht="16" thickBot="1" x14ac:dyDescent="0.25">
      <c r="B15" s="363"/>
      <c r="C15" s="150" t="s">
        <v>343</v>
      </c>
      <c r="D15" s="3">
        <f>Student_MEROI_Limestone</f>
        <v>25394.240916408646</v>
      </c>
      <c r="E15" s="3">
        <f>Student_LimeExtraction</f>
        <v>0.98995098054731168</v>
      </c>
      <c r="F15" s="3">
        <f>Student__LimeHauling</f>
        <v>0.89989464623142024</v>
      </c>
      <c r="G15" s="3">
        <f>Student_LimeBeneficiation</f>
        <v>0.99885105550639652</v>
      </c>
      <c r="H15" s="3">
        <f>Student_Kiln</f>
        <v>0.98847663255948648</v>
      </c>
      <c r="J15" s="3"/>
      <c r="L15" s="3"/>
      <c r="M15" s="3"/>
      <c r="O15" s="167"/>
      <c r="P15" s="361"/>
      <c r="Q15" s="377"/>
      <c r="R15" s="375"/>
      <c r="S15" s="376"/>
      <c r="T15" s="371"/>
      <c r="U15" s="372"/>
      <c r="V15" s="167"/>
    </row>
    <row r="16" spans="2:22" x14ac:dyDescent="0.2">
      <c r="B16" s="363"/>
      <c r="C16" s="149" t="s">
        <v>409</v>
      </c>
      <c r="D16" s="166">
        <f>Product_MEROI_Limestone</f>
        <v>22010.978428607345</v>
      </c>
      <c r="E16" s="3">
        <f>Product_LimeExtraction</f>
        <v>0.85781780627735493</v>
      </c>
      <c r="F16" s="3">
        <f>Product_LimeHauling</f>
        <v>0.78000211588999502</v>
      </c>
      <c r="G16" s="3">
        <f>Product_LimeBeneficiation</f>
        <v>0.86577461041321313</v>
      </c>
      <c r="H16" s="3">
        <f>Product_Kiln</f>
        <v>2.2442181938382317E-4</v>
      </c>
      <c r="J16" s="3"/>
      <c r="L16" s="3"/>
      <c r="M16" s="3"/>
      <c r="O16" s="167"/>
      <c r="P16" s="167"/>
      <c r="Q16" s="167"/>
      <c r="R16" s="167"/>
      <c r="S16" s="167"/>
      <c r="T16" s="167"/>
      <c r="U16" s="167"/>
      <c r="V16" s="167"/>
    </row>
    <row r="17" spans="2:13" x14ac:dyDescent="0.2">
      <c r="C17" s="133" t="s">
        <v>338</v>
      </c>
      <c r="E17" s="17">
        <f>mass_bal_LimeExt</f>
        <v>0</v>
      </c>
      <c r="F17" s="17">
        <f>mass_bal_LimeHaul</f>
        <v>0</v>
      </c>
      <c r="G17" s="17">
        <f>mass_bal_LimeBenef</f>
        <v>0</v>
      </c>
      <c r="H17" s="17">
        <f>mass_bal_kiln</f>
        <v>0</v>
      </c>
      <c r="I17" s="3"/>
      <c r="J17" s="3"/>
      <c r="L17" s="3"/>
      <c r="M17" s="3"/>
    </row>
    <row r="18" spans="2:13" x14ac:dyDescent="0.2">
      <c r="L18" s="3"/>
      <c r="M18" s="3"/>
    </row>
    <row r="19" spans="2:13" x14ac:dyDescent="0.2">
      <c r="B19" s="3"/>
      <c r="C19" s="3"/>
      <c r="D19" s="288" t="s">
        <v>318</v>
      </c>
      <c r="E19" s="288"/>
      <c r="F19" s="288"/>
      <c r="G19" s="288"/>
      <c r="L19" s="3"/>
      <c r="M19" s="3"/>
    </row>
    <row r="20" spans="2:13" x14ac:dyDescent="0.2">
      <c r="B20" s="3"/>
      <c r="C20" s="3"/>
      <c r="D20" s="359" t="s">
        <v>83</v>
      </c>
      <c r="E20" s="359"/>
      <c r="F20" s="359"/>
      <c r="G20" s="359"/>
      <c r="K20" s="3"/>
      <c r="L20" s="3"/>
    </row>
    <row r="21" spans="2:13" x14ac:dyDescent="0.2">
      <c r="B21" s="360" t="s">
        <v>354</v>
      </c>
      <c r="C21" s="3"/>
      <c r="D21" s="157" t="s">
        <v>365</v>
      </c>
      <c r="E21" s="157" t="s">
        <v>190</v>
      </c>
      <c r="F21" s="157" t="s">
        <v>177</v>
      </c>
      <c r="G21" s="157" t="s">
        <v>380</v>
      </c>
      <c r="I21" s="3"/>
      <c r="K21" s="3"/>
      <c r="L21" s="3"/>
    </row>
    <row r="22" spans="2:13" x14ac:dyDescent="0.2">
      <c r="B22" s="360"/>
      <c r="C22" s="148" t="s">
        <v>342</v>
      </c>
      <c r="D22" s="3">
        <f>Bejan_MEROI_Coal</f>
        <v>112.97498946045621</v>
      </c>
      <c r="E22" s="3">
        <f>Bejan_CoalExtraction</f>
        <v>0</v>
      </c>
      <c r="F22" s="3">
        <f>Bejan_CoalHauling</f>
        <v>0</v>
      </c>
      <c r="G22" s="3" t="str">
        <f>Bejan_CokeBeneficiation</f>
        <v>[-]</v>
      </c>
      <c r="I22" s="3"/>
      <c r="K22" s="3"/>
      <c r="L22" s="3"/>
    </row>
    <row r="23" spans="2:13" x14ac:dyDescent="0.2">
      <c r="B23" s="360"/>
      <c r="C23" s="150" t="s">
        <v>343</v>
      </c>
      <c r="D23" s="3">
        <f>Student_MEROI_Coal</f>
        <v>112.92932406235479</v>
      </c>
      <c r="E23" s="3">
        <f>Student_CoalExtraction</f>
        <v>0.98895425221527189</v>
      </c>
      <c r="F23" s="3">
        <f>Student_CoalHauling</f>
        <v>0.9820072683820037</v>
      </c>
      <c r="G23" s="3">
        <f>Student_CokeBeneficiation</f>
        <v>1.2153716768418652</v>
      </c>
      <c r="I23" s="3"/>
      <c r="K23" s="3"/>
      <c r="L23" s="3"/>
    </row>
    <row r="24" spans="2:13" x14ac:dyDescent="0.2">
      <c r="B24" s="360"/>
      <c r="C24" s="149" t="s">
        <v>409</v>
      </c>
      <c r="D24" s="166">
        <f>Product_MEROI_Coal</f>
        <v>112.97501431215093</v>
      </c>
      <c r="E24" s="3">
        <f>Product_CoalExtraction</f>
        <v>0.98928990872916378</v>
      </c>
      <c r="F24" s="3">
        <f>Product_CoalHauling</f>
        <v>0.98240458022077126</v>
      </c>
      <c r="G24" s="3">
        <f>Product_CokeBeneficiation</f>
        <v>0.6457153264722536</v>
      </c>
      <c r="I24" s="3"/>
    </row>
    <row r="25" spans="2:13" x14ac:dyDescent="0.2">
      <c r="C25" s="133" t="s">
        <v>338</v>
      </c>
      <c r="E25" s="17">
        <f>mass_bal_CoalExt</f>
        <v>0</v>
      </c>
      <c r="F25" s="17">
        <f>mass_bal_CoalHaul</f>
        <v>0</v>
      </c>
      <c r="G25" s="17">
        <f>mass_bal_CokeOven</f>
        <v>0</v>
      </c>
      <c r="H25" s="3"/>
      <c r="I25" s="3"/>
    </row>
    <row r="30" spans="2:13" x14ac:dyDescent="0.2">
      <c r="B30" s="358" t="s">
        <v>405</v>
      </c>
      <c r="D30" s="196" t="s">
        <v>81</v>
      </c>
      <c r="E30" s="196" t="s">
        <v>353</v>
      </c>
    </row>
    <row r="31" spans="2:13" x14ac:dyDescent="0.2">
      <c r="B31" s="358"/>
      <c r="C31" s="148" t="s">
        <v>342</v>
      </c>
      <c r="D31" s="3" t="s">
        <v>99</v>
      </c>
      <c r="E31" s="3" t="str">
        <f>Bejan_BF</f>
        <v>[-]</v>
      </c>
    </row>
    <row r="32" spans="2:13" x14ac:dyDescent="0.2">
      <c r="B32" s="358"/>
      <c r="C32" s="150" t="s">
        <v>343</v>
      </c>
      <c r="D32" s="3">
        <f>Student_mixer</f>
        <v>0.99300939590335358</v>
      </c>
      <c r="E32" s="3">
        <f>Student_BF</f>
        <v>0.33038859066202669</v>
      </c>
    </row>
    <row r="33" spans="2:5" x14ac:dyDescent="0.2">
      <c r="B33" s="358"/>
      <c r="C33" s="149" t="s">
        <v>409</v>
      </c>
      <c r="D33" s="3">
        <f>Product_Mixer</f>
        <v>1.0717776463170951E-2</v>
      </c>
      <c r="E33" s="3">
        <f>Product_BF</f>
        <v>0.29488597008746631</v>
      </c>
    </row>
    <row r="34" spans="2:5" x14ac:dyDescent="0.2">
      <c r="C34" s="133" t="s">
        <v>338</v>
      </c>
      <c r="D34" s="3">
        <f>mass_bal_Mixer</f>
        <v>0</v>
      </c>
      <c r="E34" s="3">
        <f>mass_bal_BF</f>
        <v>0</v>
      </c>
    </row>
  </sheetData>
  <mergeCells count="18">
    <mergeCell ref="R4:S7"/>
    <mergeCell ref="T4:U7"/>
    <mergeCell ref="B13:B16"/>
    <mergeCell ref="B4:B7"/>
    <mergeCell ref="T8:U11"/>
    <mergeCell ref="T12:U15"/>
    <mergeCell ref="R12:S15"/>
    <mergeCell ref="P8:Q11"/>
    <mergeCell ref="P12:Q15"/>
    <mergeCell ref="R8:S11"/>
    <mergeCell ref="B30:B33"/>
    <mergeCell ref="D2:G2"/>
    <mergeCell ref="D3:G3"/>
    <mergeCell ref="D11:H11"/>
    <mergeCell ref="D12:H12"/>
    <mergeCell ref="D19:G19"/>
    <mergeCell ref="D20:G20"/>
    <mergeCell ref="B21:B24"/>
  </mergeCells>
  <pageMargins left="0.7" right="0.7" top="0.75" bottom="0.75" header="0.3" footer="0.3"/>
  <pageSetup paperSize="9" scale="62" orientation="landscape" horizontalDpi="0" verticalDpi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57275-1FCB-463F-85AC-3003E260E773}">
  <dimension ref="C3:T32"/>
  <sheetViews>
    <sheetView workbookViewId="0">
      <selection activeCell="T6" sqref="T6"/>
    </sheetView>
  </sheetViews>
  <sheetFormatPr baseColWidth="10" defaultColWidth="8.83203125" defaultRowHeight="15" x14ac:dyDescent="0.2"/>
  <cols>
    <col min="1" max="4" width="8.83203125" style="3"/>
    <col min="5" max="5" width="12" style="3" bestFit="1" customWidth="1"/>
    <col min="6" max="6" width="8.83203125" style="3"/>
    <col min="7" max="7" width="12" style="3" bestFit="1" customWidth="1"/>
    <col min="8" max="13" width="8.83203125" style="3"/>
    <col min="14" max="15" width="12.1640625" style="3" bestFit="1" customWidth="1"/>
    <col min="16" max="19" width="8.83203125" style="3"/>
    <col min="20" max="20" width="12.1640625" style="3" bestFit="1" customWidth="1"/>
    <col min="21" max="16384" width="8.83203125" style="3"/>
  </cols>
  <sheetData>
    <row r="3" spans="3:20" ht="17" x14ac:dyDescent="0.25">
      <c r="E3" s="383" t="s">
        <v>357</v>
      </c>
      <c r="F3" s="383"/>
      <c r="G3" s="383"/>
      <c r="H3"/>
      <c r="I3"/>
      <c r="L3" s="347" t="s">
        <v>450</v>
      </c>
      <c r="M3" s="347"/>
      <c r="N3" s="347"/>
      <c r="P3"/>
      <c r="T3" s="172" t="s">
        <v>449</v>
      </c>
    </row>
    <row r="4" spans="3:20" ht="16" thickBot="1" x14ac:dyDescent="0.25">
      <c r="E4" s="359" t="s">
        <v>11</v>
      </c>
      <c r="F4" s="359"/>
      <c r="G4" s="359"/>
      <c r="H4"/>
      <c r="I4"/>
      <c r="L4" s="359" t="s">
        <v>48</v>
      </c>
      <c r="M4" s="359"/>
      <c r="N4" s="359"/>
      <c r="P4"/>
      <c r="T4" s="3" t="s">
        <v>48</v>
      </c>
    </row>
    <row r="5" spans="3:20" ht="14.5" customHeight="1" thickBot="1" x14ac:dyDescent="0.25">
      <c r="C5" s="364" t="s">
        <v>4</v>
      </c>
      <c r="E5" s="153" t="s">
        <v>351</v>
      </c>
      <c r="F5" s="154" t="s">
        <v>81</v>
      </c>
      <c r="G5" s="155" t="s">
        <v>353</v>
      </c>
      <c r="L5" s="197" t="s">
        <v>190</v>
      </c>
      <c r="M5" s="197" t="s">
        <v>177</v>
      </c>
      <c r="N5" s="197" t="s">
        <v>351</v>
      </c>
      <c r="T5" s="229">
        <f>'Ore-&gt;PI'!EJ131+'Ore-&gt;PI'!DP131+'Ore-&gt;PI'!BZ130+'Ore-&gt;PI'!BH130+'Ore-&gt;PI'!AP130+'Ore-&gt;PI'!W130+'Ore-&gt;PI'!W46+'Ore-&gt;PI'!AO46+'Ore-&gt;PI'!BG46+'Ore-&gt;PI'!BZ210+'Ore-&gt;PI'!AP210+'Ore-&gt;PI'!X210+'Ore-&gt;PI'!CS237+'Ore-&gt;PI'!BZ210</f>
        <v>17996297.297084413</v>
      </c>
    </row>
    <row r="6" spans="3:20" x14ac:dyDescent="0.2">
      <c r="C6" s="364"/>
      <c r="D6" s="156" t="s">
        <v>358</v>
      </c>
      <c r="E6" s="3">
        <f>Beneficiation_Iron_waste</f>
        <v>11.767466001905108</v>
      </c>
      <c r="F6" s="3" t="s">
        <v>99</v>
      </c>
      <c r="G6" s="3">
        <f>BF_SolidWaste</f>
        <v>229.94813284002646</v>
      </c>
      <c r="K6" s="226" t="s">
        <v>4</v>
      </c>
      <c r="L6" s="3">
        <f>B_lost_Iron_Ext</f>
        <v>2396.1586162428257</v>
      </c>
      <c r="M6" s="3">
        <f>B_lost_Iron_haul</f>
        <v>0</v>
      </c>
      <c r="N6" s="3">
        <f>B_lost_iron_benef</f>
        <v>21743.416787545681</v>
      </c>
    </row>
    <row r="7" spans="3:20" ht="17" x14ac:dyDescent="0.25">
      <c r="C7" s="364"/>
      <c r="D7" s="156" t="s">
        <v>23</v>
      </c>
      <c r="E7" s="3">
        <f>0</f>
        <v>0</v>
      </c>
      <c r="F7" s="3" t="s">
        <v>99</v>
      </c>
      <c r="G7" s="3">
        <f>BF_CO2Waste</f>
        <v>917.9296863796892</v>
      </c>
    </row>
    <row r="8" spans="3:20" x14ac:dyDescent="0.2">
      <c r="D8" s="3" t="s">
        <v>19</v>
      </c>
      <c r="E8" s="17">
        <f>SUM(E6:E7)</f>
        <v>11.767466001905108</v>
      </c>
      <c r="F8" s="17">
        <f t="shared" ref="F8:G8" si="0">SUM(F6:F7)</f>
        <v>0</v>
      </c>
      <c r="G8" s="17">
        <f t="shared" si="0"/>
        <v>1147.8778192197155</v>
      </c>
    </row>
    <row r="9" spans="3:20" ht="17" x14ac:dyDescent="0.25">
      <c r="L9" s="347" t="s">
        <v>450</v>
      </c>
      <c r="M9" s="347"/>
      <c r="N9" s="347"/>
      <c r="O9" s="347"/>
    </row>
    <row r="10" spans="3:20" x14ac:dyDescent="0.2">
      <c r="E10" s="383" t="s">
        <v>357</v>
      </c>
      <c r="F10" s="383"/>
      <c r="L10" s="359" t="s">
        <v>48</v>
      </c>
      <c r="M10" s="359"/>
      <c r="N10" s="359"/>
      <c r="O10" s="359"/>
    </row>
    <row r="11" spans="3:20" x14ac:dyDescent="0.2">
      <c r="E11" s="359" t="s">
        <v>11</v>
      </c>
      <c r="F11" s="359"/>
      <c r="L11" s="198" t="s">
        <v>190</v>
      </c>
      <c r="M11" s="198" t="s">
        <v>177</v>
      </c>
      <c r="N11" s="198" t="s">
        <v>351</v>
      </c>
      <c r="O11" s="198" t="s">
        <v>352</v>
      </c>
      <c r="P11"/>
    </row>
    <row r="12" spans="3:20" x14ac:dyDescent="0.2">
      <c r="C12" s="363" t="s">
        <v>20</v>
      </c>
      <c r="E12" s="151" t="s">
        <v>351</v>
      </c>
      <c r="F12" s="152" t="s">
        <v>352</v>
      </c>
      <c r="K12" s="227" t="s">
        <v>20</v>
      </c>
      <c r="L12" s="3">
        <f>B_lost_lime_ext</f>
        <v>7.1782646247188149</v>
      </c>
      <c r="M12" s="3">
        <f>B_lost_lime_haul</f>
        <v>0</v>
      </c>
      <c r="N12" s="3">
        <f>B_lost_lime_benef</f>
        <v>0</v>
      </c>
      <c r="O12" s="3">
        <f>B_lost_kiln</f>
        <v>1065729361.2410759</v>
      </c>
      <c r="P12"/>
    </row>
    <row r="13" spans="3:20" ht="14.5" customHeight="1" x14ac:dyDescent="0.2">
      <c r="C13" s="363"/>
      <c r="D13" s="156" t="s">
        <v>358</v>
      </c>
      <c r="E13" s="3" t="s">
        <v>99</v>
      </c>
      <c r="F13" s="3">
        <f>Kiln_SolidWaste</f>
        <v>4.9847525450981189</v>
      </c>
    </row>
    <row r="14" spans="3:20" ht="17" customHeight="1" x14ac:dyDescent="0.25">
      <c r="C14" s="363"/>
      <c r="D14" s="156" t="s">
        <v>23</v>
      </c>
      <c r="E14" s="3" t="s">
        <v>99</v>
      </c>
      <c r="F14" s="3">
        <f>Kiln_CO2Waste</f>
        <v>258.78111600158365</v>
      </c>
      <c r="L14" s="347" t="s">
        <v>450</v>
      </c>
      <c r="M14" s="347"/>
      <c r="N14" s="347"/>
    </row>
    <row r="15" spans="3:20" x14ac:dyDescent="0.2">
      <c r="C15" s="363"/>
      <c r="D15" s="3" t="s">
        <v>19</v>
      </c>
      <c r="E15" s="17">
        <f>SUM(E13:E14)</f>
        <v>0</v>
      </c>
      <c r="F15" s="17">
        <f>SUM(F13:F14)</f>
        <v>263.76586854668176</v>
      </c>
      <c r="L15" s="359" t="s">
        <v>48</v>
      </c>
      <c r="M15" s="359"/>
      <c r="N15" s="359"/>
    </row>
    <row r="16" spans="3:20" x14ac:dyDescent="0.2">
      <c r="L16" s="157" t="s">
        <v>190</v>
      </c>
      <c r="M16" s="157" t="s">
        <v>177</v>
      </c>
      <c r="N16" s="157" t="s">
        <v>380</v>
      </c>
    </row>
    <row r="17" spans="3:16" x14ac:dyDescent="0.2">
      <c r="K17" s="228" t="s">
        <v>354</v>
      </c>
      <c r="L17" s="3">
        <f>B_lost_coal_ext</f>
        <v>569.94401045704944</v>
      </c>
      <c r="M17" s="3">
        <f>B_lost_coal_haul</f>
        <v>0</v>
      </c>
      <c r="N17" s="3">
        <f>B_lost_coke_oven</f>
        <v>-2265181.0799943823</v>
      </c>
    </row>
    <row r="18" spans="3:16" x14ac:dyDescent="0.2">
      <c r="E18" s="172" t="s">
        <v>357</v>
      </c>
    </row>
    <row r="19" spans="3:16" ht="17" x14ac:dyDescent="0.25">
      <c r="E19" s="28" t="s">
        <v>11</v>
      </c>
      <c r="L19" s="347" t="s">
        <v>450</v>
      </c>
      <c r="M19" s="347"/>
    </row>
    <row r="20" spans="3:16" x14ac:dyDescent="0.2">
      <c r="C20" s="360" t="s">
        <v>354</v>
      </c>
      <c r="E20" s="157" t="s">
        <v>351</v>
      </c>
      <c r="L20" s="359" t="s">
        <v>48</v>
      </c>
      <c r="M20" s="359"/>
    </row>
    <row r="21" spans="3:16" ht="14.5" customHeight="1" x14ac:dyDescent="0.2">
      <c r="C21" s="360"/>
      <c r="D21" s="156" t="s">
        <v>358</v>
      </c>
      <c r="E21" s="3">
        <f>Beneficiation_CoalWaste</f>
        <v>18.493734420766422</v>
      </c>
      <c r="L21" s="196" t="s">
        <v>81</v>
      </c>
      <c r="M21" s="196" t="s">
        <v>353</v>
      </c>
      <c r="P21"/>
    </row>
    <row r="22" spans="3:16" ht="17" customHeight="1" x14ac:dyDescent="0.25">
      <c r="C22" s="360"/>
      <c r="D22" s="156" t="s">
        <v>23</v>
      </c>
      <c r="E22" s="3" t="s">
        <v>99</v>
      </c>
      <c r="K22" s="225" t="s">
        <v>405</v>
      </c>
      <c r="L22" s="3">
        <f>B_lost_mixer</f>
        <v>0</v>
      </c>
      <c r="M22" s="3">
        <f>B_lost_blast_furnace</f>
        <v>500587.32575948373</v>
      </c>
    </row>
    <row r="23" spans="3:16" x14ac:dyDescent="0.2">
      <c r="C23" s="360"/>
      <c r="D23" s="3" t="s">
        <v>19</v>
      </c>
      <c r="E23" s="17">
        <f>SUM(E21:E22)</f>
        <v>18.493734420766422</v>
      </c>
    </row>
    <row r="25" spans="3:16" x14ac:dyDescent="0.2">
      <c r="K25"/>
    </row>
    <row r="29" spans="3:16" x14ac:dyDescent="0.2">
      <c r="P29"/>
    </row>
    <row r="30" spans="3:16" x14ac:dyDescent="0.2">
      <c r="P30"/>
    </row>
    <row r="31" spans="3:16" x14ac:dyDescent="0.2">
      <c r="P31"/>
    </row>
    <row r="32" spans="3:16" x14ac:dyDescent="0.2">
      <c r="P32"/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6AF1C-B236-FA4B-B350-F1BEA1976CD1}">
  <dimension ref="C2:CI70"/>
  <sheetViews>
    <sheetView zoomScaleNormal="100" workbookViewId="0">
      <selection activeCell="C5" sqref="C5"/>
    </sheetView>
  </sheetViews>
  <sheetFormatPr baseColWidth="10" defaultColWidth="8.83203125" defaultRowHeight="15" x14ac:dyDescent="0.2"/>
  <cols>
    <col min="1" max="3" width="8.83203125" style="3"/>
    <col min="4" max="4" width="10.5" style="3" bestFit="1" customWidth="1"/>
    <col min="5" max="5" width="8.83203125" style="3"/>
    <col min="6" max="6" width="12.5" style="3" bestFit="1" customWidth="1"/>
    <col min="7" max="7" width="11.5" style="3" bestFit="1" customWidth="1"/>
    <col min="8" max="8" width="9.6640625" style="3" bestFit="1" customWidth="1"/>
    <col min="9" max="9" width="16.5" style="3" customWidth="1"/>
    <col min="10" max="10" width="8.83203125" style="3"/>
    <col min="11" max="11" width="14" style="3" bestFit="1" customWidth="1"/>
    <col min="12" max="13" width="13.33203125" style="3" bestFit="1" customWidth="1"/>
    <col min="14" max="14" width="8.83203125" style="3"/>
    <col min="15" max="15" width="16.33203125" style="3" bestFit="1" customWidth="1"/>
    <col min="16" max="16" width="11.5" style="3" bestFit="1" customWidth="1"/>
    <col min="17" max="17" width="9.6640625" style="3" bestFit="1" customWidth="1"/>
    <col min="18" max="18" width="8.5" style="3" customWidth="1"/>
    <col min="19" max="19" width="8.83203125" style="3"/>
    <col min="20" max="20" width="10.5" style="3" bestFit="1" customWidth="1"/>
    <col min="21" max="29" width="8.83203125" style="3"/>
    <col min="30" max="31" width="14" style="3" bestFit="1" customWidth="1"/>
    <col min="32" max="32" width="14.33203125" style="3" bestFit="1" customWidth="1"/>
    <col min="33" max="38" width="8.83203125" style="3"/>
    <col min="39" max="39" width="13.6640625" style="3" bestFit="1" customWidth="1"/>
    <col min="40" max="47" width="8.83203125" style="3"/>
    <col min="48" max="48" width="12.6640625" style="3" bestFit="1" customWidth="1"/>
    <col min="49" max="49" width="13.83203125" style="3" bestFit="1" customWidth="1"/>
    <col min="50" max="50" width="8.83203125" style="3"/>
    <col min="51" max="51" width="13.83203125" style="3" bestFit="1" customWidth="1"/>
    <col min="52" max="53" width="13.6640625" style="3" bestFit="1" customWidth="1"/>
    <col min="54" max="54" width="14.6640625" style="3" bestFit="1" customWidth="1"/>
    <col min="55" max="55" width="10.5" style="3" bestFit="1" customWidth="1"/>
    <col min="56" max="58" width="8.83203125" style="3"/>
    <col min="59" max="59" width="12" style="3" bestFit="1" customWidth="1"/>
    <col min="60" max="60" width="14.6640625" style="3" bestFit="1" customWidth="1"/>
    <col min="61" max="63" width="8.83203125" style="3"/>
    <col min="64" max="64" width="13.6640625" style="3" bestFit="1" customWidth="1"/>
    <col min="65" max="65" width="8.83203125" style="3"/>
    <col min="66" max="66" width="14" style="3" bestFit="1" customWidth="1"/>
    <col min="67" max="67" width="13.83203125" style="3" bestFit="1" customWidth="1"/>
    <col min="68" max="68" width="13.33203125" style="3" customWidth="1"/>
    <col min="69" max="71" width="8.83203125" style="3"/>
    <col min="72" max="72" width="11.1640625" style="3" bestFit="1" customWidth="1"/>
    <col min="73" max="73" width="7.83203125" style="3" bestFit="1" customWidth="1"/>
    <col min="74" max="74" width="13.6640625" style="3" bestFit="1" customWidth="1"/>
    <col min="75" max="76" width="14.5" style="3" bestFit="1" customWidth="1"/>
    <col min="77" max="77" width="8.83203125" style="3"/>
    <col min="78" max="78" width="11.33203125" style="3" bestFit="1" customWidth="1"/>
    <col min="79" max="79" width="13.83203125" style="3" bestFit="1" customWidth="1"/>
    <col min="80" max="80" width="12.1640625" style="3" bestFit="1" customWidth="1"/>
    <col min="81" max="85" width="8.83203125" style="3"/>
    <col min="86" max="86" width="15.1640625" style="3" bestFit="1" customWidth="1"/>
    <col min="87" max="16384" width="8.83203125" style="3"/>
  </cols>
  <sheetData>
    <row r="2" spans="3:69" x14ac:dyDescent="0.2">
      <c r="H2" s="287" t="s">
        <v>70</v>
      </c>
      <c r="I2" s="287"/>
      <c r="J2" s="287"/>
      <c r="K2" s="287"/>
      <c r="L2" s="287"/>
      <c r="M2" s="287"/>
    </row>
    <row r="3" spans="3:69" ht="18" x14ac:dyDescent="0.25">
      <c r="C3" s="13" t="s">
        <v>65</v>
      </c>
      <c r="D3" s="13" t="s">
        <v>71</v>
      </c>
      <c r="E3" s="20" t="s">
        <v>72</v>
      </c>
      <c r="F3" s="20" t="s">
        <v>73</v>
      </c>
      <c r="H3" s="287" t="s">
        <v>74</v>
      </c>
      <c r="I3" s="287"/>
      <c r="J3" s="287"/>
      <c r="K3" s="13"/>
      <c r="L3" s="290" t="s">
        <v>75</v>
      </c>
      <c r="M3" s="290"/>
      <c r="N3" s="7"/>
      <c r="AN3" s="385" t="s">
        <v>78</v>
      </c>
      <c r="AO3" s="385"/>
      <c r="AP3" s="385"/>
      <c r="AQ3" s="385"/>
      <c r="AR3" s="385"/>
      <c r="AS3" s="385"/>
      <c r="AT3" s="385"/>
      <c r="AU3" s="385"/>
      <c r="AV3" s="385"/>
      <c r="AW3" s="385"/>
      <c r="AX3" s="385"/>
      <c r="AY3" s="385"/>
      <c r="AZ3" s="385"/>
      <c r="BA3" s="385"/>
      <c r="BB3" s="385"/>
      <c r="BC3" s="385"/>
      <c r="BD3" s="385"/>
      <c r="BE3" s="385"/>
      <c r="BF3" s="385"/>
      <c r="BG3" s="385"/>
      <c r="BH3" s="385"/>
      <c r="BI3" s="385"/>
      <c r="BJ3" s="385"/>
      <c r="BK3" s="385"/>
    </row>
    <row r="4" spans="3:69" ht="17" x14ac:dyDescent="0.25">
      <c r="C4" s="13" t="s">
        <v>11</v>
      </c>
      <c r="D4" s="13" t="s">
        <v>76</v>
      </c>
      <c r="E4" s="13"/>
      <c r="F4" s="13"/>
      <c r="AN4" s="385"/>
      <c r="AO4" s="385"/>
      <c r="AP4" s="385"/>
      <c r="AQ4" s="385"/>
      <c r="AR4" s="385"/>
      <c r="AS4" s="385"/>
      <c r="AT4" s="385"/>
      <c r="AU4" s="385"/>
      <c r="AV4" s="385"/>
      <c r="AW4" s="385"/>
      <c r="AX4" s="385"/>
      <c r="AY4" s="385"/>
      <c r="AZ4" s="385"/>
      <c r="BA4" s="385"/>
      <c r="BB4" s="385"/>
      <c r="BC4" s="385"/>
      <c r="BD4" s="385"/>
      <c r="BE4" s="385"/>
      <c r="BF4" s="385"/>
      <c r="BG4" s="385"/>
      <c r="BH4" s="385"/>
      <c r="BI4" s="385"/>
      <c r="BJ4" s="385"/>
      <c r="BK4" s="385"/>
    </row>
    <row r="5" spans="3:69" x14ac:dyDescent="0.2">
      <c r="C5" s="32">
        <v>1</v>
      </c>
      <c r="D5" s="13">
        <f>F12</f>
        <v>62.333413951215377</v>
      </c>
      <c r="E5" s="13">
        <v>2</v>
      </c>
      <c r="F5" s="13">
        <v>3.76</v>
      </c>
      <c r="H5" s="287" t="str">
        <f>_xlfn.CONCAT($I$12," ",$C$12," ","+"," ",$I$13,"(",$C$13, " ","+"," ",$F$5,$C$14,")","  ", "--","&gt;","  ", $R$12," ",$L$12," ","+"," ",$R$13," ",$L$13," ","+"," ",$R$14," ",$L$14)</f>
        <v>1 CH4 + 2(O2 + 3.76N2)  --&gt;  1 CO2 + 2 H2O + 7.52 N2</v>
      </c>
      <c r="I5" s="287"/>
      <c r="J5" s="287"/>
      <c r="K5" s="287"/>
      <c r="L5" s="287"/>
      <c r="M5" s="287"/>
      <c r="AN5" s="385"/>
      <c r="AO5" s="385"/>
      <c r="AP5" s="385"/>
      <c r="AQ5" s="385"/>
      <c r="AR5" s="385"/>
      <c r="AS5" s="385"/>
      <c r="AT5" s="385"/>
      <c r="AU5" s="385"/>
      <c r="AV5" s="385"/>
      <c r="AW5" s="385"/>
      <c r="AX5" s="385"/>
      <c r="AY5" s="385"/>
      <c r="AZ5" s="385"/>
      <c r="BA5" s="385"/>
      <c r="BB5" s="385"/>
      <c r="BC5" s="385"/>
      <c r="BD5" s="385"/>
      <c r="BE5" s="385"/>
      <c r="BF5" s="385"/>
      <c r="BG5" s="385"/>
      <c r="BH5" s="385"/>
      <c r="BI5" s="385"/>
      <c r="BJ5" s="385"/>
      <c r="BK5" s="385"/>
    </row>
    <row r="8" spans="3:69" ht="14.5" customHeight="1" x14ac:dyDescent="0.2"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</row>
    <row r="9" spans="3:69" ht="14.5" customHeight="1" x14ac:dyDescent="0.2"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3:69" ht="14.5" customHeight="1" x14ac:dyDescent="0.2">
      <c r="C10" s="25" t="s">
        <v>2</v>
      </c>
      <c r="D10" s="3" t="s">
        <v>1</v>
      </c>
      <c r="E10" s="3" t="s">
        <v>5</v>
      </c>
      <c r="F10" s="3" t="s">
        <v>32</v>
      </c>
      <c r="G10" s="3" t="s">
        <v>39</v>
      </c>
      <c r="H10" s="3" t="s">
        <v>44</v>
      </c>
      <c r="L10" s="25" t="s">
        <v>3</v>
      </c>
      <c r="M10" s="3" t="s">
        <v>1</v>
      </c>
      <c r="N10" s="3" t="s">
        <v>5</v>
      </c>
      <c r="O10" s="3" t="s">
        <v>32</v>
      </c>
      <c r="P10" s="3" t="s">
        <v>39</v>
      </c>
      <c r="Q10" s="3" t="s">
        <v>44</v>
      </c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384">
        <v>6</v>
      </c>
      <c r="BJ10" s="384"/>
      <c r="BK10" s="384"/>
      <c r="BL10" s="384"/>
      <c r="BM10" s="384"/>
      <c r="BN10" s="384"/>
      <c r="BO10" s="384"/>
      <c r="BP10" s="384"/>
      <c r="BQ10" s="384"/>
    </row>
    <row r="11" spans="3:69" ht="18" x14ac:dyDescent="0.25">
      <c r="C11" s="13" t="s">
        <v>41</v>
      </c>
      <c r="D11" s="13" t="s">
        <v>11</v>
      </c>
      <c r="E11" s="19" t="s">
        <v>85</v>
      </c>
      <c r="F11" s="13" t="s">
        <v>42</v>
      </c>
      <c r="G11" s="13" t="s">
        <v>43</v>
      </c>
      <c r="H11" s="13" t="s">
        <v>69</v>
      </c>
      <c r="I11" s="34" t="s">
        <v>77</v>
      </c>
      <c r="L11" s="13" t="s">
        <v>41</v>
      </c>
      <c r="M11" s="13" t="s">
        <v>11</v>
      </c>
      <c r="N11" s="19" t="s">
        <v>85</v>
      </c>
      <c r="O11" s="13" t="s">
        <v>42</v>
      </c>
      <c r="P11" s="13" t="s">
        <v>43</v>
      </c>
      <c r="Q11" s="13"/>
      <c r="R11" s="34" t="s">
        <v>77</v>
      </c>
      <c r="BI11" s="384"/>
      <c r="BJ11" s="384"/>
      <c r="BK11" s="384"/>
      <c r="BL11" s="384"/>
      <c r="BM11" s="384"/>
      <c r="BN11" s="384"/>
      <c r="BO11" s="384"/>
      <c r="BP11" s="384"/>
      <c r="BQ11" s="384"/>
    </row>
    <row r="12" spans="3:69" ht="18" x14ac:dyDescent="0.25">
      <c r="C12" s="13" t="s">
        <v>65</v>
      </c>
      <c r="D12" s="3">
        <v>1</v>
      </c>
      <c r="E12" s="3">
        <f>MW_CH4</f>
        <v>1.604276E-2</v>
      </c>
      <c r="F12" s="3">
        <f>D12/E12</f>
        <v>62.333413951215377</v>
      </c>
      <c r="G12" s="3">
        <f>F12/F15</f>
        <v>9.5057034220532313E-2</v>
      </c>
      <c r="H12" s="30" t="s">
        <v>33</v>
      </c>
      <c r="I12" s="52">
        <f>F12/D5</f>
        <v>1</v>
      </c>
      <c r="L12" s="20" t="s">
        <v>64</v>
      </c>
      <c r="M12" s="3">
        <f>N12*O12</f>
        <v>2.7432810813101987</v>
      </c>
      <c r="N12" s="3">
        <f>MW_CO2</f>
        <v>4.4009800000000002E-2</v>
      </c>
      <c r="O12" s="3">
        <f>R12*D5</f>
        <v>62.333413951215377</v>
      </c>
      <c r="P12" s="3">
        <f>O12/O15</f>
        <v>9.5057034220532313E-2</v>
      </c>
      <c r="Q12" s="30" t="s">
        <v>35</v>
      </c>
      <c r="R12" s="3">
        <f>I12</f>
        <v>1</v>
      </c>
    </row>
    <row r="13" spans="3:69" ht="19" thickBot="1" x14ac:dyDescent="0.3">
      <c r="C13" s="20" t="s">
        <v>24</v>
      </c>
      <c r="D13" s="3">
        <f>F13*E13</f>
        <v>3.9891888926843011</v>
      </c>
      <c r="E13" s="3">
        <f>MW_O2</f>
        <v>3.1998800000000001E-2</v>
      </c>
      <c r="F13" s="3">
        <f>I13*D5</f>
        <v>124.66682790243075</v>
      </c>
      <c r="G13" s="3">
        <f>F13/F15</f>
        <v>0.19011406844106463</v>
      </c>
      <c r="H13" s="30" t="s">
        <v>34</v>
      </c>
      <c r="I13" s="3">
        <f>E5*I12</f>
        <v>2</v>
      </c>
      <c r="L13" s="13" t="s">
        <v>68</v>
      </c>
      <c r="M13" s="3">
        <f>N13*O13</f>
        <v>2.2459078113741029</v>
      </c>
      <c r="N13" s="3">
        <f>MW_H2O</f>
        <v>1.8015280000000002E-2</v>
      </c>
      <c r="O13" s="3">
        <f>R13*D5</f>
        <v>124.66682790243075</v>
      </c>
      <c r="P13" s="3">
        <f>O13/O15</f>
        <v>0.19011406844106463</v>
      </c>
      <c r="Q13" s="30" t="s">
        <v>36</v>
      </c>
      <c r="R13" s="3">
        <f>2*I12</f>
        <v>2</v>
      </c>
    </row>
    <row r="14" spans="3:69" ht="18" x14ac:dyDescent="0.25">
      <c r="C14" s="39" t="s">
        <v>67</v>
      </c>
      <c r="D14" s="3">
        <f>F14*E14</f>
        <v>13.131242354806778</v>
      </c>
      <c r="E14" s="3">
        <f>MW_N2</f>
        <v>2.801348E-2</v>
      </c>
      <c r="F14" s="3">
        <f>I14*D5</f>
        <v>468.74727291313962</v>
      </c>
      <c r="G14" s="3">
        <f>F14/F15</f>
        <v>0.71482889733840305</v>
      </c>
      <c r="H14" s="30" t="s">
        <v>207</v>
      </c>
      <c r="I14" s="71">
        <f>I13*F5</f>
        <v>7.52</v>
      </c>
      <c r="L14" s="39" t="s">
        <v>67</v>
      </c>
      <c r="M14" s="3">
        <f>N14*O14</f>
        <v>13.131242354806778</v>
      </c>
      <c r="N14" s="3">
        <f>MW_N2</f>
        <v>2.801348E-2</v>
      </c>
      <c r="O14" s="3">
        <f>R14*D5</f>
        <v>468.74727291313962</v>
      </c>
      <c r="P14" s="3">
        <f>O14/O15</f>
        <v>0.71482889733840305</v>
      </c>
      <c r="Q14" s="30" t="s">
        <v>37</v>
      </c>
      <c r="R14" s="3">
        <f>I14</f>
        <v>7.52</v>
      </c>
      <c r="BN14" s="74" t="s">
        <v>182</v>
      </c>
      <c r="BO14" s="63" t="s">
        <v>214</v>
      </c>
      <c r="BP14" s="70" t="s">
        <v>215</v>
      </c>
      <c r="BQ14" s="58" t="s">
        <v>216</v>
      </c>
    </row>
    <row r="15" spans="3:69" ht="18" x14ac:dyDescent="0.25">
      <c r="C15" s="17" t="s">
        <v>19</v>
      </c>
      <c r="D15" s="40">
        <f>SUM(D12:D14)</f>
        <v>18.12043124749108</v>
      </c>
      <c r="E15" s="17"/>
      <c r="F15" s="41">
        <f>SUM(F12:F14)</f>
        <v>655.7475147667858</v>
      </c>
      <c r="G15" s="40">
        <f>SUM(G12:G14)</f>
        <v>1</v>
      </c>
      <c r="H15" s="17"/>
      <c r="I15" s="17"/>
      <c r="L15" s="17" t="s">
        <v>19</v>
      </c>
      <c r="M15" s="40">
        <f>SUM(M12:M14)</f>
        <v>18.12043124749108</v>
      </c>
      <c r="N15" s="17"/>
      <c r="O15" s="41">
        <f>SUM(O12:O14)</f>
        <v>655.7475147667858</v>
      </c>
      <c r="P15" s="41">
        <f>SUM(P12:P14)</f>
        <v>1</v>
      </c>
      <c r="Q15" s="17"/>
      <c r="R15" s="17"/>
      <c r="BN15" s="75" t="s">
        <v>208</v>
      </c>
      <c r="BO15" s="49" t="s">
        <v>63</v>
      </c>
      <c r="BP15" s="68" t="s">
        <v>90</v>
      </c>
      <c r="BQ15" s="64" t="s">
        <v>94</v>
      </c>
    </row>
    <row r="16" spans="3:69" ht="17" thickBot="1" x14ac:dyDescent="0.25">
      <c r="BN16" s="76">
        <v>1</v>
      </c>
      <c r="BO16" s="12">
        <v>298.14999999999998</v>
      </c>
      <c r="BP16" s="69">
        <f>BK23</f>
        <v>18.12043124749108</v>
      </c>
      <c r="BQ16" s="48">
        <f>BQ23</f>
        <v>0</v>
      </c>
    </row>
    <row r="17" spans="3:87" x14ac:dyDescent="0.2">
      <c r="BI17" s="386" t="s">
        <v>113</v>
      </c>
    </row>
    <row r="18" spans="3:87" ht="18.5" customHeight="1" x14ac:dyDescent="0.25">
      <c r="BI18" s="386"/>
      <c r="BK18" s="1" t="s">
        <v>185</v>
      </c>
      <c r="BL18" s="1" t="s">
        <v>5</v>
      </c>
      <c r="BM18" s="1" t="s">
        <v>86</v>
      </c>
      <c r="BN18" s="3" t="s">
        <v>151</v>
      </c>
      <c r="BO18" s="3" t="s">
        <v>211</v>
      </c>
      <c r="BP18" s="3" t="s">
        <v>212</v>
      </c>
      <c r="BQ18" s="3" t="s">
        <v>213</v>
      </c>
    </row>
    <row r="19" spans="3:87" ht="18" x14ac:dyDescent="0.25">
      <c r="BI19" s="386"/>
      <c r="BK19" s="1" t="s">
        <v>89</v>
      </c>
      <c r="BL19" s="1" t="s">
        <v>91</v>
      </c>
      <c r="BM19" s="2" t="s">
        <v>87</v>
      </c>
      <c r="BN19" s="4" t="s">
        <v>107</v>
      </c>
      <c r="BO19" s="4" t="s">
        <v>107</v>
      </c>
      <c r="BP19" s="3" t="s">
        <v>112</v>
      </c>
      <c r="BQ19" s="3" t="s">
        <v>112</v>
      </c>
    </row>
    <row r="20" spans="3:87" ht="17" x14ac:dyDescent="0.25">
      <c r="BI20" s="386"/>
      <c r="BJ20" s="26" t="s">
        <v>23</v>
      </c>
      <c r="BK20" s="8">
        <f>AU43</f>
        <v>2.7432810813101987</v>
      </c>
      <c r="BL20" s="27">
        <f>MW_CO2</f>
        <v>4.4009800000000002E-2</v>
      </c>
      <c r="BM20" s="27">
        <f>BK20/BL20</f>
        <v>62.333413951215377</v>
      </c>
      <c r="BN20" s="62">
        <f>h_CO2</f>
        <v>115.1314</v>
      </c>
      <c r="BO20" s="62">
        <f>h_0_CO2</f>
        <v>9.3640000000000008</v>
      </c>
      <c r="BP20" s="17">
        <f>BM20*(BN20-BO20)</f>
        <v>6592.8431267437772</v>
      </c>
      <c r="BQ20" s="17">
        <f>BP20*(1-($BF$38/$BF$38))</f>
        <v>0</v>
      </c>
    </row>
    <row r="21" spans="3:87" ht="17" x14ac:dyDescent="0.25">
      <c r="BI21" s="386"/>
      <c r="BJ21" s="24" t="s">
        <v>68</v>
      </c>
      <c r="BK21" s="1">
        <f>AU44</f>
        <v>2.2459078113741029</v>
      </c>
      <c r="BL21" s="6">
        <f>MW_H2O</f>
        <v>1.8015280000000002E-2</v>
      </c>
      <c r="BM21" s="6">
        <f>BK21/BL21</f>
        <v>124.66682790243075</v>
      </c>
      <c r="BN21" s="1">
        <f>h_H2O</f>
        <v>94.827839999999995</v>
      </c>
      <c r="BO21" s="1">
        <f>h_0_H2O</f>
        <v>9.9039999999999999</v>
      </c>
      <c r="BP21" s="3">
        <f t="shared" ref="BP21:BP22" si="0">BM21*(BN21-BO21)</f>
        <v>10587.185746093564</v>
      </c>
      <c r="BQ21" s="3">
        <f>BP21*(1-($BF$38/$BF$38))</f>
        <v>0</v>
      </c>
    </row>
    <row r="22" spans="3:87" ht="18" x14ac:dyDescent="0.25">
      <c r="C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BI22" s="386"/>
      <c r="BJ22" s="59" t="s">
        <v>67</v>
      </c>
      <c r="BK22" s="28">
        <f>AU45</f>
        <v>13.131242354806778</v>
      </c>
      <c r="BL22" s="29">
        <f>MW_N2</f>
        <v>2.801348E-2</v>
      </c>
      <c r="BM22" s="29">
        <f>BK22/BL22</f>
        <v>468.74727291313962</v>
      </c>
      <c r="BN22" s="1">
        <f>h_N2</f>
        <v>73.347520000000003</v>
      </c>
      <c r="BO22" s="1">
        <f>h_0_N2</f>
        <v>8.6690000000000005</v>
      </c>
      <c r="BP22" s="3">
        <f t="shared" si="0"/>
        <v>30317.879866057963</v>
      </c>
      <c r="BQ22" s="3">
        <f>BP22*(1-($BF$38/$BF$38))</f>
        <v>0</v>
      </c>
    </row>
    <row r="23" spans="3:87" ht="29" x14ac:dyDescent="0.35">
      <c r="H23" s="1"/>
      <c r="I23" s="1"/>
      <c r="J23" s="1"/>
      <c r="K23" s="1"/>
      <c r="L23" s="53"/>
      <c r="M23" s="54"/>
      <c r="N23" s="54"/>
      <c r="O23" s="54"/>
      <c r="P23" s="54"/>
      <c r="Q23" s="54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BJ23" s="4" t="s">
        <v>19</v>
      </c>
      <c r="BK23" s="4">
        <f>SUM(BK20:BK22)</f>
        <v>18.12043124749108</v>
      </c>
      <c r="BL23" s="4">
        <f>BO20*BL20 + BO21*BL21 + BO22*BL22</f>
        <v>0.83337995844000001</v>
      </c>
      <c r="BM23" s="4">
        <f>SUM(BM20:BM22)</f>
        <v>655.7475147667858</v>
      </c>
      <c r="BN23" s="17"/>
      <c r="BO23" s="17"/>
      <c r="BP23" s="62">
        <f>SUM(BP20:BP22)</f>
        <v>47497.908738895305</v>
      </c>
      <c r="BQ23" s="62">
        <f>SUM(BQ20:BQ22)</f>
        <v>0</v>
      </c>
    </row>
    <row r="24" spans="3:87" ht="19.25" customHeight="1" x14ac:dyDescent="0.25">
      <c r="H24" s="1"/>
      <c r="I24" s="1"/>
      <c r="J24" s="1"/>
      <c r="K24" s="1"/>
      <c r="L24" s="1"/>
      <c r="M24" s="1"/>
      <c r="N24" s="1"/>
      <c r="O24" s="1"/>
      <c r="P24" s="1"/>
      <c r="Q24" s="44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BK24" s="1" t="s">
        <v>90</v>
      </c>
      <c r="BL24" s="3" t="s">
        <v>92</v>
      </c>
      <c r="BM24" s="3" t="s">
        <v>88</v>
      </c>
      <c r="BP24" s="1" t="s">
        <v>94</v>
      </c>
      <c r="BQ24" s="1" t="s">
        <v>94</v>
      </c>
    </row>
    <row r="25" spans="3:87" ht="16.25" customHeight="1" x14ac:dyDescent="0.2">
      <c r="H25" s="1"/>
      <c r="I25" s="1"/>
      <c r="J25" s="1"/>
      <c r="K25" s="1"/>
      <c r="L25" s="1"/>
      <c r="M25" s="1"/>
      <c r="N25" s="1"/>
      <c r="O25" s="1"/>
      <c r="P25" s="1"/>
      <c r="Q25" s="1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CC25" s="25"/>
    </row>
    <row r="26" spans="3:87" ht="16" x14ac:dyDescent="0.2"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spans="3:87" ht="16" x14ac:dyDescent="0.2"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</row>
    <row r="28" spans="3:87" ht="34" x14ac:dyDescent="0.4">
      <c r="C28" s="390">
        <v>1</v>
      </c>
      <c r="D28" s="390"/>
      <c r="E28" s="390"/>
      <c r="F28" s="390"/>
      <c r="G28" s="390"/>
      <c r="H28" s="390"/>
      <c r="I28" s="390"/>
      <c r="J28" s="390"/>
      <c r="K28" s="390"/>
      <c r="L28" s="390"/>
      <c r="M28" s="390"/>
      <c r="N28" s="390"/>
      <c r="O28" s="390"/>
      <c r="P28" s="1"/>
      <c r="Q28" s="1"/>
      <c r="R28" s="1"/>
      <c r="S28" s="1"/>
      <c r="T28" s="1"/>
      <c r="U28" s="1"/>
      <c r="V28" s="1"/>
      <c r="W28" s="389">
        <v>3</v>
      </c>
      <c r="X28" s="389"/>
      <c r="Y28" s="389"/>
      <c r="Z28" s="389"/>
      <c r="AA28" s="389"/>
      <c r="AB28" s="389"/>
      <c r="AC28" s="389"/>
      <c r="AD28" s="389"/>
      <c r="AE28" s="389"/>
      <c r="AF28" s="389"/>
      <c r="AG28" s="389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390">
        <v>4</v>
      </c>
      <c r="AU28" s="390"/>
      <c r="AV28" s="390"/>
      <c r="AW28" s="390"/>
      <c r="AX28" s="390"/>
      <c r="AY28" s="390"/>
      <c r="AZ28" s="390"/>
      <c r="BA28" s="390"/>
      <c r="BB28" s="390"/>
      <c r="BC28" s="390"/>
      <c r="BD28" s="390"/>
      <c r="BE28" s="390"/>
      <c r="BF28" s="390"/>
      <c r="BG28" s="390"/>
      <c r="BH28" s="390"/>
      <c r="BI28" s="390"/>
      <c r="BT28" s="390">
        <v>5</v>
      </c>
      <c r="BU28" s="390"/>
      <c r="BV28" s="390"/>
      <c r="BW28" s="390"/>
      <c r="BX28" s="390"/>
      <c r="BY28" s="390"/>
      <c r="BZ28" s="390"/>
      <c r="CA28" s="390"/>
      <c r="CB28" s="390"/>
      <c r="CC28" s="390"/>
      <c r="CD28" s="390"/>
      <c r="CE28" s="390"/>
      <c r="CF28" s="390"/>
      <c r="CG28" s="390"/>
      <c r="CH28" s="390"/>
      <c r="CI28" s="390"/>
    </row>
    <row r="29" spans="3:87" ht="20.5" customHeight="1" x14ac:dyDescent="0.2">
      <c r="C29" s="45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7"/>
      <c r="AU29" s="1"/>
      <c r="AV29" s="1"/>
      <c r="AW29" s="1"/>
      <c r="BD29" s="45"/>
      <c r="BE29" s="45"/>
      <c r="BF29" s="45"/>
      <c r="BG29" s="45"/>
      <c r="BH29" s="45"/>
      <c r="BI29" s="45"/>
      <c r="BJ29" s="45"/>
    </row>
    <row r="30" spans="3:87" ht="15.5" customHeight="1" thickBot="1" x14ac:dyDescent="0.25">
      <c r="C30" s="45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51"/>
      <c r="AK30" s="51"/>
      <c r="AL30" s="51"/>
      <c r="AM30" s="51"/>
      <c r="AN30" s="51"/>
      <c r="AO30" s="1"/>
      <c r="AP30" s="1"/>
      <c r="AQ30" s="1"/>
      <c r="AR30" s="1"/>
      <c r="AS30" s="56"/>
      <c r="AW30" s="45"/>
      <c r="BM30" s="57"/>
    </row>
    <row r="31" spans="3:87" ht="16.25" customHeight="1" x14ac:dyDescent="0.25">
      <c r="C31" s="45"/>
      <c r="K31" s="74" t="s">
        <v>182</v>
      </c>
      <c r="L31" s="63" t="s">
        <v>163</v>
      </c>
      <c r="M31" s="70" t="s">
        <v>164</v>
      </c>
      <c r="N31" s="163" t="s">
        <v>161</v>
      </c>
      <c r="O31" s="157" t="s">
        <v>346</v>
      </c>
      <c r="P31" s="164" t="s">
        <v>323</v>
      </c>
      <c r="Q31" s="164" t="s">
        <v>317</v>
      </c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51"/>
      <c r="AL31" s="51"/>
      <c r="AM31" s="51"/>
      <c r="AN31" s="51"/>
      <c r="AO31" s="51"/>
      <c r="AP31" s="1"/>
      <c r="AQ31" s="1"/>
      <c r="AR31" s="1"/>
      <c r="AS31" s="56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J31" s="1"/>
      <c r="BK31" s="45"/>
      <c r="BM31" s="57"/>
    </row>
    <row r="32" spans="3:87" ht="19.25" customHeight="1" x14ac:dyDescent="0.2">
      <c r="C32" s="45"/>
      <c r="K32" s="75" t="s">
        <v>208</v>
      </c>
      <c r="L32" s="49" t="s">
        <v>63</v>
      </c>
      <c r="M32" s="38" t="s">
        <v>11</v>
      </c>
      <c r="N32" s="3" t="s">
        <v>48</v>
      </c>
      <c r="O32" s="157" t="s">
        <v>347</v>
      </c>
      <c r="P32" s="164" t="s">
        <v>99</v>
      </c>
      <c r="Q32" s="164" t="s">
        <v>48</v>
      </c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51"/>
      <c r="AL32" s="51"/>
      <c r="AM32" s="51"/>
      <c r="AN32" s="51"/>
      <c r="AO32" s="51"/>
      <c r="AP32" s="1"/>
      <c r="AQ32" s="1"/>
      <c r="AR32" s="1"/>
      <c r="AS32" s="56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45"/>
      <c r="BM32" s="57"/>
    </row>
    <row r="33" spans="3:87" ht="17" thickBot="1" x14ac:dyDescent="0.25">
      <c r="C33" s="45"/>
      <c r="K33" s="76">
        <v>1</v>
      </c>
      <c r="L33" s="50">
        <v>298.14999999999998</v>
      </c>
      <c r="M33" s="69">
        <f>E37</f>
        <v>1</v>
      </c>
      <c r="N33" s="99">
        <f>N37</f>
        <v>51848.933724620947</v>
      </c>
      <c r="O33" s="157">
        <v>50000</v>
      </c>
      <c r="P33" s="165">
        <f>1.036978</f>
        <v>1.036978</v>
      </c>
      <c r="Q33" s="165">
        <f>P33*O33*M33</f>
        <v>51848.899999999994</v>
      </c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N33" s="1"/>
      <c r="AO33" s="1"/>
      <c r="AP33" s="1"/>
      <c r="AQ33" s="1"/>
      <c r="AR33" s="1"/>
      <c r="AS33" s="56"/>
      <c r="BG33" s="1"/>
      <c r="BH33" s="1"/>
      <c r="BI33" s="1"/>
      <c r="BK33" s="45"/>
      <c r="BM33" s="57"/>
    </row>
    <row r="34" spans="3:87" ht="16" x14ac:dyDescent="0.2">
      <c r="C34" s="388" t="s">
        <v>79</v>
      </c>
      <c r="H34" s="1"/>
      <c r="I34" s="1"/>
      <c r="J34" s="1"/>
      <c r="K34" s="1"/>
      <c r="L34" s="1"/>
      <c r="M34" s="1"/>
      <c r="N34" s="1"/>
      <c r="O34" s="1"/>
      <c r="P34" s="1"/>
      <c r="Q34" s="44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45"/>
      <c r="AT34" s="1"/>
      <c r="AU34" s="1"/>
      <c r="AV34" s="6"/>
      <c r="AW34" s="6"/>
      <c r="AX34" s="1"/>
      <c r="AY34" s="6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M34" s="57"/>
    </row>
    <row r="35" spans="3:87" ht="17.5" customHeight="1" thickBot="1" x14ac:dyDescent="0.3">
      <c r="C35" s="388"/>
      <c r="D35" s="1"/>
      <c r="E35" s="1" t="s">
        <v>132</v>
      </c>
      <c r="F35" s="1" t="s">
        <v>5</v>
      </c>
      <c r="G35" s="1" t="s">
        <v>131</v>
      </c>
      <c r="H35" s="1" t="s">
        <v>133</v>
      </c>
      <c r="I35" s="1" t="s">
        <v>130</v>
      </c>
      <c r="J35" s="1" t="s">
        <v>8</v>
      </c>
      <c r="K35" s="1" t="s">
        <v>134</v>
      </c>
      <c r="L35" s="1" t="s">
        <v>135</v>
      </c>
      <c r="M35" s="1" t="s">
        <v>136</v>
      </c>
      <c r="N35" s="1" t="s">
        <v>137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I35" s="1"/>
      <c r="AJ35" s="1"/>
      <c r="AK35" s="1"/>
      <c r="AL35" s="1"/>
      <c r="AM35" s="1"/>
      <c r="AN35" s="1"/>
      <c r="AO35" s="1"/>
      <c r="AP35" s="1"/>
      <c r="AQ35" s="1"/>
      <c r="AR35" s="51"/>
      <c r="AS35" s="45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M35" s="57"/>
      <c r="BS35" s="45"/>
      <c r="BT35" s="1"/>
      <c r="BU35" s="1"/>
      <c r="BX35" s="4"/>
      <c r="BY35" s="4"/>
      <c r="CD35" s="1"/>
    </row>
    <row r="36" spans="3:87" ht="18" customHeight="1" x14ac:dyDescent="0.25">
      <c r="C36" s="388"/>
      <c r="D36" s="1"/>
      <c r="E36" s="1" t="s">
        <v>89</v>
      </c>
      <c r="F36" s="1" t="s">
        <v>91</v>
      </c>
      <c r="G36" s="2" t="s">
        <v>87</v>
      </c>
      <c r="H36" s="2" t="s">
        <v>96</v>
      </c>
      <c r="I36" s="2" t="s">
        <v>25</v>
      </c>
      <c r="J36" s="1" t="s">
        <v>99</v>
      </c>
      <c r="K36" s="2" t="s">
        <v>96</v>
      </c>
      <c r="L36" s="2" t="s">
        <v>96</v>
      </c>
      <c r="M36" s="2" t="s">
        <v>95</v>
      </c>
      <c r="N36" s="1" t="s">
        <v>93</v>
      </c>
      <c r="O36" s="1"/>
      <c r="P36" s="1"/>
      <c r="Q36" s="46"/>
      <c r="R36" s="44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74" t="s">
        <v>182</v>
      </c>
      <c r="AE36" s="63" t="s">
        <v>167</v>
      </c>
      <c r="AF36" s="70" t="s">
        <v>168</v>
      </c>
      <c r="AG36" s="58" t="s">
        <v>169</v>
      </c>
      <c r="AI36" s="1"/>
      <c r="AJ36" s="1"/>
      <c r="AK36" s="1"/>
      <c r="AL36" s="1"/>
      <c r="AM36" s="1"/>
      <c r="AN36" s="1"/>
      <c r="AO36" s="1"/>
      <c r="AP36" s="1"/>
      <c r="AQ36" s="1"/>
      <c r="AR36" s="51"/>
      <c r="AS36" s="1"/>
      <c r="AT36" s="1"/>
      <c r="AU36" s="1"/>
      <c r="AV36" s="1"/>
      <c r="AW36" s="1"/>
      <c r="AX36" s="1"/>
      <c r="AY36" s="1"/>
      <c r="AZ36" s="1"/>
      <c r="BA36" s="1"/>
      <c r="BB36" s="1"/>
      <c r="BD36" s="25"/>
      <c r="BE36" s="74" t="s">
        <v>182</v>
      </c>
      <c r="BF36" s="10" t="s">
        <v>100</v>
      </c>
      <c r="BG36" s="63" t="s">
        <v>170</v>
      </c>
      <c r="BH36" s="70" t="s">
        <v>171</v>
      </c>
      <c r="BI36" s="58" t="s">
        <v>172</v>
      </c>
      <c r="BJ36" s="25"/>
      <c r="BM36" s="57"/>
      <c r="BS36" s="1"/>
      <c r="BT36" s="1"/>
      <c r="BU36" s="1"/>
      <c r="BV36" s="1"/>
      <c r="BW36" s="1"/>
      <c r="BX36" s="1"/>
      <c r="BY36" s="1"/>
      <c r="BZ36" s="1"/>
      <c r="CC36" s="25"/>
      <c r="CF36" s="74" t="s">
        <v>182</v>
      </c>
      <c r="CG36" s="63" t="s">
        <v>186</v>
      </c>
      <c r="CH36" s="70" t="s">
        <v>187</v>
      </c>
      <c r="CI36" s="58" t="s">
        <v>210</v>
      </c>
    </row>
    <row r="37" spans="3:87" ht="17" customHeight="1" x14ac:dyDescent="0.25">
      <c r="C37" s="388"/>
      <c r="D37" s="13" t="s">
        <v>65</v>
      </c>
      <c r="E37" s="42">
        <f>D12</f>
        <v>1</v>
      </c>
      <c r="F37" s="33" cm="1">
        <f t="array" ref="F37">MW_CH4</f>
        <v>1.604276E-2</v>
      </c>
      <c r="G37" s="33">
        <f>E37/F37</f>
        <v>62.333413951215377</v>
      </c>
      <c r="H37" s="42">
        <f>b_ch_CH4</f>
        <v>831.8</v>
      </c>
      <c r="I37" s="33">
        <f>G37/G37</f>
        <v>1</v>
      </c>
      <c r="J37" s="42">
        <f>LN(I37)</f>
        <v>0</v>
      </c>
      <c r="K37" s="42">
        <f>RT0*J37</f>
        <v>0</v>
      </c>
      <c r="L37" s="42">
        <f>H37+K37</f>
        <v>831.8</v>
      </c>
      <c r="M37" s="42">
        <f>L37*I37</f>
        <v>831.8</v>
      </c>
      <c r="N37" s="35">
        <f>G37*M37</f>
        <v>51848.933724620947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75" t="s">
        <v>208</v>
      </c>
      <c r="AE37" s="49" t="s">
        <v>63</v>
      </c>
      <c r="AF37" s="38" t="s">
        <v>11</v>
      </c>
      <c r="AG37" s="47" t="s">
        <v>48</v>
      </c>
      <c r="AI37" s="1"/>
      <c r="AJ37" s="387" t="s">
        <v>80</v>
      </c>
      <c r="AK37" s="387"/>
      <c r="AL37" s="387"/>
      <c r="AM37" s="387"/>
      <c r="AN37" s="387"/>
      <c r="AO37" s="387"/>
      <c r="AP37" s="1"/>
      <c r="AQ37" s="1"/>
      <c r="AR37" s="51"/>
      <c r="AS37" s="1"/>
      <c r="AT37" s="1"/>
      <c r="AU37" s="1"/>
      <c r="AV37" s="1"/>
      <c r="AW37" s="1"/>
      <c r="AX37" s="1"/>
      <c r="BE37" s="75" t="s">
        <v>208</v>
      </c>
      <c r="BF37" s="11" t="s">
        <v>63</v>
      </c>
      <c r="BG37" s="49" t="s">
        <v>63</v>
      </c>
      <c r="BH37" s="68" t="s">
        <v>90</v>
      </c>
      <c r="BI37" s="64" t="s">
        <v>94</v>
      </c>
      <c r="BM37" s="57"/>
      <c r="BS37" s="1"/>
      <c r="BT37" s="1"/>
      <c r="BU37" s="1"/>
      <c r="BV37" s="1"/>
      <c r="BW37" s="1"/>
      <c r="BX37" s="1"/>
      <c r="CF37" s="75" t="s">
        <v>208</v>
      </c>
      <c r="CG37" s="49" t="s">
        <v>63</v>
      </c>
      <c r="CH37" s="68" t="s">
        <v>90</v>
      </c>
      <c r="CI37" s="64" t="s">
        <v>94</v>
      </c>
    </row>
    <row r="38" spans="3:87" ht="15.5" customHeight="1" thickBot="1" x14ac:dyDescent="0.25">
      <c r="C38" s="45"/>
      <c r="D38" s="1" t="s">
        <v>19</v>
      </c>
      <c r="E38" s="1">
        <f>E37</f>
        <v>1</v>
      </c>
      <c r="F38" s="6">
        <f>F37</f>
        <v>1.604276E-2</v>
      </c>
      <c r="G38" s="6">
        <f>G37</f>
        <v>62.333413951215377</v>
      </c>
      <c r="H38" s="1"/>
      <c r="I38" s="6"/>
      <c r="J38" s="1"/>
      <c r="K38" s="1"/>
      <c r="L38" s="1"/>
      <c r="M38" s="1">
        <f>M37</f>
        <v>831.8</v>
      </c>
      <c r="N38" s="1">
        <f>G38*M38</f>
        <v>51848.933724620947</v>
      </c>
      <c r="O38" s="1"/>
      <c r="P38" s="1"/>
      <c r="Q38" s="1"/>
      <c r="R38" s="387" t="s">
        <v>81</v>
      </c>
      <c r="S38" s="387"/>
      <c r="T38" s="387"/>
      <c r="U38" s="387"/>
      <c r="V38" s="51"/>
      <c r="W38" s="51"/>
      <c r="X38" s="51"/>
      <c r="Y38" s="51"/>
      <c r="Z38" s="51"/>
      <c r="AA38" s="51"/>
      <c r="AB38" s="51"/>
      <c r="AC38" s="51"/>
      <c r="AD38" s="76">
        <v>1</v>
      </c>
      <c r="AE38" s="50">
        <v>298.14999999999998</v>
      </c>
      <c r="AF38" s="69">
        <f>X46</f>
        <v>18.12043124749108</v>
      </c>
      <c r="AG38" s="48">
        <f>AG46</f>
        <v>51619.471525064786</v>
      </c>
      <c r="AH38" s="51"/>
      <c r="AI38" s="51"/>
      <c r="AJ38" s="387"/>
      <c r="AK38" s="387"/>
      <c r="AL38" s="387"/>
      <c r="AM38" s="387"/>
      <c r="AN38" s="387"/>
      <c r="AO38" s="387"/>
      <c r="AP38" s="51"/>
      <c r="AQ38" s="51"/>
      <c r="AR38" s="1"/>
      <c r="AS38" s="1"/>
      <c r="AT38" s="1"/>
      <c r="AU38" s="1"/>
      <c r="AV38" s="1"/>
      <c r="AW38" s="1"/>
      <c r="AX38" s="1"/>
      <c r="BA38" s="1"/>
      <c r="BB38" s="1"/>
      <c r="BE38" s="76">
        <v>1</v>
      </c>
      <c r="BF38" s="12">
        <v>298.14999999999998</v>
      </c>
      <c r="BG38" s="50">
        <v>2236</v>
      </c>
      <c r="BH38" s="69">
        <f>AU46</f>
        <v>18.12043124749108</v>
      </c>
      <c r="BI38" s="48">
        <f>BI46</f>
        <v>35142.592942329313</v>
      </c>
      <c r="BL38" s="387" t="s">
        <v>98</v>
      </c>
      <c r="BM38" s="387"/>
      <c r="BN38" s="387"/>
      <c r="BO38" s="387"/>
      <c r="BS38" s="1"/>
      <c r="BT38" s="1"/>
      <c r="BU38" s="1"/>
      <c r="BV38" s="1"/>
      <c r="BW38" s="1"/>
      <c r="BX38" s="1"/>
      <c r="CF38" s="76">
        <v>1</v>
      </c>
      <c r="CG38" s="50">
        <v>298.14999999999998</v>
      </c>
      <c r="CH38" s="69">
        <f>BU45</f>
        <v>18.12043124749108</v>
      </c>
      <c r="CI38" s="48">
        <f>CI45</f>
        <v>1593.8072704125107</v>
      </c>
    </row>
    <row r="39" spans="3:87" ht="15.5" customHeight="1" x14ac:dyDescent="0.25">
      <c r="C39" s="45"/>
      <c r="D39" s="1"/>
      <c r="E39" s="1" t="s">
        <v>90</v>
      </c>
      <c r="F39" s="3" t="s">
        <v>92</v>
      </c>
      <c r="G39" s="3" t="s">
        <v>88</v>
      </c>
      <c r="H39" s="4"/>
      <c r="I39" s="4"/>
      <c r="M39" s="3" t="s">
        <v>97</v>
      </c>
      <c r="N39" s="1" t="s">
        <v>94</v>
      </c>
      <c r="O39" s="1"/>
      <c r="P39" s="1"/>
      <c r="Q39" s="1"/>
      <c r="R39" s="387"/>
      <c r="S39" s="387"/>
      <c r="T39" s="387"/>
      <c r="U39" s="387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387"/>
      <c r="AK39" s="387"/>
      <c r="AL39" s="387"/>
      <c r="AM39" s="387"/>
      <c r="AN39" s="387"/>
      <c r="AO39" s="387"/>
      <c r="AP39" s="51"/>
      <c r="AQ39" s="51"/>
      <c r="AR39" s="1"/>
      <c r="AS39" s="1"/>
      <c r="AT39" s="1"/>
      <c r="AU39" s="1"/>
      <c r="AV39" s="1"/>
      <c r="AW39" s="1"/>
      <c r="AX39" s="1"/>
      <c r="BL39" s="387"/>
      <c r="BM39" s="387"/>
      <c r="BN39" s="387"/>
      <c r="BO39" s="387"/>
      <c r="BS39" s="1"/>
      <c r="BT39" s="1"/>
      <c r="BU39" s="1"/>
      <c r="BV39" s="1"/>
      <c r="BW39" s="1"/>
      <c r="BX39" s="1"/>
    </row>
    <row r="40" spans="3:87" ht="15.5" customHeight="1" x14ac:dyDescent="0.25">
      <c r="C40" s="45"/>
      <c r="D40" s="1"/>
      <c r="E40" s="1"/>
      <c r="H40" s="4"/>
      <c r="I40" s="4"/>
      <c r="N40" s="1"/>
      <c r="O40" s="1"/>
      <c r="P40" s="1"/>
      <c r="Q40" s="1"/>
      <c r="R40" s="387"/>
      <c r="S40" s="387"/>
      <c r="T40" s="387"/>
      <c r="U40" s="387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387"/>
      <c r="AK40" s="387"/>
      <c r="AL40" s="387"/>
      <c r="AM40" s="387"/>
      <c r="AN40" s="387"/>
      <c r="AO40" s="387"/>
      <c r="AP40" s="51"/>
      <c r="AQ40" s="51"/>
      <c r="AR40" s="1"/>
      <c r="AS40" s="56"/>
      <c r="AT40" s="1"/>
      <c r="AU40" s="1"/>
      <c r="AV40" s="1"/>
      <c r="AW40" s="1"/>
      <c r="AX40" s="1"/>
      <c r="BL40" s="387"/>
      <c r="BM40" s="387"/>
      <c r="BN40" s="387"/>
      <c r="BO40" s="387"/>
      <c r="BS40" s="1"/>
      <c r="BT40" s="1"/>
      <c r="BU40" s="1" t="s">
        <v>185</v>
      </c>
      <c r="BV40" s="1" t="s">
        <v>5</v>
      </c>
      <c r="BW40" s="1" t="s">
        <v>86</v>
      </c>
      <c r="BX40" s="1" t="s">
        <v>217</v>
      </c>
      <c r="BY40" s="1" t="s">
        <v>218</v>
      </c>
      <c r="BZ40" s="1" t="s">
        <v>8</v>
      </c>
      <c r="CA40" s="1" t="s">
        <v>219</v>
      </c>
      <c r="CB40" s="1" t="s">
        <v>220</v>
      </c>
      <c r="CC40" s="3" t="s">
        <v>211</v>
      </c>
      <c r="CD40" s="3" t="s">
        <v>221</v>
      </c>
      <c r="CE40" s="3" t="s">
        <v>104</v>
      </c>
      <c r="CF40" s="3" t="s">
        <v>105</v>
      </c>
      <c r="CG40" s="1" t="s">
        <v>222</v>
      </c>
      <c r="CH40" s="1" t="s">
        <v>223</v>
      </c>
      <c r="CI40" s="1" t="s">
        <v>224</v>
      </c>
    </row>
    <row r="41" spans="3:87" ht="20" customHeight="1" thickBot="1" x14ac:dyDescent="0.3">
      <c r="C41" s="45"/>
      <c r="D41" s="1"/>
      <c r="E41" s="1"/>
      <c r="H41" s="4"/>
      <c r="I41" s="4"/>
      <c r="N41" s="1"/>
      <c r="O41" s="1"/>
      <c r="P41" s="1"/>
      <c r="Q41" s="1"/>
      <c r="R41" s="1"/>
      <c r="S41" s="1"/>
      <c r="T41" s="1"/>
      <c r="U41" s="1"/>
      <c r="V41" s="1"/>
      <c r="W41" s="1"/>
      <c r="X41" s="1" t="s">
        <v>145</v>
      </c>
      <c r="Y41" s="1" t="s">
        <v>5</v>
      </c>
      <c r="Z41" s="1" t="s">
        <v>86</v>
      </c>
      <c r="AA41" s="1" t="s">
        <v>146</v>
      </c>
      <c r="AB41" s="1" t="s">
        <v>147</v>
      </c>
      <c r="AC41" s="1" t="s">
        <v>8</v>
      </c>
      <c r="AD41" s="1" t="s">
        <v>148</v>
      </c>
      <c r="AE41" s="1" t="s">
        <v>149</v>
      </c>
      <c r="AF41" s="1" t="s">
        <v>209</v>
      </c>
      <c r="AG41" s="1" t="s">
        <v>150</v>
      </c>
      <c r="AH41" s="1"/>
      <c r="AI41" s="1"/>
      <c r="AJ41" s="387"/>
      <c r="AK41" s="387"/>
      <c r="AL41" s="387"/>
      <c r="AM41" s="387"/>
      <c r="AN41" s="387"/>
      <c r="AO41" s="387"/>
      <c r="AP41" s="1"/>
      <c r="AQ41" s="1"/>
      <c r="AR41" s="1"/>
      <c r="AS41" s="56"/>
      <c r="AT41" s="1"/>
      <c r="AU41" s="1" t="s">
        <v>160</v>
      </c>
      <c r="AV41" s="1" t="s">
        <v>5</v>
      </c>
      <c r="AW41" s="1" t="s">
        <v>86</v>
      </c>
      <c r="AX41" s="1" t="s">
        <v>159</v>
      </c>
      <c r="AY41" s="1" t="s">
        <v>158</v>
      </c>
      <c r="AZ41" s="1" t="s">
        <v>8</v>
      </c>
      <c r="BA41" s="1" t="s">
        <v>157</v>
      </c>
      <c r="BB41" s="1" t="s">
        <v>156</v>
      </c>
      <c r="BC41" s="3" t="s">
        <v>151</v>
      </c>
      <c r="BD41" s="3" t="s">
        <v>152</v>
      </c>
      <c r="BE41" s="3" t="s">
        <v>104</v>
      </c>
      <c r="BF41" s="3" t="s">
        <v>105</v>
      </c>
      <c r="BG41" s="1" t="s">
        <v>155</v>
      </c>
      <c r="BH41" s="1" t="s">
        <v>153</v>
      </c>
      <c r="BI41" s="1" t="s">
        <v>154</v>
      </c>
      <c r="BJ41" s="1"/>
      <c r="BM41" s="57"/>
      <c r="BQ41" s="1"/>
      <c r="BR41" s="1"/>
      <c r="BS41" s="1"/>
      <c r="BT41" s="1"/>
      <c r="BU41" s="1" t="s">
        <v>89</v>
      </c>
      <c r="BV41" s="1" t="s">
        <v>91</v>
      </c>
      <c r="BW41" s="2" t="s">
        <v>87</v>
      </c>
      <c r="BX41" s="2" t="s">
        <v>96</v>
      </c>
      <c r="BY41" s="2" t="s">
        <v>25</v>
      </c>
      <c r="BZ41" s="2" t="s">
        <v>99</v>
      </c>
      <c r="CA41" s="2" t="s">
        <v>96</v>
      </c>
      <c r="CB41" s="2" t="s">
        <v>96</v>
      </c>
      <c r="CC41" s="4" t="s">
        <v>107</v>
      </c>
      <c r="CD41" s="4" t="s">
        <v>106</v>
      </c>
      <c r="CE41" s="4" t="s">
        <v>107</v>
      </c>
      <c r="CF41" s="4" t="s">
        <v>106</v>
      </c>
      <c r="CG41" s="4" t="s">
        <v>107</v>
      </c>
      <c r="CH41" s="1" t="s">
        <v>95</v>
      </c>
      <c r="CI41" s="1" t="s">
        <v>93</v>
      </c>
    </row>
    <row r="42" spans="3:87" ht="20" customHeight="1" x14ac:dyDescent="0.25">
      <c r="C42" s="45"/>
      <c r="D42" s="1"/>
      <c r="E42" s="1"/>
      <c r="H42" s="4"/>
      <c r="I42" s="4"/>
      <c r="N42" s="1"/>
      <c r="O42" s="1"/>
      <c r="P42" s="1"/>
      <c r="Q42" s="1"/>
      <c r="R42" s="110" t="s">
        <v>327</v>
      </c>
      <c r="S42" s="136" t="s">
        <v>349</v>
      </c>
      <c r="T42" s="314" t="s">
        <v>345</v>
      </c>
      <c r="U42" s="103" t="s">
        <v>318</v>
      </c>
      <c r="V42" s="1"/>
      <c r="W42" s="7"/>
      <c r="X42" s="1" t="s">
        <v>89</v>
      </c>
      <c r="Y42" s="1" t="s">
        <v>91</v>
      </c>
      <c r="Z42" s="2" t="s">
        <v>87</v>
      </c>
      <c r="AA42" s="2" t="s">
        <v>96</v>
      </c>
      <c r="AB42" s="2" t="s">
        <v>25</v>
      </c>
      <c r="AC42" s="1" t="s">
        <v>99</v>
      </c>
      <c r="AD42" s="2" t="s">
        <v>96</v>
      </c>
      <c r="AE42" s="2" t="s">
        <v>96</v>
      </c>
      <c r="AF42" s="2" t="s">
        <v>95</v>
      </c>
      <c r="AG42" s="1" t="s">
        <v>93</v>
      </c>
      <c r="AH42" s="1"/>
      <c r="AI42" s="1"/>
      <c r="AJ42" s="387"/>
      <c r="AK42" s="387"/>
      <c r="AL42" s="387"/>
      <c r="AM42" s="387"/>
      <c r="AN42" s="387"/>
      <c r="AO42" s="387"/>
      <c r="AP42" s="1"/>
      <c r="AQ42" s="1"/>
      <c r="AR42" s="1"/>
      <c r="AS42" s="56"/>
      <c r="AT42" s="1"/>
      <c r="AU42" s="1" t="s">
        <v>89</v>
      </c>
      <c r="AV42" s="1" t="s">
        <v>91</v>
      </c>
      <c r="AW42" s="2" t="s">
        <v>87</v>
      </c>
      <c r="AX42" s="2" t="s">
        <v>96</v>
      </c>
      <c r="AY42" s="2" t="s">
        <v>25</v>
      </c>
      <c r="AZ42" s="2" t="s">
        <v>99</v>
      </c>
      <c r="BA42" s="2" t="s">
        <v>96</v>
      </c>
      <c r="BB42" s="2" t="s">
        <v>96</v>
      </c>
      <c r="BC42" s="4" t="s">
        <v>107</v>
      </c>
      <c r="BD42" s="4" t="s">
        <v>106</v>
      </c>
      <c r="BE42" s="4" t="s">
        <v>107</v>
      </c>
      <c r="BF42" s="4" t="s">
        <v>106</v>
      </c>
      <c r="BG42" s="4" t="s">
        <v>107</v>
      </c>
      <c r="BH42" s="1" t="s">
        <v>95</v>
      </c>
      <c r="BI42" s="1" t="s">
        <v>93</v>
      </c>
      <c r="BJ42" s="1"/>
      <c r="BL42" s="110" t="s">
        <v>327</v>
      </c>
      <c r="BM42" s="136" t="s">
        <v>349</v>
      </c>
      <c r="BN42" s="321" t="s">
        <v>345</v>
      </c>
      <c r="BO42" s="103" t="s">
        <v>318</v>
      </c>
      <c r="BQ42" s="1"/>
      <c r="BR42" s="1"/>
      <c r="BS42" s="1"/>
      <c r="BT42" s="26" t="s">
        <v>23</v>
      </c>
      <c r="BU42" s="8">
        <f>AU43</f>
        <v>2.7432810813101987</v>
      </c>
      <c r="BV42" s="27">
        <f>MW_CO2</f>
        <v>4.4009800000000002E-2</v>
      </c>
      <c r="BW42" s="27">
        <f>BU42/BV42</f>
        <v>62.333413951215377</v>
      </c>
      <c r="BX42" s="43">
        <f>b_ch_CO2</f>
        <v>19.900000000000034</v>
      </c>
      <c r="BY42" s="27">
        <f>BW42/$AW$46</f>
        <v>9.5057034220532313E-2</v>
      </c>
      <c r="BZ42" s="8">
        <f>LN(BY42)</f>
        <v>-2.3532782073095637</v>
      </c>
      <c r="CA42" s="8">
        <f>RT0*BZ42</f>
        <v>-5.3442220925034132</v>
      </c>
      <c r="CB42" s="8">
        <f>BX42+CA42</f>
        <v>14.555777907496621</v>
      </c>
      <c r="CC42" s="62">
        <f>h_0_CO2</f>
        <v>9.3640000000000008</v>
      </c>
      <c r="CD42" s="62">
        <f>s_0_CO2</f>
        <v>0.21368500000000001</v>
      </c>
      <c r="CE42" s="62">
        <f>h_0_CO2</f>
        <v>9.3640000000000008</v>
      </c>
      <c r="CF42" s="62">
        <f>s_0_CO2</f>
        <v>0.21368500000000001</v>
      </c>
      <c r="CG42" s="62">
        <f>(CC42-CE42)-$BA$38*(CD42-CF42)</f>
        <v>0</v>
      </c>
      <c r="CH42" s="62">
        <f>BY42*(CB42+CG42)</f>
        <v>1.3836290786593746</v>
      </c>
      <c r="CI42" s="62">
        <f>CH42*$AW$46</f>
        <v>907.31132968994245</v>
      </c>
    </row>
    <row r="43" spans="3:87" ht="19" thickBot="1" x14ac:dyDescent="0.3">
      <c r="C43" s="1"/>
      <c r="D43" s="1"/>
      <c r="E43" s="1"/>
      <c r="F43" s="1"/>
      <c r="G43" s="1"/>
      <c r="H43" s="1"/>
      <c r="I43" s="1"/>
      <c r="J43" s="1"/>
      <c r="K43" s="1"/>
      <c r="O43" s="1"/>
      <c r="P43" s="1"/>
      <c r="Q43" s="1"/>
      <c r="R43" s="112" t="s">
        <v>48</v>
      </c>
      <c r="S43" s="6" t="s">
        <v>325</v>
      </c>
      <c r="T43" s="315"/>
      <c r="U43" s="104" t="s">
        <v>48</v>
      </c>
      <c r="V43" s="1"/>
      <c r="W43" s="13" t="s">
        <v>65</v>
      </c>
      <c r="X43" s="27">
        <f>E37</f>
        <v>1</v>
      </c>
      <c r="Y43" s="27">
        <f>MW_CH4</f>
        <v>1.604276E-2</v>
      </c>
      <c r="Z43" s="27">
        <f>X43/Y43</f>
        <v>62.333413951215377</v>
      </c>
      <c r="AA43" s="43">
        <f>b_ch_CH4</f>
        <v>831.8</v>
      </c>
      <c r="AB43" s="27">
        <f>Z43/Z46</f>
        <v>0.16666666666666669</v>
      </c>
      <c r="AC43" s="27">
        <f>LN(AB43)</f>
        <v>-1.791759469228055</v>
      </c>
      <c r="AD43" s="27">
        <f>RT0*AC43</f>
        <v>-4.0690303892493134</v>
      </c>
      <c r="AE43" s="8">
        <f>AA43+AD43</f>
        <v>827.73096961075066</v>
      </c>
      <c r="AF43" s="8">
        <f>AE43*AB43</f>
        <v>137.95516160179179</v>
      </c>
      <c r="AG43" s="55">
        <f>AF43*$Z$46</f>
        <v>51595.297168987796</v>
      </c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56"/>
      <c r="AT43" s="26" t="s">
        <v>23</v>
      </c>
      <c r="AU43" s="8">
        <f>M12</f>
        <v>2.7432810813101987</v>
      </c>
      <c r="AV43" s="27">
        <f>MW_CO2</f>
        <v>4.4009800000000002E-2</v>
      </c>
      <c r="AW43" s="27">
        <f>AU43/AV43</f>
        <v>62.333413951215377</v>
      </c>
      <c r="AX43" s="43">
        <f>b_ch_CO2</f>
        <v>19.900000000000034</v>
      </c>
      <c r="AY43" s="27">
        <f>AW43/$AW$46</f>
        <v>9.5057034220532313E-2</v>
      </c>
      <c r="AZ43" s="8">
        <f>LN(AY43)</f>
        <v>-2.3532782073095637</v>
      </c>
      <c r="BA43" s="8">
        <f>RT0*AZ43</f>
        <v>-5.3442220925034132</v>
      </c>
      <c r="BB43" s="8">
        <f>AX43+BA43</f>
        <v>14.555777907496621</v>
      </c>
      <c r="BC43" s="62">
        <f>h_CO2</f>
        <v>115.1314</v>
      </c>
      <c r="BD43" s="62">
        <f>s_CO2</f>
        <v>0.31597000000000003</v>
      </c>
      <c r="BE43" s="62">
        <f>h_0_CO2</f>
        <v>9.3640000000000008</v>
      </c>
      <c r="BF43" s="62">
        <f>s_0_CO2</f>
        <v>0.21368500000000001</v>
      </c>
      <c r="BG43" s="62">
        <f>(BC43-BE43)-$BF$38*(BD43-BF43)</f>
        <v>75.271127249999992</v>
      </c>
      <c r="BH43" s="62">
        <f>AY43*(BB43+BG43)</f>
        <v>8.5386791974806666</v>
      </c>
      <c r="BI43" s="62">
        <f>BH43*$AW$46</f>
        <v>5599.2176631388002</v>
      </c>
      <c r="BJ43" s="1"/>
      <c r="BL43" s="112" t="s">
        <v>48</v>
      </c>
      <c r="BM43" s="6" t="s">
        <v>325</v>
      </c>
      <c r="BN43" s="322"/>
      <c r="BO43" s="104" t="s">
        <v>48</v>
      </c>
      <c r="BT43" s="24" t="s">
        <v>68</v>
      </c>
      <c r="BU43" s="1">
        <f>AU44</f>
        <v>2.2459078113741029</v>
      </c>
      <c r="BV43" s="6">
        <f>MW_H2O</f>
        <v>1.8015280000000002E-2</v>
      </c>
      <c r="BW43" s="6">
        <f>BU43/BV43</f>
        <v>124.66682790243075</v>
      </c>
      <c r="BX43" s="7">
        <f>b_ch_H2O</f>
        <v>9.5113440000000082</v>
      </c>
      <c r="BY43" s="6">
        <f>BW43/$AW$46</f>
        <v>0.19011406844106463</v>
      </c>
      <c r="BZ43" s="1">
        <f>LN(BY43)</f>
        <v>-1.6601310267496185</v>
      </c>
      <c r="CA43" s="1">
        <f>RT0*BZ43</f>
        <v>-3.770106263699657</v>
      </c>
      <c r="CB43" s="1">
        <f>BX43+CA43</f>
        <v>5.7412377363003513</v>
      </c>
      <c r="CC43" s="1">
        <f>h_0_H2O</f>
        <v>9.9039999999999999</v>
      </c>
      <c r="CD43" s="1">
        <f>s_0_H2O</f>
        <v>0.18872</v>
      </c>
      <c r="CE43" s="1">
        <f>h_0_H2O</f>
        <v>9.9039999999999999</v>
      </c>
      <c r="CF43" s="1">
        <f>s_0_H2O</f>
        <v>0.18872</v>
      </c>
      <c r="CG43" s="4">
        <f>(CC43-CE43)-$BA$38*(CD43-CF43)</f>
        <v>0</v>
      </c>
      <c r="CH43" s="4">
        <f t="shared" ref="CH43:CH44" si="1">BY43*(CB43+CG43)</f>
        <v>1.0914900639354279</v>
      </c>
      <c r="CI43" s="4">
        <f>CH43*$AW$46</f>
        <v>715.74189681829694</v>
      </c>
    </row>
    <row r="44" spans="3:87" ht="19.25" customHeight="1" thickBot="1" x14ac:dyDescent="0.3">
      <c r="C44" s="1"/>
      <c r="D44" s="1"/>
      <c r="E44" s="1"/>
      <c r="F44" s="1"/>
      <c r="G44" s="1"/>
      <c r="H44" s="1"/>
      <c r="I44" s="1"/>
      <c r="J44" s="1"/>
      <c r="K44" s="74" t="s">
        <v>182</v>
      </c>
      <c r="L44" s="70" t="s">
        <v>166</v>
      </c>
      <c r="M44" s="70" t="s">
        <v>165</v>
      </c>
      <c r="N44" s="58" t="s">
        <v>162</v>
      </c>
      <c r="O44" s="1"/>
      <c r="P44" s="1"/>
      <c r="Q44" s="1"/>
      <c r="R44" s="125">
        <f>N33+N46-AG38</f>
        <v>363.48168596222968</v>
      </c>
      <c r="S44" s="13">
        <f>M33+M46-AF38</f>
        <v>0</v>
      </c>
      <c r="T44" s="140" t="s">
        <v>342</v>
      </c>
      <c r="U44" s="104" t="s">
        <v>99</v>
      </c>
      <c r="V44" s="1"/>
      <c r="W44" s="13" t="s">
        <v>27</v>
      </c>
      <c r="X44" s="6">
        <f>E50</f>
        <v>3.9891888926843011</v>
      </c>
      <c r="Y44" s="6">
        <f>MW_O2</f>
        <v>3.1998800000000001E-2</v>
      </c>
      <c r="Z44" s="6">
        <f>X44/Y44</f>
        <v>124.66682790243075</v>
      </c>
      <c r="AA44" s="7">
        <f>b_ch_O2</f>
        <v>4</v>
      </c>
      <c r="AB44" s="6">
        <f>Z44/Z46</f>
        <v>0.33333333333333337</v>
      </c>
      <c r="AC44" s="6">
        <f>LN(AB44)</f>
        <v>-1.0986122886681096</v>
      </c>
      <c r="AD44" s="6">
        <f>RT0*AC44</f>
        <v>-2.4949145604455567</v>
      </c>
      <c r="AE44" s="1">
        <f>AA44+AD44</f>
        <v>1.5050854395544433</v>
      </c>
      <c r="AF44" s="1">
        <f>AE44*AB44</f>
        <v>0.50169514651814784</v>
      </c>
      <c r="AG44" s="23">
        <f t="shared" ref="AG44:AG45" si="2">AF44*$Z$46</f>
        <v>187.63422747138813</v>
      </c>
      <c r="AH44" s="1"/>
      <c r="AI44" s="1"/>
      <c r="AJ44" s="1"/>
      <c r="AK44" s="110" t="s">
        <v>327</v>
      </c>
      <c r="AL44" s="136" t="s">
        <v>349</v>
      </c>
      <c r="AM44" s="321" t="s">
        <v>345</v>
      </c>
      <c r="AN44" s="103" t="s">
        <v>318</v>
      </c>
      <c r="AO44" s="1"/>
      <c r="AP44" s="1"/>
      <c r="AQ44" s="1"/>
      <c r="AR44" s="1"/>
      <c r="AS44" s="45"/>
      <c r="AT44" s="24" t="s">
        <v>68</v>
      </c>
      <c r="AU44" s="1">
        <f>M13</f>
        <v>2.2459078113741029</v>
      </c>
      <c r="AV44" s="6">
        <f>MW_H2O</f>
        <v>1.8015280000000002E-2</v>
      </c>
      <c r="AW44" s="6">
        <f>AU44/AV44</f>
        <v>124.66682790243075</v>
      </c>
      <c r="AX44" s="7">
        <f>b_ch_H2O</f>
        <v>9.5113440000000082</v>
      </c>
      <c r="AY44" s="6">
        <f>AW44/$AW$46</f>
        <v>0.19011406844106463</v>
      </c>
      <c r="AZ44" s="1">
        <f>LN(AY44)</f>
        <v>-1.6601310267496185</v>
      </c>
      <c r="BA44" s="1">
        <f>RT0*AZ44</f>
        <v>-3.770106263699657</v>
      </c>
      <c r="BB44" s="1">
        <f>AX44+BA44</f>
        <v>5.7412377363003513</v>
      </c>
      <c r="BC44" s="1">
        <f>h_H2O</f>
        <v>94.827839999999995</v>
      </c>
      <c r="BD44" s="1">
        <f>s_H2O</f>
        <v>0.27035000000000003</v>
      </c>
      <c r="BE44" s="1">
        <f>h_0_H2O</f>
        <v>9.9039999999999999</v>
      </c>
      <c r="BF44" s="1">
        <f>s_0_H2O</f>
        <v>0.18872</v>
      </c>
      <c r="BG44" s="4">
        <f t="shared" ref="BG44:BG45" si="3">(BC44-BE44)-$BF$38*(BD44-BF44)</f>
        <v>60.585855499999994</v>
      </c>
      <c r="BH44" s="4">
        <f t="shared" ref="BH44:BH45" si="4">AY44*(BB44+BG44)</f>
        <v>12.609713543022878</v>
      </c>
      <c r="BI44" s="4">
        <f>BH44*$AW$46</f>
        <v>8268.7883177583335</v>
      </c>
      <c r="BJ44" s="1"/>
      <c r="BK44" s="4"/>
      <c r="BL44" s="125">
        <f>(BI38-CI38)</f>
        <v>33548.785671916805</v>
      </c>
      <c r="BM44" s="13">
        <f>BH38-CH38</f>
        <v>0</v>
      </c>
      <c r="BN44" s="140" t="s">
        <v>342</v>
      </c>
      <c r="BO44" s="104" t="s">
        <v>99</v>
      </c>
      <c r="BT44" s="59" t="s">
        <v>67</v>
      </c>
      <c r="BU44" s="28">
        <f>AU45</f>
        <v>13.131242354806778</v>
      </c>
      <c r="BV44" s="29">
        <f>MW_N2</f>
        <v>2.801348E-2</v>
      </c>
      <c r="BW44" s="29">
        <f>BU44/BV44</f>
        <v>468.74727291313962</v>
      </c>
      <c r="BX44" s="60">
        <f>b_ch_N2</f>
        <v>0.7</v>
      </c>
      <c r="BY44" s="29">
        <f>BW44/$AW$46</f>
        <v>0.71482889733840305</v>
      </c>
      <c r="BZ44" s="2">
        <f>LN(BY44)</f>
        <v>-0.33571206934781533</v>
      </c>
      <c r="CA44" s="2">
        <f>RT0*BZ44</f>
        <v>-0.76239173598594567</v>
      </c>
      <c r="CB44" s="2">
        <f>BX44+CA44</f>
        <v>-6.2391735985945718E-2</v>
      </c>
      <c r="CC44" s="1">
        <f>h_0_N2</f>
        <v>8.6690000000000005</v>
      </c>
      <c r="CD44" s="1">
        <f>s_0_N2</f>
        <v>0.19150200000000001</v>
      </c>
      <c r="CE44" s="1">
        <f>h_0_N2</f>
        <v>8.6690000000000005</v>
      </c>
      <c r="CF44" s="1">
        <f>s_0_N2</f>
        <v>0.19150200000000001</v>
      </c>
      <c r="CG44" s="4">
        <f>(CC44-CE44)-$BA$38*(CD44-CF44)</f>
        <v>0</v>
      </c>
      <c r="CH44" s="4">
        <f t="shared" si="1"/>
        <v>-4.4599415837862338E-2</v>
      </c>
      <c r="CI44" s="4">
        <f>CH44*$AW$46</f>
        <v>-29.245956095728655</v>
      </c>
    </row>
    <row r="45" spans="3:87" ht="18" x14ac:dyDescent="0.25">
      <c r="C45" s="1"/>
      <c r="D45" s="1"/>
      <c r="E45" s="1"/>
      <c r="F45" s="1"/>
      <c r="G45" s="1"/>
      <c r="H45" s="1"/>
      <c r="I45" s="1"/>
      <c r="J45" s="1"/>
      <c r="K45" s="75" t="s">
        <v>208</v>
      </c>
      <c r="L45" s="38" t="s">
        <v>63</v>
      </c>
      <c r="M45" s="38" t="s">
        <v>11</v>
      </c>
      <c r="N45" s="47" t="s">
        <v>48</v>
      </c>
      <c r="O45" s="1"/>
      <c r="P45" s="1"/>
      <c r="Q45" s="1"/>
      <c r="R45" s="6">
        <f>N37-AG43</f>
        <v>253.63655563315115</v>
      </c>
      <c r="S45" s="4"/>
      <c r="T45" s="140" t="s">
        <v>343</v>
      </c>
      <c r="U45" s="104">
        <f>AG38/(N33+N46)</f>
        <v>0.99300767533374523</v>
      </c>
      <c r="V45" s="1"/>
      <c r="W45" s="39" t="s">
        <v>67</v>
      </c>
      <c r="X45" s="7">
        <f>E51</f>
        <v>13.131242354806778</v>
      </c>
      <c r="Y45" s="6">
        <f>MW_N2</f>
        <v>2.801348E-2</v>
      </c>
      <c r="Z45" s="7">
        <f>SUM(Z43:Z44)</f>
        <v>187.00024185364612</v>
      </c>
      <c r="AA45" s="7">
        <f>b_ch_N2</f>
        <v>0.7</v>
      </c>
      <c r="AB45" s="6">
        <f>Z45/Z46</f>
        <v>0.5</v>
      </c>
      <c r="AC45" s="6">
        <f>LN(AB45)</f>
        <v>-0.69314718055994529</v>
      </c>
      <c r="AD45" s="6">
        <f>RT0*AC45</f>
        <v>-1.5741158288037564</v>
      </c>
      <c r="AE45" s="1">
        <f>AA45+AD45</f>
        <v>-0.87411582880375649</v>
      </c>
      <c r="AF45" s="1">
        <f>AE45*AB45</f>
        <v>-0.43705791440187824</v>
      </c>
      <c r="AG45" s="18">
        <f t="shared" si="2"/>
        <v>-163.4598713944028</v>
      </c>
      <c r="AH45" s="7"/>
      <c r="AI45" s="1"/>
      <c r="AJ45" s="1"/>
      <c r="AK45" s="112" t="s">
        <v>48</v>
      </c>
      <c r="AL45" s="6" t="s">
        <v>325</v>
      </c>
      <c r="AM45" s="322"/>
      <c r="AN45" s="104" t="s">
        <v>48</v>
      </c>
      <c r="AO45" s="1"/>
      <c r="AP45" s="1"/>
      <c r="AQ45" s="1"/>
      <c r="AR45" s="1"/>
      <c r="AS45" s="45"/>
      <c r="AT45" s="59" t="s">
        <v>67</v>
      </c>
      <c r="AU45" s="28">
        <f>M14</f>
        <v>13.131242354806778</v>
      </c>
      <c r="AV45" s="29">
        <f>MW_N2</f>
        <v>2.801348E-2</v>
      </c>
      <c r="AW45" s="29">
        <f>AU45/AV45</f>
        <v>468.74727291313962</v>
      </c>
      <c r="AX45" s="60">
        <f>b_ch_N2</f>
        <v>0.7</v>
      </c>
      <c r="AY45" s="29">
        <f>AW45/$AW$46</f>
        <v>0.71482889733840305</v>
      </c>
      <c r="AZ45" s="2">
        <f>LN(AY45)</f>
        <v>-0.33571206934781533</v>
      </c>
      <c r="BA45" s="2">
        <f>RT0*AZ45</f>
        <v>-0.76239173598594567</v>
      </c>
      <c r="BB45" s="2">
        <f>AX45+BA45</f>
        <v>-6.2391735985945718E-2</v>
      </c>
      <c r="BC45" s="1">
        <f>h_N2</f>
        <v>73.347520000000003</v>
      </c>
      <c r="BD45" s="1">
        <f>s_N2</f>
        <v>0.25600000000000001</v>
      </c>
      <c r="BE45" s="1">
        <f>h_0_N2</f>
        <v>8.6690000000000005</v>
      </c>
      <c r="BF45" s="1">
        <f>s_0_N2</f>
        <v>0.19150200000000001</v>
      </c>
      <c r="BG45" s="4">
        <f t="shared" si="3"/>
        <v>45.448441300000006</v>
      </c>
      <c r="BH45" s="4">
        <f t="shared" si="4"/>
        <v>32.443259764390277</v>
      </c>
      <c r="BI45" s="4">
        <f>BH45*$AW$46</f>
        <v>21274.586961432182</v>
      </c>
      <c r="BJ45" s="1"/>
      <c r="BK45" s="4"/>
      <c r="BL45" s="6"/>
      <c r="BM45" s="4"/>
      <c r="BN45" s="140" t="s">
        <v>343</v>
      </c>
      <c r="BO45" s="104">
        <f>CI38/BI38</f>
        <v>4.5352580358200237E-2</v>
      </c>
      <c r="BQ45" s="7"/>
      <c r="BR45" s="7"/>
      <c r="BS45" s="45"/>
      <c r="BT45" s="4" t="s">
        <v>19</v>
      </c>
      <c r="BU45" s="4">
        <f>SUM(BU42:BU44)</f>
        <v>18.12043124749108</v>
      </c>
      <c r="BV45" s="4">
        <f>BY42*BV42 + BY43*BV43 + BY44*BV44</f>
        <v>2.7633244258555133E-2</v>
      </c>
      <c r="BW45" s="4">
        <f>SUM(BW42:BW44)</f>
        <v>655.7475147667858</v>
      </c>
      <c r="BX45" s="4"/>
      <c r="BY45" s="4">
        <f>SUM(BY42:BY44)</f>
        <v>1</v>
      </c>
      <c r="CB45" s="17">
        <f>SUM(CB42:CB44)</f>
        <v>20.234623907811027</v>
      </c>
      <c r="CC45" s="17"/>
      <c r="CD45" s="17"/>
      <c r="CE45" s="17"/>
      <c r="CF45" s="17"/>
      <c r="CG45" s="17">
        <f>SUM(CG42:CG44)</f>
        <v>0</v>
      </c>
      <c r="CH45" s="17">
        <f>SUM(CH42:CH44)</f>
        <v>2.4305197267569403</v>
      </c>
      <c r="CI45" s="17">
        <f>SUM(CI42:CI44)</f>
        <v>1593.8072704125107</v>
      </c>
    </row>
    <row r="46" spans="3:87" ht="19" thickBot="1" x14ac:dyDescent="0.3">
      <c r="C46" s="1"/>
      <c r="D46" s="1"/>
      <c r="E46" s="1"/>
      <c r="F46" s="1"/>
      <c r="G46" s="1"/>
      <c r="H46" s="1"/>
      <c r="I46" s="1"/>
      <c r="J46" s="1"/>
      <c r="K46" s="76">
        <v>1</v>
      </c>
      <c r="L46" s="69">
        <v>298.14999999999998</v>
      </c>
      <c r="M46" s="69">
        <f>E52</f>
        <v>17.12043124749108</v>
      </c>
      <c r="N46" s="48">
        <f>N52</f>
        <v>134.0194864060721</v>
      </c>
      <c r="O46" s="1"/>
      <c r="P46" s="1"/>
      <c r="Q46" s="1"/>
      <c r="R46" s="6"/>
      <c r="S46" s="4"/>
      <c r="T46" s="141" t="s">
        <v>344</v>
      </c>
      <c r="U46" s="100">
        <f>AG43/N37</f>
        <v>0.99510816255199652</v>
      </c>
      <c r="V46" s="1"/>
      <c r="W46" s="8" t="s">
        <v>19</v>
      </c>
      <c r="X46" s="8">
        <f>SUM(X43:X45)</f>
        <v>18.12043124749108</v>
      </c>
      <c r="Y46" s="8">
        <f>AB43*Y43 + AB44*Y44 + AB45*Y45</f>
        <v>2.7346800000000004E-2</v>
      </c>
      <c r="Z46" s="8">
        <f>SUM(Z43:Z45)</f>
        <v>374.00048370729223</v>
      </c>
      <c r="AA46" s="8"/>
      <c r="AB46" s="8">
        <f>SUM(AB43:AB45)</f>
        <v>1</v>
      </c>
      <c r="AC46" s="8"/>
      <c r="AD46" s="8"/>
      <c r="AE46" s="8"/>
      <c r="AF46" s="8">
        <f>SUM(AF43:AF45)</f>
        <v>138.01979883390806</v>
      </c>
      <c r="AG46" s="8">
        <f>SUM(AG43:AG45)</f>
        <v>51619.471525064786</v>
      </c>
      <c r="AH46" s="1"/>
      <c r="AI46" s="1"/>
      <c r="AJ46" s="1"/>
      <c r="AK46" s="125">
        <f>AG38-BI38</f>
        <v>16476.878582735473</v>
      </c>
      <c r="AL46" s="13">
        <f>BH38-AF38</f>
        <v>0</v>
      </c>
      <c r="AM46" s="140" t="s">
        <v>342</v>
      </c>
      <c r="AN46" s="104" t="s">
        <v>99</v>
      </c>
      <c r="AO46" s="1"/>
      <c r="AP46" s="1"/>
      <c r="AQ46" s="1"/>
      <c r="AR46" s="1"/>
      <c r="AS46" s="45"/>
      <c r="AT46" s="4" t="s">
        <v>19</v>
      </c>
      <c r="AU46" s="4">
        <f>SUM(AU43:AU45)</f>
        <v>18.12043124749108</v>
      </c>
      <c r="AV46" s="4">
        <f>AY43*AV43 + AY44*AV44 + AY45*AV45</f>
        <v>2.7633244258555133E-2</v>
      </c>
      <c r="AW46" s="4">
        <f>SUM(AW43:AW45)</f>
        <v>655.7475147667858</v>
      </c>
      <c r="AX46" s="4"/>
      <c r="AY46" s="4">
        <f>SUM(AY43:AY45)</f>
        <v>1</v>
      </c>
      <c r="BB46" s="17">
        <f>SUM(BB43:BB45)</f>
        <v>20.234623907811027</v>
      </c>
      <c r="BC46" s="17"/>
      <c r="BD46" s="17"/>
      <c r="BE46" s="17"/>
      <c r="BF46" s="17"/>
      <c r="BG46" s="17">
        <f>SUM(BG43:BG45)</f>
        <v>181.30542405</v>
      </c>
      <c r="BH46" s="17">
        <f>SUM(BH43:BH45)</f>
        <v>53.591652504893823</v>
      </c>
      <c r="BI46" s="17">
        <f>SUM(BI43:BI45)</f>
        <v>35142.592942329313</v>
      </c>
      <c r="BL46" s="6"/>
      <c r="BM46" s="4"/>
      <c r="BN46" s="141" t="s">
        <v>344</v>
      </c>
      <c r="BO46" s="100">
        <f>CI42/BI43</f>
        <v>0.16204251812945655</v>
      </c>
      <c r="BQ46" s="4"/>
      <c r="BR46" s="4"/>
      <c r="BS46" s="45"/>
      <c r="BT46" s="4"/>
      <c r="BU46" s="1" t="s">
        <v>90</v>
      </c>
      <c r="BV46" s="3" t="s">
        <v>92</v>
      </c>
      <c r="BW46" s="3" t="s">
        <v>88</v>
      </c>
      <c r="BX46" s="4"/>
      <c r="BY46" s="4"/>
      <c r="CD46" s="1"/>
      <c r="CE46" s="1"/>
      <c r="CF46" s="1"/>
      <c r="CG46" s="3" t="s">
        <v>97</v>
      </c>
      <c r="CH46" s="3" t="s">
        <v>97</v>
      </c>
      <c r="CI46" s="1" t="s">
        <v>94</v>
      </c>
    </row>
    <row r="47" spans="3:87" ht="18" x14ac:dyDescent="0.25">
      <c r="C47" s="391" t="s">
        <v>84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 t="s">
        <v>90</v>
      </c>
      <c r="Y47" s="3" t="s">
        <v>92</v>
      </c>
      <c r="Z47" s="3" t="s">
        <v>88</v>
      </c>
      <c r="AA47" s="4"/>
      <c r="AB47" s="4"/>
      <c r="AF47" s="3" t="s">
        <v>97</v>
      </c>
      <c r="AG47" s="1" t="s">
        <v>94</v>
      </c>
      <c r="AH47" s="1"/>
      <c r="AI47" s="1"/>
      <c r="AJ47" s="1"/>
      <c r="AK47" s="6"/>
      <c r="AL47" s="4"/>
      <c r="AM47" s="140" t="s">
        <v>343</v>
      </c>
      <c r="AN47" s="104">
        <f>BI38/AG38</f>
        <v>0.68080109896640806</v>
      </c>
      <c r="AO47" s="1"/>
      <c r="AP47" s="1"/>
      <c r="AQ47" s="1"/>
      <c r="AR47" s="1"/>
      <c r="AS47" s="45"/>
      <c r="AT47" s="4"/>
      <c r="AU47" s="1" t="s">
        <v>90</v>
      </c>
      <c r="AV47" s="3" t="s">
        <v>92</v>
      </c>
      <c r="AW47" s="3" t="s">
        <v>88</v>
      </c>
      <c r="AX47" s="4"/>
      <c r="AY47" s="4"/>
      <c r="BD47" s="1"/>
      <c r="BE47" s="1"/>
      <c r="BF47" s="1"/>
      <c r="BG47" s="3" t="s">
        <v>97</v>
      </c>
      <c r="BH47" s="3" t="s">
        <v>97</v>
      </c>
      <c r="BI47" s="1" t="s">
        <v>94</v>
      </c>
      <c r="BJ47" s="4"/>
      <c r="BL47" s="57"/>
      <c r="BQ47" s="4"/>
      <c r="BR47" s="4"/>
      <c r="BS47" s="45"/>
      <c r="BT47" s="4"/>
      <c r="BU47" s="4"/>
      <c r="BV47" s="4"/>
      <c r="BW47" s="4"/>
      <c r="BX47" s="4"/>
      <c r="BY47" s="4"/>
    </row>
    <row r="48" spans="3:87" ht="19" thickBot="1" x14ac:dyDescent="0.3">
      <c r="C48" s="391"/>
      <c r="D48" s="1"/>
      <c r="E48" s="1" t="s">
        <v>138</v>
      </c>
      <c r="F48" s="1" t="s">
        <v>5</v>
      </c>
      <c r="G48" s="1" t="s">
        <v>86</v>
      </c>
      <c r="H48" s="1" t="s">
        <v>139</v>
      </c>
      <c r="I48" s="1" t="s">
        <v>140</v>
      </c>
      <c r="J48" s="1" t="s">
        <v>8</v>
      </c>
      <c r="K48" s="1" t="s">
        <v>141</v>
      </c>
      <c r="L48" s="1" t="s">
        <v>142</v>
      </c>
      <c r="M48" s="1" t="s">
        <v>143</v>
      </c>
      <c r="N48" s="1" t="s">
        <v>144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6"/>
      <c r="AL48" s="4"/>
      <c r="AM48" s="141" t="s">
        <v>344</v>
      </c>
      <c r="AN48" s="100">
        <f>BI43/AG38</f>
        <v>0.10847103811243006</v>
      </c>
      <c r="AO48" s="1"/>
      <c r="AP48" s="1"/>
      <c r="AQ48" s="1"/>
      <c r="AR48" s="1"/>
      <c r="AS48" s="45"/>
      <c r="AT48" s="4"/>
      <c r="AU48" s="4"/>
      <c r="AV48" s="4"/>
      <c r="AW48" s="4"/>
      <c r="AX48" s="4"/>
      <c r="AY48" s="4"/>
      <c r="BD48" s="1"/>
      <c r="BE48" s="1"/>
      <c r="BF48" s="1"/>
      <c r="BG48" s="1"/>
      <c r="BH48" s="1"/>
      <c r="BI48" s="1"/>
      <c r="BJ48" s="4"/>
      <c r="BL48" s="57"/>
      <c r="BS48" s="45"/>
    </row>
    <row r="49" spans="3:77" ht="15.5" customHeight="1" x14ac:dyDescent="0.25">
      <c r="C49" s="391"/>
      <c r="D49" s="7"/>
      <c r="E49" s="1" t="s">
        <v>89</v>
      </c>
      <c r="F49" s="1" t="s">
        <v>91</v>
      </c>
      <c r="G49" s="2" t="s">
        <v>87</v>
      </c>
      <c r="H49" s="1" t="s">
        <v>14</v>
      </c>
      <c r="I49" s="2" t="s">
        <v>25</v>
      </c>
      <c r="J49" s="1" t="s">
        <v>99</v>
      </c>
      <c r="K49" s="1" t="s">
        <v>14</v>
      </c>
      <c r="L49" s="1" t="s">
        <v>14</v>
      </c>
      <c r="M49" s="1" t="s">
        <v>26</v>
      </c>
      <c r="N49" s="1" t="s">
        <v>48</v>
      </c>
      <c r="O49" s="1"/>
      <c r="P49" s="1"/>
      <c r="Q49" s="1"/>
      <c r="R49" s="1"/>
      <c r="S49" s="1"/>
      <c r="T49" s="1"/>
      <c r="U49" s="1"/>
      <c r="V49" s="1"/>
      <c r="W49" s="1"/>
      <c r="X49" s="1" t="s">
        <v>47</v>
      </c>
      <c r="Y49" s="1" t="s">
        <v>5</v>
      </c>
      <c r="Z49" s="115" t="s">
        <v>323</v>
      </c>
      <c r="AA49" s="1" t="s">
        <v>317</v>
      </c>
      <c r="AB49" s="1"/>
      <c r="AC49" s="1"/>
      <c r="AD49" s="1"/>
      <c r="AE49" s="1"/>
      <c r="AF49" s="1"/>
      <c r="AG49" s="1"/>
      <c r="AH49" s="1"/>
      <c r="AI49" s="1"/>
      <c r="AJ49" s="1"/>
      <c r="AK49" s="73"/>
      <c r="AL49" s="73"/>
      <c r="AM49" s="73" t="s">
        <v>188</v>
      </c>
      <c r="AN49" s="73"/>
      <c r="AO49" s="73"/>
      <c r="AP49" s="1"/>
      <c r="AQ49" s="1"/>
      <c r="AR49" s="1"/>
      <c r="AS49" s="4"/>
      <c r="AT49" s="4"/>
      <c r="AY49" s="1"/>
      <c r="AZ49" s="1"/>
      <c r="BA49" s="1"/>
      <c r="BB49" s="1"/>
      <c r="BC49" s="1"/>
      <c r="BL49" s="57"/>
      <c r="BS49" s="45"/>
      <c r="BT49" s="4"/>
      <c r="BU49" s="4"/>
      <c r="BV49" s="4"/>
      <c r="BW49" s="4"/>
      <c r="BX49" s="4"/>
      <c r="BY49" s="4"/>
    </row>
    <row r="50" spans="3:77" ht="17" x14ac:dyDescent="0.25">
      <c r="C50" s="391"/>
      <c r="D50" s="17" t="s">
        <v>27</v>
      </c>
      <c r="E50" s="27">
        <f>D13</f>
        <v>3.9891888926843011</v>
      </c>
      <c r="F50" s="27">
        <f>MW_O2</f>
        <v>3.1998800000000001E-2</v>
      </c>
      <c r="G50" s="27">
        <f>E50/F50</f>
        <v>124.66682790243075</v>
      </c>
      <c r="H50" s="43">
        <f>b_ch_O2</f>
        <v>4</v>
      </c>
      <c r="I50" s="27">
        <f>G50/G52</f>
        <v>0.21008403361344538</v>
      </c>
      <c r="J50" s="27">
        <f>LN(I50)</f>
        <v>-1.5602476682433286</v>
      </c>
      <c r="K50" s="27">
        <f>RT0*J50</f>
        <v>-3.5432742429276503</v>
      </c>
      <c r="L50" s="8">
        <f>H50+K50</f>
        <v>0.45672575707234975</v>
      </c>
      <c r="M50" s="8">
        <f>L50*I50</f>
        <v>9.5950789300913816E-2</v>
      </c>
      <c r="N50" s="55">
        <f>M50*$G$52</f>
        <v>56.938551355546018</v>
      </c>
      <c r="O50" s="1"/>
      <c r="P50" s="1"/>
      <c r="Q50" s="1"/>
      <c r="R50" s="1"/>
      <c r="S50" s="1"/>
      <c r="T50" s="1"/>
      <c r="U50" s="1"/>
      <c r="V50" s="1"/>
      <c r="W50" s="13" t="s">
        <v>65</v>
      </c>
      <c r="X50" s="1">
        <f>X43/$X$46</f>
        <v>5.5186324560485174E-2</v>
      </c>
      <c r="Y50" s="27">
        <f>MW_CH4</f>
        <v>1.604276E-2</v>
      </c>
      <c r="Z50" s="1">
        <f>1.0401+(Y51*(X51/X54))+(Y52*(X52/X54)+(Y53*(X53/X54)))</f>
        <v>1.0779771514784724</v>
      </c>
      <c r="AA50" s="1">
        <f>X43*Z50*AE34</f>
        <v>0</v>
      </c>
      <c r="AB50" s="1"/>
      <c r="AC50" s="1"/>
      <c r="AD50" s="1"/>
      <c r="AE50" s="1"/>
      <c r="AF50" s="1"/>
      <c r="AG50" s="1"/>
      <c r="AH50" s="1"/>
      <c r="AI50" s="73"/>
      <c r="AJ50" s="73"/>
      <c r="AK50" s="73" t="s">
        <v>189</v>
      </c>
      <c r="AL50" s="73"/>
      <c r="AM50" s="73"/>
      <c r="AN50" s="1"/>
      <c r="AO50" s="1"/>
      <c r="AP50" s="1"/>
      <c r="AQ50" s="1"/>
      <c r="AR50" s="4"/>
      <c r="AS50" s="56"/>
      <c r="AT50" s="4"/>
      <c r="AU50" s="4"/>
      <c r="AV50" s="4"/>
      <c r="AW50" s="4"/>
      <c r="AX50" s="4"/>
      <c r="AY50" s="4"/>
      <c r="AZ50" s="1"/>
      <c r="BA50" s="1"/>
      <c r="BB50" s="1"/>
      <c r="BC50" s="1"/>
      <c r="BD50" s="4"/>
      <c r="BE50" s="4"/>
      <c r="BF50" s="4"/>
      <c r="BG50" s="4"/>
      <c r="BH50" s="4"/>
      <c r="BI50" s="4"/>
      <c r="BJ50" s="4"/>
      <c r="BL50" s="57"/>
    </row>
    <row r="51" spans="3:77" ht="15.5" customHeight="1" x14ac:dyDescent="0.25">
      <c r="C51" s="391"/>
      <c r="D51" s="7" t="s">
        <v>67</v>
      </c>
      <c r="E51" s="6">
        <f>D14</f>
        <v>13.131242354806778</v>
      </c>
      <c r="F51" s="6">
        <f>MW_N2</f>
        <v>2.801348E-2</v>
      </c>
      <c r="G51" s="6">
        <f>E51/F51</f>
        <v>468.74727291313962</v>
      </c>
      <c r="H51" s="7">
        <f>b_ch_N2</f>
        <v>0.7</v>
      </c>
      <c r="I51" s="6">
        <f>G51/G52</f>
        <v>0.7899159663865547</v>
      </c>
      <c r="J51" s="6">
        <f>LN(I51)</f>
        <v>-0.23582871084152537</v>
      </c>
      <c r="K51" s="6">
        <f>RT0*J51</f>
        <v>-0.53555971521393908</v>
      </c>
      <c r="L51" s="1">
        <f>H51+K51</f>
        <v>0.16444028478606088</v>
      </c>
      <c r="M51" s="1">
        <f>L51*I51</f>
        <v>0.12989400646966154</v>
      </c>
      <c r="N51" s="18">
        <f>M51*$G$52</f>
        <v>77.08093505052608</v>
      </c>
      <c r="O51" s="1"/>
      <c r="P51" s="1"/>
      <c r="Q51" s="1"/>
      <c r="R51" s="1"/>
      <c r="S51" s="1"/>
      <c r="T51" s="1"/>
      <c r="U51" s="1"/>
      <c r="V51" s="1"/>
      <c r="W51" s="13" t="s">
        <v>27</v>
      </c>
      <c r="X51" s="1">
        <f t="shared" ref="X51:X52" si="5">X44/$X$46</f>
        <v>0.22014867296475829</v>
      </c>
      <c r="Y51" s="6">
        <f>MW_O2</f>
        <v>3.1998800000000001E-2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4"/>
      <c r="AS51" s="5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L51" s="57"/>
    </row>
    <row r="52" spans="3:77" ht="18" x14ac:dyDescent="0.25">
      <c r="C52" s="6"/>
      <c r="D52" s="8" t="s">
        <v>19</v>
      </c>
      <c r="E52" s="43">
        <f>SUM(E50:E51)</f>
        <v>17.12043124749108</v>
      </c>
      <c r="F52" s="27">
        <f>I50*F50 + I51*F51</f>
        <v>2.885073210084034E-2</v>
      </c>
      <c r="G52" s="43">
        <f>SUM(G50:G51)</f>
        <v>593.41410081557035</v>
      </c>
      <c r="H52" s="43"/>
      <c r="I52" s="43">
        <f>SUM(I50:I51)</f>
        <v>1</v>
      </c>
      <c r="J52" s="27"/>
      <c r="K52" s="27"/>
      <c r="L52" s="8"/>
      <c r="M52" s="8">
        <f>M50+M51</f>
        <v>0.22584479577057537</v>
      </c>
      <c r="N52" s="43">
        <f>SUM(N50:N51)</f>
        <v>134.0194864060721</v>
      </c>
      <c r="O52" s="1"/>
      <c r="P52" s="1"/>
      <c r="Q52" s="1"/>
      <c r="R52" s="1"/>
      <c r="S52" s="1"/>
      <c r="T52" s="1"/>
      <c r="U52" s="1"/>
      <c r="V52" s="1"/>
      <c r="W52" s="39" t="s">
        <v>67</v>
      </c>
      <c r="X52" s="1">
        <f t="shared" si="5"/>
        <v>0.72466500247475651</v>
      </c>
      <c r="Y52" s="6">
        <f>MW_N2</f>
        <v>2.801348E-2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4"/>
      <c r="AS52" s="56"/>
      <c r="AU52" s="1"/>
      <c r="AV52" s="1"/>
      <c r="AW52" s="1"/>
      <c r="AX52" s="1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L52" s="57"/>
    </row>
    <row r="53" spans="3:77" ht="18" x14ac:dyDescent="0.25">
      <c r="E53" s="1" t="s">
        <v>90</v>
      </c>
      <c r="F53" s="3" t="s">
        <v>92</v>
      </c>
      <c r="G53" s="3" t="s">
        <v>88</v>
      </c>
      <c r="H53" s="4"/>
      <c r="I53" s="4"/>
      <c r="M53" s="3" t="s">
        <v>97</v>
      </c>
      <c r="N53" s="1" t="s">
        <v>94</v>
      </c>
      <c r="O53" s="1"/>
      <c r="P53" s="1"/>
      <c r="Q53" s="1"/>
      <c r="R53" s="1"/>
      <c r="S53" s="1"/>
      <c r="T53" s="1"/>
      <c r="U53" s="1"/>
      <c r="V53" s="1"/>
      <c r="W53" s="1" t="s">
        <v>183</v>
      </c>
      <c r="X53" s="1">
        <f>Y53/Y55</f>
        <v>0.25131336503195217</v>
      </c>
      <c r="Y53" s="1">
        <f>MW_H*4</f>
        <v>4.0317600000000006E-3</v>
      </c>
      <c r="Z53" s="1">
        <f>Z55*AA53</f>
        <v>0</v>
      </c>
      <c r="AA53" s="1"/>
      <c r="AB53" s="1"/>
      <c r="AC53" s="1"/>
      <c r="AD53" s="1"/>
      <c r="AE53" s="1"/>
      <c r="AF53" s="1"/>
      <c r="AG53" s="1"/>
      <c r="AH53" s="1"/>
      <c r="AI53" s="1"/>
      <c r="AJ53" s="1"/>
      <c r="AM53" s="4"/>
      <c r="AN53" s="4"/>
      <c r="AO53" s="4"/>
      <c r="AP53" s="4"/>
      <c r="AQ53" s="4"/>
      <c r="AR53" s="4"/>
      <c r="AS53" s="56"/>
      <c r="AT53" s="7"/>
      <c r="AU53" s="1"/>
      <c r="AV53" s="1"/>
      <c r="AW53" s="1"/>
      <c r="AX53" s="1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M53" s="57"/>
    </row>
    <row r="54" spans="3:77" ht="16" x14ac:dyDescent="0.2">
      <c r="N54" s="1">
        <f>M52*G52</f>
        <v>134.0194864060721</v>
      </c>
      <c r="O54" s="1"/>
      <c r="P54" s="1"/>
      <c r="Q54" s="1"/>
      <c r="R54" s="1"/>
      <c r="S54" s="1"/>
      <c r="T54" s="1"/>
      <c r="U54" s="1"/>
      <c r="V54" s="1"/>
      <c r="W54" s="1" t="s">
        <v>18</v>
      </c>
      <c r="X54" s="1">
        <f>Y54/Y55</f>
        <v>0.74868663496804788</v>
      </c>
      <c r="Y54" s="1">
        <f>MW_C</f>
        <v>1.2010999999999999E-2</v>
      </c>
      <c r="Z54" s="1">
        <f>AA54*Z55</f>
        <v>0</v>
      </c>
      <c r="AA54" s="1"/>
      <c r="AB54" s="1"/>
      <c r="AC54" s="1"/>
      <c r="AD54" s="1"/>
      <c r="AE54" s="1"/>
      <c r="AF54" s="1"/>
      <c r="AG54" s="1"/>
      <c r="AH54" s="1"/>
      <c r="AI54" s="1"/>
      <c r="AL54" s="4"/>
      <c r="AM54" s="4"/>
      <c r="AN54" s="4"/>
      <c r="AO54" s="4"/>
      <c r="AP54" s="4"/>
      <c r="AQ54" s="4"/>
      <c r="AR54" s="4"/>
      <c r="AS54" s="4"/>
      <c r="BA54" s="4"/>
      <c r="BB54" s="4"/>
      <c r="BC54" s="4"/>
    </row>
    <row r="55" spans="3:77" ht="16" x14ac:dyDescent="0.2"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>
        <f>Y53+Y54</f>
        <v>1.604276E-2</v>
      </c>
      <c r="Z55" s="1">
        <f>Z43</f>
        <v>62.333413951215377</v>
      </c>
      <c r="AA55" s="1"/>
      <c r="AB55" s="1"/>
      <c r="AC55" s="1"/>
      <c r="AD55" s="1"/>
      <c r="AE55" s="1"/>
      <c r="AF55" s="1"/>
      <c r="AG55" s="1"/>
      <c r="AH55" s="1"/>
      <c r="AI55" s="1"/>
      <c r="AL55" s="4"/>
      <c r="AM55" s="4"/>
      <c r="AN55" s="4"/>
      <c r="AO55" s="4"/>
      <c r="AR55" s="4"/>
      <c r="AS55" s="4"/>
      <c r="AT55" s="4"/>
      <c r="AU55" s="4"/>
      <c r="AV55" s="4"/>
      <c r="AW55" s="4"/>
      <c r="BC55" s="1"/>
    </row>
    <row r="56" spans="3:77" ht="16" x14ac:dyDescent="0.2"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 t="s">
        <v>362</v>
      </c>
      <c r="Z56" s="1"/>
      <c r="AA56" s="1" t="s">
        <v>361</v>
      </c>
      <c r="AB56" s="1"/>
      <c r="AC56" s="1"/>
      <c r="AD56" s="1"/>
      <c r="AE56" s="1"/>
      <c r="AF56" s="1"/>
      <c r="AG56" s="1"/>
      <c r="AH56" s="1"/>
      <c r="AI56" s="1"/>
      <c r="AL56" s="4"/>
      <c r="AM56" s="4"/>
      <c r="AN56" s="4"/>
      <c r="AO56" s="4"/>
      <c r="AR56" s="4"/>
      <c r="AS56" s="4"/>
      <c r="AT56" s="4"/>
      <c r="AU56" s="4"/>
      <c r="AV56" s="4"/>
    </row>
    <row r="57" spans="3:77" ht="34" x14ac:dyDescent="0.4">
      <c r="C57" s="389">
        <v>2</v>
      </c>
      <c r="D57" s="389"/>
      <c r="E57" s="389"/>
      <c r="F57" s="389"/>
      <c r="G57" s="389"/>
      <c r="H57" s="389"/>
      <c r="I57" s="389"/>
      <c r="J57" s="389"/>
      <c r="K57" s="389"/>
      <c r="L57" s="389"/>
      <c r="M57" s="389"/>
      <c r="N57" s="389"/>
      <c r="O57" s="389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L57" s="4"/>
      <c r="AM57" s="4"/>
      <c r="AN57" s="4"/>
      <c r="AO57" s="4"/>
      <c r="AR57" s="4"/>
      <c r="AS57" s="4"/>
      <c r="AT57" s="4"/>
      <c r="AU57" s="4"/>
      <c r="AV57" s="4"/>
    </row>
    <row r="58" spans="3:77" ht="16" x14ac:dyDescent="0.2"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S58" s="4"/>
      <c r="AT58" s="4"/>
      <c r="AU58" s="4"/>
      <c r="AV58" s="4"/>
    </row>
    <row r="59" spans="3:77" ht="16" x14ac:dyDescent="0.2">
      <c r="N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T59" s="4"/>
      <c r="AU59" s="4"/>
      <c r="AV59" s="4"/>
    </row>
    <row r="60" spans="3:77" ht="16" x14ac:dyDescent="0.2"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</row>
    <row r="61" spans="3:77" ht="16" x14ac:dyDescent="0.2"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</row>
    <row r="62" spans="3:77" ht="16" x14ac:dyDescent="0.2">
      <c r="P62" s="1"/>
      <c r="Q62" s="1"/>
    </row>
    <row r="63" spans="3:77" ht="14.5" customHeight="1" x14ac:dyDescent="0.35"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3:77" ht="14.5" customHeight="1" x14ac:dyDescent="0.35"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4:34" ht="16" x14ac:dyDescent="0.2"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</row>
    <row r="66" spans="14:34" ht="16" x14ac:dyDescent="0.2"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</row>
    <row r="67" spans="14:34" ht="29" x14ac:dyDescent="0.35">
      <c r="N67" s="5"/>
      <c r="O67" s="1"/>
      <c r="P67" s="1"/>
    </row>
    <row r="68" spans="14:34" ht="29" x14ac:dyDescent="0.35">
      <c r="N68" s="5"/>
      <c r="O68" s="1"/>
      <c r="P68" s="1"/>
    </row>
    <row r="69" spans="14:34" ht="29" x14ac:dyDescent="0.35">
      <c r="N69" s="5"/>
    </row>
    <row r="70" spans="14:34" ht="29" x14ac:dyDescent="0.35">
      <c r="N70" s="5"/>
    </row>
  </sheetData>
  <mergeCells count="20">
    <mergeCell ref="C57:O57"/>
    <mergeCell ref="C28:O28"/>
    <mergeCell ref="W28:AG28"/>
    <mergeCell ref="AT28:BI28"/>
    <mergeCell ref="BT28:CI28"/>
    <mergeCell ref="C47:C51"/>
    <mergeCell ref="AM44:AM45"/>
    <mergeCell ref="BI17:BI22"/>
    <mergeCell ref="BL38:BO40"/>
    <mergeCell ref="C34:C37"/>
    <mergeCell ref="AJ37:AO42"/>
    <mergeCell ref="R38:U40"/>
    <mergeCell ref="T42:T43"/>
    <mergeCell ref="BN42:BN43"/>
    <mergeCell ref="BI10:BQ11"/>
    <mergeCell ref="H2:M2"/>
    <mergeCell ref="H3:J3"/>
    <mergeCell ref="L3:M3"/>
    <mergeCell ref="H5:M5"/>
    <mergeCell ref="AN3:BK5"/>
  </mergeCells>
  <conditionalFormatting sqref="S44">
    <cfRule type="cellIs" dxfId="2" priority="3" operator="notEqual">
      <formula>0</formula>
    </cfRule>
  </conditionalFormatting>
  <conditionalFormatting sqref="AL46">
    <cfRule type="cellIs" dxfId="1" priority="2" operator="notEqual">
      <formula>0</formula>
    </cfRule>
  </conditionalFormatting>
  <conditionalFormatting sqref="BM44">
    <cfRule type="cellIs" dxfId="0" priority="1" operator="notEqual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6D678-D2A5-7B48-9C1B-E9F83E157EA3}">
  <dimension ref="A2:W38"/>
  <sheetViews>
    <sheetView zoomScale="161" workbookViewId="0">
      <selection activeCell="L19" sqref="L19"/>
    </sheetView>
  </sheetViews>
  <sheetFormatPr baseColWidth="10" defaultColWidth="11.5" defaultRowHeight="15" x14ac:dyDescent="0.2"/>
  <sheetData>
    <row r="2" spans="1:23" x14ac:dyDescent="0.2">
      <c r="B2" s="167"/>
      <c r="C2" s="167"/>
      <c r="D2" s="167"/>
      <c r="E2" s="167"/>
      <c r="F2" s="167"/>
      <c r="G2" s="167"/>
      <c r="H2" s="167"/>
      <c r="I2" s="167"/>
    </row>
    <row r="3" spans="1:23" x14ac:dyDescent="0.2">
      <c r="A3" s="167"/>
      <c r="B3" s="167"/>
      <c r="C3" s="167"/>
      <c r="D3" s="167"/>
      <c r="E3" s="167"/>
      <c r="F3" s="167"/>
      <c r="G3" s="167"/>
      <c r="H3" s="167"/>
      <c r="I3" s="167"/>
      <c r="P3" s="167"/>
      <c r="Q3" s="167"/>
      <c r="R3" s="167"/>
      <c r="S3" s="167"/>
      <c r="T3" s="167"/>
      <c r="U3" s="167"/>
      <c r="V3" s="167"/>
      <c r="W3" s="167"/>
    </row>
    <row r="4" spans="1:23" x14ac:dyDescent="0.2">
      <c r="A4" s="167"/>
      <c r="B4" s="169"/>
      <c r="C4" s="169"/>
      <c r="D4" s="288" t="s">
        <v>318</v>
      </c>
      <c r="E4" s="288"/>
      <c r="F4" s="288"/>
      <c r="G4" s="288"/>
      <c r="H4" s="167"/>
      <c r="I4" s="167"/>
      <c r="P4" s="167"/>
      <c r="Q4" s="167"/>
      <c r="R4" s="167"/>
      <c r="S4" s="361" t="s">
        <v>356</v>
      </c>
      <c r="T4" s="361"/>
      <c r="U4" s="361"/>
      <c r="V4" s="361"/>
      <c r="W4" s="167"/>
    </row>
    <row r="5" spans="1:23" x14ac:dyDescent="0.2">
      <c r="A5" s="167"/>
      <c r="B5" s="169"/>
      <c r="C5" s="169"/>
      <c r="D5" s="359" t="s">
        <v>83</v>
      </c>
      <c r="E5" s="359"/>
      <c r="F5" s="359"/>
      <c r="G5" s="359"/>
      <c r="H5" s="167"/>
      <c r="I5" s="167"/>
      <c r="P5" s="167"/>
      <c r="Q5" s="167"/>
      <c r="R5" s="167"/>
      <c r="S5" s="361"/>
      <c r="T5" s="361"/>
      <c r="U5" s="361"/>
      <c r="V5" s="361"/>
      <c r="W5" s="167"/>
    </row>
    <row r="6" spans="1:23" ht="15" customHeight="1" x14ac:dyDescent="0.2">
      <c r="A6" s="167"/>
      <c r="B6" s="364" t="s">
        <v>4</v>
      </c>
      <c r="C6" s="3"/>
      <c r="D6" s="197" t="s">
        <v>365</v>
      </c>
      <c r="E6" s="197" t="s">
        <v>190</v>
      </c>
      <c r="F6" s="197" t="s">
        <v>177</v>
      </c>
      <c r="G6" s="197" t="s">
        <v>351</v>
      </c>
      <c r="H6" s="167"/>
      <c r="I6" s="167"/>
      <c r="P6" s="167"/>
      <c r="Q6" s="167"/>
      <c r="R6" s="167"/>
      <c r="S6" s="361"/>
      <c r="T6" s="361"/>
      <c r="U6" s="361"/>
      <c r="V6" s="361"/>
      <c r="W6" s="167"/>
    </row>
    <row r="7" spans="1:23" ht="16" thickBot="1" x14ac:dyDescent="0.25">
      <c r="A7" s="167"/>
      <c r="B7" s="364"/>
      <c r="C7" s="148" t="s">
        <v>342</v>
      </c>
      <c r="D7" s="3">
        <f>Bejan_MEROI_Iron</f>
        <v>0.71020207646031153</v>
      </c>
      <c r="E7" s="3">
        <f>Bejan_IronExtraction</f>
        <v>0</v>
      </c>
      <c r="F7" s="3">
        <f>Bejan_IronHauling</f>
        <v>0</v>
      </c>
      <c r="G7" s="3">
        <f>Bejan_IronBeneficiation</f>
        <v>0.10204303400670409</v>
      </c>
      <c r="H7" s="167"/>
      <c r="I7" s="167"/>
      <c r="P7" s="167"/>
      <c r="Q7" s="167"/>
      <c r="R7" s="167"/>
      <c r="S7" s="362"/>
      <c r="T7" s="362"/>
      <c r="U7" s="362"/>
      <c r="V7" s="362"/>
      <c r="W7" s="167"/>
    </row>
    <row r="8" spans="1:23" x14ac:dyDescent="0.2">
      <c r="A8" s="167"/>
      <c r="B8" s="364"/>
      <c r="C8" s="150" t="s">
        <v>343</v>
      </c>
      <c r="D8" s="3">
        <f>Student_MEROI_Iron</f>
        <v>1.2482139892596125</v>
      </c>
      <c r="E8" s="3">
        <f>Student_IronExtraction</f>
        <v>0.56670793822679022</v>
      </c>
      <c r="F8" s="3">
        <f>Student_IronHauling</f>
        <v>0.15191900995389168</v>
      </c>
      <c r="G8" s="3">
        <f>Student_IronBeneficiation</f>
        <v>0.9084965360427989</v>
      </c>
      <c r="H8" s="167"/>
      <c r="I8" s="167"/>
      <c r="P8" s="167"/>
      <c r="Q8" s="361" t="s">
        <v>355</v>
      </c>
      <c r="R8" s="377"/>
      <c r="S8" s="379" t="s">
        <v>342</v>
      </c>
      <c r="T8" s="380"/>
      <c r="U8" s="365" t="s">
        <v>409</v>
      </c>
      <c r="V8" s="366"/>
      <c r="W8" s="167"/>
    </row>
    <row r="9" spans="1:23" x14ac:dyDescent="0.2">
      <c r="A9" s="167"/>
      <c r="B9" s="364"/>
      <c r="C9" s="149" t="s">
        <v>409</v>
      </c>
      <c r="D9" s="166">
        <f>Product_MEROI_Iron</f>
        <v>1.0480771193974399</v>
      </c>
      <c r="E9" s="3">
        <f>Product_IronExtraction</f>
        <v>0.46562872171536246</v>
      </c>
      <c r="F9" s="3">
        <f>Product_IronHauling</f>
        <v>0.12756053024900801</v>
      </c>
      <c r="G9" s="3">
        <f>Product_IronBeneficiation</f>
        <v>0.75440225157720575</v>
      </c>
      <c r="H9" s="167"/>
      <c r="I9" s="167"/>
      <c r="P9" s="167"/>
      <c r="Q9" s="361"/>
      <c r="R9" s="377"/>
      <c r="S9" s="381"/>
      <c r="T9" s="382"/>
      <c r="U9" s="367"/>
      <c r="V9" s="368"/>
      <c r="W9" s="167"/>
    </row>
    <row r="10" spans="1:23" x14ac:dyDescent="0.2">
      <c r="A10" s="167"/>
      <c r="C10" s="133"/>
      <c r="D10" s="167"/>
      <c r="E10" s="203"/>
      <c r="F10" s="203"/>
      <c r="G10" s="203"/>
      <c r="H10" s="169"/>
      <c r="I10" s="167"/>
      <c r="P10" s="167"/>
      <c r="Q10" s="361"/>
      <c r="R10" s="377"/>
      <c r="S10" s="381"/>
      <c r="T10" s="382"/>
      <c r="U10" s="367"/>
      <c r="V10" s="368"/>
      <c r="W10" s="167"/>
    </row>
    <row r="11" spans="1:23" x14ac:dyDescent="0.2">
      <c r="A11" s="167"/>
      <c r="B11" s="167"/>
      <c r="C11" s="167"/>
      <c r="D11" s="167"/>
      <c r="E11" s="169"/>
      <c r="F11" s="169"/>
      <c r="G11" s="169"/>
      <c r="H11" s="169"/>
      <c r="I11" s="167"/>
      <c r="P11" s="167"/>
      <c r="Q11" s="361"/>
      <c r="R11" s="377"/>
      <c r="S11" s="381"/>
      <c r="T11" s="382"/>
      <c r="U11" s="367"/>
      <c r="V11" s="368"/>
      <c r="W11" s="167"/>
    </row>
    <row r="12" spans="1:23" x14ac:dyDescent="0.2">
      <c r="A12" s="167"/>
      <c r="B12" s="167"/>
      <c r="C12" s="167"/>
      <c r="D12" s="167"/>
      <c r="E12" s="167"/>
      <c r="F12" s="167"/>
      <c r="G12" s="167"/>
      <c r="H12" s="167"/>
      <c r="I12" s="167"/>
      <c r="P12" s="167"/>
      <c r="Q12" s="392" t="s">
        <v>408</v>
      </c>
      <c r="R12" s="377"/>
      <c r="S12" s="373" t="s">
        <v>317</v>
      </c>
      <c r="T12" s="374"/>
      <c r="U12" s="369" t="s">
        <v>343</v>
      </c>
      <c r="V12" s="370"/>
      <c r="W12" s="167"/>
    </row>
    <row r="13" spans="1:23" x14ac:dyDescent="0.2">
      <c r="A13" s="167"/>
      <c r="B13" s="169"/>
      <c r="C13" s="169"/>
      <c r="D13" s="288" t="s">
        <v>318</v>
      </c>
      <c r="E13" s="288"/>
      <c r="F13" s="288"/>
      <c r="G13" s="288"/>
      <c r="H13" s="288"/>
      <c r="I13" s="167"/>
      <c r="P13" s="167"/>
      <c r="Q13" s="361"/>
      <c r="R13" s="377"/>
      <c r="S13" s="373"/>
      <c r="T13" s="374"/>
      <c r="U13" s="369"/>
      <c r="V13" s="370"/>
      <c r="W13" s="167"/>
    </row>
    <row r="14" spans="1:23" ht="15" customHeight="1" x14ac:dyDescent="0.2">
      <c r="A14" s="167"/>
      <c r="B14" s="169"/>
      <c r="C14" s="169"/>
      <c r="D14" s="359" t="s">
        <v>83</v>
      </c>
      <c r="E14" s="359"/>
      <c r="F14" s="359"/>
      <c r="G14" s="359"/>
      <c r="H14" s="359"/>
      <c r="I14" s="167"/>
      <c r="P14" s="167"/>
      <c r="Q14" s="361"/>
      <c r="R14" s="377"/>
      <c r="S14" s="373"/>
      <c r="T14" s="374"/>
      <c r="U14" s="369"/>
      <c r="V14" s="370"/>
      <c r="W14" s="167"/>
    </row>
    <row r="15" spans="1:23" ht="16" thickBot="1" x14ac:dyDescent="0.25">
      <c r="A15" s="167"/>
      <c r="B15" s="363" t="s">
        <v>20</v>
      </c>
      <c r="C15" s="3"/>
      <c r="D15" s="198" t="s">
        <v>365</v>
      </c>
      <c r="E15" s="198" t="s">
        <v>190</v>
      </c>
      <c r="F15" s="198" t="s">
        <v>177</v>
      </c>
      <c r="G15" s="198" t="s">
        <v>351</v>
      </c>
      <c r="H15" s="198" t="s">
        <v>352</v>
      </c>
      <c r="I15" s="167"/>
      <c r="P15" s="167"/>
      <c r="Q15" s="361"/>
      <c r="R15" s="377"/>
      <c r="S15" s="375"/>
      <c r="T15" s="376"/>
      <c r="U15" s="371"/>
      <c r="V15" s="372"/>
      <c r="W15" s="167"/>
    </row>
    <row r="16" spans="1:23" x14ac:dyDescent="0.2">
      <c r="A16" s="167"/>
      <c r="B16" s="363"/>
      <c r="C16" s="148" t="s">
        <v>342</v>
      </c>
      <c r="D16" s="3">
        <f>Bejan_MEROI_Limestone</f>
        <v>20716.65209277975</v>
      </c>
      <c r="E16" s="3">
        <f>Bejan_LimeExtraction</f>
        <v>0</v>
      </c>
      <c r="F16" s="3">
        <f>Bejan_LimeHauling</f>
        <v>0</v>
      </c>
      <c r="G16" s="3">
        <f>Bejan_LimeBeneficiation</f>
        <v>0</v>
      </c>
      <c r="H16" s="3" t="s">
        <v>99</v>
      </c>
      <c r="I16" s="167"/>
      <c r="P16" s="167"/>
      <c r="Q16" s="167"/>
      <c r="R16" s="167"/>
      <c r="S16" s="167"/>
      <c r="T16" s="167"/>
      <c r="U16" s="167"/>
      <c r="V16" s="167"/>
      <c r="W16" s="167"/>
    </row>
    <row r="17" spans="1:12" x14ac:dyDescent="0.2">
      <c r="A17" s="167"/>
      <c r="B17" s="363"/>
      <c r="C17" s="150" t="s">
        <v>343</v>
      </c>
      <c r="D17" s="3">
        <f>Student_MEROI_Limestone</f>
        <v>25394.240916408646</v>
      </c>
      <c r="E17" s="3">
        <f>Student_LimeExtraction</f>
        <v>0.98995098054731168</v>
      </c>
      <c r="F17" s="3">
        <f>Student__LimeHauling</f>
        <v>0.89989464623142024</v>
      </c>
      <c r="G17" s="3">
        <f>Student_LimeBeneficiation</f>
        <v>0.99885105550639652</v>
      </c>
      <c r="H17" s="3">
        <f>Student_Kiln</f>
        <v>0.98847663255948648</v>
      </c>
      <c r="I17" s="167"/>
    </row>
    <row r="18" spans="1:12" x14ac:dyDescent="0.2">
      <c r="A18" s="167"/>
      <c r="B18" s="363"/>
      <c r="C18" s="149" t="s">
        <v>409</v>
      </c>
      <c r="D18" s="166">
        <f>Product_MEROI_Limestone</f>
        <v>22010.978428607345</v>
      </c>
      <c r="E18" s="3">
        <f>Product_LimeExtraction</f>
        <v>0.85781780627735493</v>
      </c>
      <c r="F18" s="3">
        <f>Product_LimeHauling</f>
        <v>0.78000211588999502</v>
      </c>
      <c r="G18" s="3">
        <f>Product_LimeBeneficiation</f>
        <v>0.86577461041321313</v>
      </c>
      <c r="H18" s="3">
        <f>Product_Kiln</f>
        <v>2.2442181938382317E-4</v>
      </c>
      <c r="I18" s="167"/>
    </row>
    <row r="19" spans="1:12" x14ac:dyDescent="0.2">
      <c r="A19" s="167"/>
      <c r="C19" s="133"/>
      <c r="D19" s="167"/>
      <c r="E19" s="203"/>
      <c r="F19" s="203"/>
      <c r="G19" s="203"/>
      <c r="H19" s="203"/>
      <c r="I19" s="167"/>
      <c r="L19" t="s">
        <v>453</v>
      </c>
    </row>
    <row r="20" spans="1:12" x14ac:dyDescent="0.2">
      <c r="A20" s="167"/>
      <c r="B20" s="167"/>
      <c r="C20" s="167"/>
      <c r="D20" s="167"/>
      <c r="E20" s="167"/>
      <c r="F20" s="167"/>
      <c r="G20" s="167"/>
      <c r="H20" s="167"/>
      <c r="I20" s="167"/>
    </row>
    <row r="21" spans="1:12" x14ac:dyDescent="0.2">
      <c r="A21" s="167"/>
      <c r="B21" s="169"/>
      <c r="C21" s="169"/>
      <c r="D21" s="288" t="s">
        <v>318</v>
      </c>
      <c r="E21" s="288"/>
      <c r="F21" s="288"/>
      <c r="G21" s="288"/>
      <c r="H21" s="167"/>
      <c r="I21" s="167"/>
    </row>
    <row r="22" spans="1:12" ht="15" customHeight="1" x14ac:dyDescent="0.2">
      <c r="A22" s="167"/>
      <c r="B22" s="169"/>
      <c r="C22" s="169"/>
      <c r="D22" s="359" t="s">
        <v>83</v>
      </c>
      <c r="E22" s="359"/>
      <c r="F22" s="359"/>
      <c r="G22" s="359"/>
      <c r="H22" s="167"/>
      <c r="I22" s="167"/>
    </row>
    <row r="23" spans="1:12" x14ac:dyDescent="0.2">
      <c r="A23" s="167"/>
      <c r="B23" s="360" t="s">
        <v>354</v>
      </c>
      <c r="C23" s="3"/>
      <c r="D23" s="157" t="s">
        <v>365</v>
      </c>
      <c r="E23" s="157" t="s">
        <v>190</v>
      </c>
      <c r="F23" s="157" t="s">
        <v>177</v>
      </c>
      <c r="G23" s="157" t="s">
        <v>380</v>
      </c>
      <c r="H23" s="167"/>
      <c r="I23" s="167"/>
    </row>
    <row r="24" spans="1:12" x14ac:dyDescent="0.2">
      <c r="A24" s="167"/>
      <c r="B24" s="360"/>
      <c r="C24" s="148" t="s">
        <v>342</v>
      </c>
      <c r="D24" s="3">
        <f>Bejan_MEROI_Coal</f>
        <v>112.97498946045621</v>
      </c>
      <c r="E24" s="3">
        <f>Bejan_CoalExtraction</f>
        <v>0</v>
      </c>
      <c r="F24" s="3">
        <f>Bejan_CoalHauling</f>
        <v>0</v>
      </c>
      <c r="G24" s="3" t="str">
        <f>Bejan_CokeBeneficiation</f>
        <v>[-]</v>
      </c>
      <c r="H24" s="167"/>
      <c r="I24" s="167"/>
    </row>
    <row r="25" spans="1:12" x14ac:dyDescent="0.2">
      <c r="A25" s="167"/>
      <c r="B25" s="360"/>
      <c r="C25" s="150" t="s">
        <v>343</v>
      </c>
      <c r="D25" s="3">
        <f>Student_MEROI_Coal</f>
        <v>112.92932406235479</v>
      </c>
      <c r="E25" s="3">
        <f>Student_CoalExtraction</f>
        <v>0.98895425221527189</v>
      </c>
      <c r="F25" s="3">
        <f>Student_CoalHauling</f>
        <v>0.9820072683820037</v>
      </c>
      <c r="G25" s="3">
        <f>Student_CokeBeneficiation</f>
        <v>1.2153716768418652</v>
      </c>
      <c r="H25" s="167"/>
      <c r="I25" s="167"/>
    </row>
    <row r="26" spans="1:12" x14ac:dyDescent="0.2">
      <c r="A26" s="167"/>
      <c r="B26" s="360"/>
      <c r="C26" s="149" t="s">
        <v>409</v>
      </c>
      <c r="D26" s="166">
        <f>Product_MEROI_Coal</f>
        <v>112.97501431215093</v>
      </c>
      <c r="E26" s="3">
        <f>Product_CoalExtraction</f>
        <v>0.98928990872916378</v>
      </c>
      <c r="F26" s="3">
        <f>Product_CoalHauling</f>
        <v>0.98240458022077126</v>
      </c>
      <c r="G26" s="3">
        <f>Product_CokeBeneficiation</f>
        <v>0.6457153264722536</v>
      </c>
      <c r="I26" s="167"/>
    </row>
    <row r="27" spans="1:12" x14ac:dyDescent="0.2">
      <c r="A27" s="167"/>
      <c r="B27" s="167"/>
      <c r="C27" s="204"/>
      <c r="D27" s="167"/>
      <c r="E27" s="203"/>
      <c r="F27" s="203"/>
      <c r="G27" s="203"/>
      <c r="H27" s="169"/>
      <c r="I27" s="167"/>
    </row>
    <row r="28" spans="1:12" x14ac:dyDescent="0.2">
      <c r="A28" s="167"/>
      <c r="B28" s="167"/>
      <c r="C28" s="167"/>
      <c r="D28" s="167"/>
      <c r="E28" s="167"/>
      <c r="F28" s="167"/>
      <c r="G28" s="167"/>
      <c r="H28" s="167"/>
      <c r="I28" s="167"/>
    </row>
    <row r="29" spans="1:12" x14ac:dyDescent="0.2">
      <c r="A29" s="167"/>
      <c r="B29" s="167"/>
      <c r="C29" s="167"/>
      <c r="D29" s="167"/>
      <c r="E29" s="167"/>
      <c r="F29" s="167"/>
      <c r="G29" s="167"/>
      <c r="H29" s="167"/>
      <c r="I29" s="167"/>
    </row>
    <row r="30" spans="1:12" x14ac:dyDescent="0.2">
      <c r="A30" s="167"/>
      <c r="B30" s="167"/>
      <c r="C30" s="167"/>
      <c r="D30" s="167"/>
      <c r="E30" s="167"/>
      <c r="F30" s="167"/>
      <c r="G30" s="167"/>
      <c r="H30" s="167"/>
      <c r="I30" s="167"/>
    </row>
    <row r="31" spans="1:12" x14ac:dyDescent="0.2">
      <c r="A31" s="167"/>
      <c r="B31" s="167"/>
      <c r="C31" s="167"/>
      <c r="D31" s="167"/>
      <c r="E31" s="167"/>
      <c r="F31" s="167"/>
      <c r="G31" s="167"/>
      <c r="H31" s="167"/>
      <c r="I31" s="167"/>
    </row>
    <row r="32" spans="1:12" x14ac:dyDescent="0.2">
      <c r="A32" s="167"/>
      <c r="B32" s="358" t="s">
        <v>405</v>
      </c>
      <c r="D32" s="196" t="s">
        <v>81</v>
      </c>
      <c r="E32" s="196" t="s">
        <v>353</v>
      </c>
      <c r="F32" s="167"/>
      <c r="G32" s="167"/>
      <c r="H32" s="167"/>
      <c r="I32" s="167"/>
    </row>
    <row r="33" spans="1:9" x14ac:dyDescent="0.2">
      <c r="A33" s="167"/>
      <c r="B33" s="358"/>
      <c r="C33" s="148" t="s">
        <v>342</v>
      </c>
      <c r="D33" s="3" t="s">
        <v>99</v>
      </c>
      <c r="E33" s="3" t="str">
        <f>Bejan_BF</f>
        <v>[-]</v>
      </c>
      <c r="F33" s="167"/>
      <c r="G33" s="167"/>
      <c r="H33" s="167"/>
      <c r="I33" s="167"/>
    </row>
    <row r="34" spans="1:9" x14ac:dyDescent="0.2">
      <c r="A34" s="167"/>
      <c r="B34" s="358"/>
      <c r="C34" s="150" t="s">
        <v>343</v>
      </c>
      <c r="D34" s="3">
        <f>Student_mixer</f>
        <v>0.99300939590335358</v>
      </c>
      <c r="E34" s="3">
        <f>Student_BF</f>
        <v>0.33038859066202669</v>
      </c>
      <c r="F34" s="167"/>
      <c r="G34" s="167"/>
      <c r="H34" s="167"/>
      <c r="I34" s="167"/>
    </row>
    <row r="35" spans="1:9" x14ac:dyDescent="0.2">
      <c r="A35" s="167"/>
      <c r="B35" s="358"/>
      <c r="C35" s="149" t="s">
        <v>409</v>
      </c>
      <c r="D35" s="3">
        <f>Product_Mixer</f>
        <v>1.0717776463170951E-2</v>
      </c>
      <c r="E35" s="3">
        <f>Product_BF</f>
        <v>0.29488597008746631</v>
      </c>
      <c r="F35" s="167"/>
      <c r="G35" s="167"/>
      <c r="H35" s="167"/>
      <c r="I35" s="167"/>
    </row>
    <row r="36" spans="1:9" x14ac:dyDescent="0.2">
      <c r="A36" s="167"/>
      <c r="B36" s="167"/>
      <c r="C36" s="204"/>
      <c r="D36" s="169"/>
      <c r="E36" s="169"/>
      <c r="F36" s="167"/>
      <c r="G36" s="167"/>
      <c r="H36" s="167"/>
      <c r="I36" s="167"/>
    </row>
    <row r="37" spans="1:9" x14ac:dyDescent="0.2">
      <c r="A37" s="167"/>
      <c r="B37" s="167"/>
      <c r="C37" s="167"/>
      <c r="D37" s="167"/>
      <c r="E37" s="167"/>
      <c r="F37" s="167"/>
      <c r="G37" s="167"/>
      <c r="H37" s="167"/>
      <c r="I37" s="167"/>
    </row>
    <row r="38" spans="1:9" x14ac:dyDescent="0.2">
      <c r="A38" s="167"/>
      <c r="B38" s="167"/>
      <c r="C38" s="167"/>
      <c r="D38" s="167"/>
      <c r="E38" s="167"/>
      <c r="F38" s="167"/>
      <c r="G38" s="167"/>
      <c r="H38" s="167"/>
      <c r="I38" s="167"/>
    </row>
  </sheetData>
  <mergeCells count="18"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  <mergeCell ref="Q12:R15"/>
    <mergeCell ref="S12:T15"/>
    <mergeCell ref="U12:V15"/>
    <mergeCell ref="S4:T7"/>
    <mergeCell ref="U4:V7"/>
    <mergeCell ref="Q8:R11"/>
    <mergeCell ref="S8:T11"/>
    <mergeCell ref="U8:V11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3E1E3716C13334BBCA31FA58FBCC02A" ma:contentTypeVersion="4" ma:contentTypeDescription="Create a new document." ma:contentTypeScope="" ma:versionID="0545ef4b576db7fb58eb3df66d019f98">
  <xsd:schema xmlns:xsd="http://www.w3.org/2001/XMLSchema" xmlns:xs="http://www.w3.org/2001/XMLSchema" xmlns:p="http://schemas.microsoft.com/office/2006/metadata/properties" xmlns:ns2="933038b0-efc8-4863-81f2-0c2f5cc47dc6" targetNamespace="http://schemas.microsoft.com/office/2006/metadata/properties" ma:root="true" ma:fieldsID="33de43f85dda87e422d76007f28f4c43" ns2:_="">
    <xsd:import namespace="933038b0-efc8-4863-81f2-0c2f5cc47dc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3038b0-efc8-4863-81f2-0c2f5cc47dc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A9B53E5-3A7A-4760-801A-EC2FA0ED7F9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B5F17C0-1AC3-4572-A624-B264B78037B2}">
  <ds:schemaRefs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purl.org/dc/terms/"/>
    <ds:schemaRef ds:uri="933038b0-efc8-4863-81f2-0c2f5cc47dc6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22BD485D-B59C-4EFF-AD7C-09A45E9CEFF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3038b0-efc8-4863-81f2-0c2f5cc47dc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248</vt:i4>
      </vt:variant>
    </vt:vector>
  </HeadingPairs>
  <TitlesOfParts>
    <vt:vector size="259" baseType="lpstr">
      <vt:lpstr>Constants</vt:lpstr>
      <vt:lpstr>BF Calculator</vt:lpstr>
      <vt:lpstr>Ore-&gt;PI</vt:lpstr>
      <vt:lpstr>Energy X</vt:lpstr>
      <vt:lpstr>MCC B RUVY matrices (mat</vt:lpstr>
      <vt:lpstr>MCC m RUVY matrices (mat level)</vt:lpstr>
      <vt:lpstr>Energy RUVY matrices</vt:lpstr>
      <vt:lpstr>Efficiencies</vt:lpstr>
      <vt:lpstr>Waste</vt:lpstr>
      <vt:lpstr>Methane Combustion - EES</vt:lpstr>
      <vt:lpstr>Tables for Paper</vt:lpstr>
      <vt:lpstr>Air_to_Kiln</vt:lpstr>
      <vt:lpstr>Ash_in_coal</vt:lpstr>
      <vt:lpstr>b_ch_Al2O3</vt:lpstr>
      <vt:lpstr>b_ch_C</vt:lpstr>
      <vt:lpstr>b_ch_C12H23</vt:lpstr>
      <vt:lpstr>b_ch_C2H4</vt:lpstr>
      <vt:lpstr>b_ch_C8H18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b_ch_Fe</vt:lpstr>
      <vt:lpstr>b_ch_Fe2O3</vt:lpstr>
      <vt:lpstr>b_ch_FeC</vt:lpstr>
      <vt:lpstr>b_ch_H</vt:lpstr>
      <vt:lpstr>b_ch_H2</vt:lpstr>
      <vt:lpstr>b_ch_H2O</vt:lpstr>
      <vt:lpstr>b_ch_K2O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b_ch_oil</vt:lpstr>
      <vt:lpstr>b_ch_P</vt:lpstr>
      <vt:lpstr>b_ch_S</vt:lpstr>
      <vt:lpstr>b_ch_Si</vt:lpstr>
      <vt:lpstr>b_ch_SiO2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Bejan_BF</vt:lpstr>
      <vt:lpstr>Bejan_CoalExtraction</vt:lpstr>
      <vt:lpstr>Bejan_CoalHauling</vt:lpstr>
      <vt:lpstr>Bejan_CokeBeneficiation</vt:lpstr>
      <vt:lpstr>Bejan_IronBeneficiation</vt:lpstr>
      <vt:lpstr>Bejan_IronExtraction</vt:lpstr>
      <vt:lpstr>Bejan_IronHauling</vt:lpstr>
      <vt:lpstr>Bejan_LimeBeneficiation</vt:lpstr>
      <vt:lpstr>Bejan_LimeExtraction</vt:lpstr>
      <vt:lpstr>Bejan_LimeHauling</vt:lpstr>
      <vt:lpstr>Bejan_MEROI_Coal</vt:lpstr>
      <vt:lpstr>Bejan_MEROI_Iron</vt:lpstr>
      <vt:lpstr>Bejan_MEROI_Limestone</vt:lpstr>
      <vt:lpstr>Beneficiation_CoalWaste</vt:lpstr>
      <vt:lpstr>Beneficiation_Iron_waste</vt:lpstr>
      <vt:lpstr>BF_CO2Waste</vt:lpstr>
      <vt:lpstr>BF_SolidWaste</vt:lpstr>
      <vt:lpstr>Btu_to_kJ</vt:lpstr>
      <vt:lpstr>C_for_BF</vt:lpstr>
      <vt:lpstr>cal_to_kJ</vt:lpstr>
      <vt:lpstr>CH4_into_Kiln</vt:lpstr>
      <vt:lpstr>CH4_Kiln_out</vt:lpstr>
      <vt:lpstr>CH4_out_COtreatment</vt:lpstr>
      <vt:lpstr>CH4_to_BF</vt:lpstr>
      <vt:lpstr>CH4_to_coke_oven</vt:lpstr>
      <vt:lpstr>CO2_BF_Out</vt:lpstr>
      <vt:lpstr>CO2_Diesel_molcoeff</vt:lpstr>
      <vt:lpstr>CO2_from_coke_oven_comb</vt:lpstr>
      <vt:lpstr>CO2_Gasoline_molcoeff</vt:lpstr>
      <vt:lpstr>CO2_Kiln_Out</vt:lpstr>
      <vt:lpstr>CO2_Kiln_Out_ADD</vt:lpstr>
      <vt:lpstr>CO2_molcoeff</vt:lpstr>
      <vt:lpstr>Co2_Naturalgas_molcoeff</vt:lpstr>
      <vt:lpstr>Co2_Oil_molcoef</vt:lpstr>
      <vt:lpstr>CO2_out_BF</vt:lpstr>
      <vt:lpstr>CO2_out_Coal_Ext</vt:lpstr>
      <vt:lpstr>CO2_out_coke_oven</vt:lpstr>
      <vt:lpstr>COG_needed</vt:lpstr>
      <vt:lpstr>Coking_BF_in</vt:lpstr>
      <vt:lpstr>Fe_BF_out</vt:lpstr>
      <vt:lpstr>Fe2O3_BF_in</vt:lpstr>
      <vt:lpstr>h_0_CO2</vt:lpstr>
      <vt:lpstr>h_0_H2O</vt:lpstr>
      <vt:lpstr>h_0_N2</vt:lpstr>
      <vt:lpstr>h_CO2</vt:lpstr>
      <vt:lpstr>h_fg_ash</vt:lpstr>
      <vt:lpstr>h_H2O</vt:lpstr>
      <vt:lpstr>h_N2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</vt:lpstr>
      <vt:lpstr>H2O_out_Coal_Ext</vt:lpstr>
      <vt:lpstr>H2O_out_coke_oven</vt:lpstr>
      <vt:lpstr>kg_to_ton</vt:lpstr>
      <vt:lpstr>Kiln_CO2Waste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MgCO3_in</vt:lpstr>
      <vt:lpstr>MgO_out</vt:lpstr>
      <vt:lpstr>mol_C_Coal</vt:lpstr>
      <vt:lpstr>mol_C_Coal_in</vt:lpstr>
      <vt:lpstr>mol_C_to_BF</vt:lpstr>
      <vt:lpstr>mol_Coal</vt:lpstr>
      <vt:lpstr>mol_H_Coal</vt:lpstr>
      <vt:lpstr>mol_N_Coal</vt:lpstr>
      <vt:lpstr>mol_O_Coal</vt:lpstr>
      <vt:lpstr>MW_Al2O3</vt:lpstr>
      <vt:lpstr>MW_C</vt:lpstr>
      <vt:lpstr>MW_C12H23</vt:lpstr>
      <vt:lpstr>MW_C2H4</vt:lpstr>
      <vt:lpstr>MW_C2H6</vt:lpstr>
      <vt:lpstr>MW_C6H5CH3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MW_CS2</vt:lpstr>
      <vt:lpstr>MW_Fe</vt:lpstr>
      <vt:lpstr>MW_Fe2O3</vt:lpstr>
      <vt:lpstr>MW_FeC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N2_added_BF</vt:lpstr>
      <vt:lpstr>N2_BF_out</vt:lpstr>
      <vt:lpstr>N2_for_coke_oven_comb</vt:lpstr>
      <vt:lpstr>N2_from_coke_oven_comb</vt:lpstr>
      <vt:lpstr>N2_in_Coal_Ext</vt:lpstr>
      <vt:lpstr>N2_in_coke_oven</vt:lpstr>
      <vt:lpstr>N2_Kiln_in</vt:lpstr>
      <vt:lpstr>N2_molcoeff</vt:lpstr>
      <vt:lpstr>N2_out_coke_oven</vt:lpstr>
      <vt:lpstr>N2_out_COtreatment</vt:lpstr>
      <vt:lpstr>N2_to_BF_from_coke</vt:lpstr>
      <vt:lpstr>N2_to_coke_oven</vt:lpstr>
      <vt:lpstr>NCV_dry_anthrocite</vt:lpstr>
      <vt:lpstr>O2_added_BF</vt:lpstr>
      <vt:lpstr>O2_BF_in</vt:lpstr>
      <vt:lpstr>O2_Diesel_molcoeff</vt:lpstr>
      <vt:lpstr>O2_for_coke_oven_comb</vt:lpstr>
      <vt:lpstr>O2_Gasoline_molcoeff</vt:lpstr>
      <vt:lpstr>O2_in_Coal_Ext</vt:lpstr>
      <vt:lpstr>O2_in_coke_oven</vt:lpstr>
      <vt:lpstr>O2_Kiln_in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Ore_to_Kiln</vt:lpstr>
      <vt:lpstr>phi_anthrocite</vt:lpstr>
      <vt:lpstr>phi_dry_constant_a_</vt:lpstr>
      <vt:lpstr>phi_dry_constant_b</vt:lpstr>
      <vt:lpstr>phi_dry_constant_c</vt:lpstr>
      <vt:lpstr>Product_BF</vt:lpstr>
      <vt:lpstr>Product_CoalExtraction</vt:lpstr>
      <vt:lpstr>Product_CoalHauling</vt:lpstr>
      <vt:lpstr>Product_CokeBeneficiation</vt:lpstr>
      <vt:lpstr>Product_IronBeneficiation</vt:lpstr>
      <vt:lpstr>Product_IronExtraction</vt:lpstr>
      <vt:lpstr>Product_IronHauling</vt:lpstr>
      <vt:lpstr>Product_Kiln</vt:lpstr>
      <vt:lpstr>Product_LimeBeneficiation</vt:lpstr>
      <vt:lpstr>Product_LimeExtraction</vt:lpstr>
      <vt:lpstr>Product_LimeHauling</vt:lpstr>
      <vt:lpstr>Product_MEROI_Coal</vt:lpstr>
      <vt:lpstr>Product_MEROI_Iron</vt:lpstr>
      <vt:lpstr>Product_MEROI_Limestone</vt:lpstr>
      <vt:lpstr>Product_Mixer</vt:lpstr>
      <vt:lpstr>Quicklime_for_BF</vt:lpstr>
      <vt:lpstr>RT0</vt:lpstr>
      <vt:lpstr>s_0_CO2</vt:lpstr>
      <vt:lpstr>s_0_H2O</vt:lpstr>
      <vt:lpstr>s_0_N2</vt:lpstr>
      <vt:lpstr>s_CO2</vt:lpstr>
      <vt:lpstr>s_H2O</vt:lpstr>
      <vt:lpstr>s_N2</vt:lpstr>
      <vt:lpstr>SiO2_BF_in</vt:lpstr>
      <vt:lpstr>Slag_BF_out</vt:lpstr>
      <vt:lpstr>Student__LimeHauling</vt:lpstr>
      <vt:lpstr>Student_BF</vt:lpstr>
      <vt:lpstr>Student_CoalExtraction</vt:lpstr>
      <vt:lpstr>Student_CoalHauling</vt:lpstr>
      <vt:lpstr>Student_CokeBeneficiation</vt:lpstr>
      <vt:lpstr>Student_IronBeneficiation</vt:lpstr>
      <vt:lpstr>Student_IronExtraction</vt:lpstr>
      <vt:lpstr>Student_IronHauling</vt:lpstr>
      <vt:lpstr>Student_Kiln</vt:lpstr>
      <vt:lpstr>Student_LimeBeneficiation</vt:lpstr>
      <vt:lpstr>Student_LimeExtraction</vt:lpstr>
      <vt:lpstr>Student_MEROI_Coal</vt:lpstr>
      <vt:lpstr>Student_MEROI_Iron</vt:lpstr>
      <vt:lpstr>Student_MEROI_Limestone</vt:lpstr>
      <vt:lpstr>Student_mixer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Erin Schuman</cp:lastModifiedBy>
  <cp:revision/>
  <cp:lastPrinted>2025-06-04T17:14:24Z</cp:lastPrinted>
  <dcterms:created xsi:type="dcterms:W3CDTF">2025-05-19T15:01:37Z</dcterms:created>
  <dcterms:modified xsi:type="dcterms:W3CDTF">2025-06-26T18:40:06Z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0x01010013E1E3716C13334BBCA31FA58FBCC02A</vt:lpwstr>
  </property>
</Properties>
</file>