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2DB37C7-2F63-CD42-8751-0522C568EEE5}" xr6:coauthVersionLast="47" xr6:coauthVersionMax="47" xr10:uidLastSave="{00000000-0000-0000-0000-000000000000}"/>
  <bookViews>
    <workbookView xWindow="5200" yWindow="680" windowWidth="42820" windowHeight="26840" activeTab="1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Calculators!$L$23</definedName>
    <definedName name="C_Kiln_out">Calculators!$L$62</definedName>
    <definedName name="cal_to_kJ">Constants!$U$6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_Kiln_Out">Calculators!$L$59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Constants!$T$15</definedName>
    <definedName name="h_H2O">Constants!$P$6</definedName>
    <definedName name="h_N2">Constants!$P$7</definedName>
    <definedName name="H2_Kiln_Out">Calculators!$L$60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Constants!$Z$7</definedName>
    <definedName name="LHV_Gasoline">Constants!$Z$5</definedName>
    <definedName name="LHV_Oil">Constants!$Z$6</definedName>
    <definedName name="Lime_to_Energy_Conversion">Constants!$AF$3</definedName>
    <definedName name="Limestone_for_BF">Calculators!$L$27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X'!$E$23:$G$28</definedName>
    <definedName name="MgCO3_in">'Ore-&gt;PI'!$AD$131</definedName>
    <definedName name="MgO_out">Calculators!$I$39</definedName>
    <definedName name="mol_C_Coal">Calculators!$I$80</definedName>
    <definedName name="mol_C_Coal_in">Calculators!$I$83</definedName>
    <definedName name="mol_C_to_BF">'Ore-&gt;PI'!$CI$210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Constants!$P$15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Constants!$AC$3</definedName>
    <definedName name="phi_anthrocite">Constants!$O$15</definedName>
    <definedName name="phi_dry_constant_a_">Constants!$Q$15</definedName>
    <definedName name="phi_dry_constant_b">Constants!$R$15</definedName>
    <definedName name="phi_dry_constant_c">Constants!$S$15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Calculators!$I$37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Calculators!$I$42</definedName>
    <definedName name="Slag_BF_out">Calculators!$I$43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0" i="11" l="1"/>
  <c r="X46" i="9"/>
  <c r="N77" i="9"/>
  <c r="N76" i="9"/>
  <c r="AF68" i="9"/>
  <c r="AF67" i="9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G18" i="21" s="1"/>
  <c r="H18" i="21" s="1"/>
  <c r="V6" i="21" s="1"/>
  <c r="B297" i="11"/>
  <c r="E18" i="3"/>
  <c r="BR258" i="9" s="1"/>
  <c r="C294" i="11"/>
  <c r="D294" i="11" s="1"/>
  <c r="C293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AP57" i="9"/>
  <c r="CL145" i="9"/>
  <c r="CJ144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G265" i="11"/>
  <c r="J266" i="11"/>
  <c r="D266" i="11"/>
  <c r="M248" i="11"/>
  <c r="M247" i="11"/>
  <c r="U6" i="3"/>
  <c r="O21" i="21" s="1"/>
  <c r="M223" i="11"/>
  <c r="E40" i="3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Y57" i="9" s="1"/>
  <c r="D26" i="3"/>
  <c r="M214" i="9" s="1"/>
  <c r="D25" i="3"/>
  <c r="AX213" i="9" s="1"/>
  <c r="D24" i="3"/>
  <c r="CH221" i="9" s="1"/>
  <c r="D23" i="3"/>
  <c r="D22" i="3"/>
  <c r="AE51" i="9" s="1"/>
  <c r="AF51" i="9" s="1"/>
  <c r="AP60" i="9" s="1"/>
  <c r="D20" i="3"/>
  <c r="J265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F287" i="11" s="1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CL146" i="9" l="1"/>
  <c r="N21" i="21"/>
  <c r="E87" i="11"/>
  <c r="J15" i="21"/>
  <c r="J281" i="11"/>
  <c r="D64" i="11"/>
  <c r="D65" i="11"/>
  <c r="BR156" i="9"/>
  <c r="Y60" i="9"/>
  <c r="M62" i="11"/>
  <c r="M60" i="11"/>
  <c r="E271" i="11"/>
  <c r="D288" i="11"/>
  <c r="C297" i="11"/>
  <c r="D287" i="11"/>
  <c r="AH148" i="9"/>
  <c r="CL142" i="9"/>
  <c r="D42" i="3"/>
  <c r="CJ145" i="9"/>
  <c r="G8" i="21"/>
  <c r="H8" i="21" s="1"/>
  <c r="U6" i="21" s="1"/>
  <c r="D11" i="21"/>
  <c r="F271" i="11"/>
  <c r="G271" i="11" s="1"/>
  <c r="H271" i="11" s="1"/>
  <c r="G223" i="11"/>
  <c r="N91" i="11"/>
  <c r="G248" i="11"/>
  <c r="J217" i="11"/>
  <c r="M224" i="11"/>
  <c r="J242" i="11"/>
  <c r="M249" i="11"/>
  <c r="E229" i="9"/>
  <c r="AF148" i="9"/>
  <c r="D249" i="11"/>
  <c r="J249" i="11"/>
  <c r="J248" i="11"/>
  <c r="M168" i="9"/>
  <c r="O168" i="9"/>
  <c r="AF147" i="9"/>
  <c r="AH147" i="9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E254" i="11" s="1"/>
  <c r="F254" i="11" s="1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K5" i="21" s="1"/>
  <c r="U5" i="21" s="1"/>
  <c r="AJ98" i="11"/>
  <c r="BR214" i="9"/>
  <c r="AB98" i="11"/>
  <c r="EF237" i="9"/>
  <c r="D16" i="3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CJ143" i="9" s="1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X60" i="9" s="1"/>
  <c r="Z60" i="9" s="1"/>
  <c r="D30" i="3"/>
  <c r="E30" i="3"/>
  <c r="M131" i="9"/>
  <c r="M132" i="9" s="1"/>
  <c r="O131" i="9"/>
  <c r="O51" i="9"/>
  <c r="M50" i="9"/>
  <c r="N50" i="9" s="1"/>
  <c r="X59" i="9" s="1"/>
  <c r="M49" i="9"/>
  <c r="N49" i="9" s="1"/>
  <c r="X58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BH59" i="9" s="1"/>
  <c r="E15" i="13"/>
  <c r="BG35" i="9"/>
  <c r="BO59" i="9"/>
  <c r="BP59" i="9" s="1"/>
  <c r="BH57" i="9" s="1"/>
  <c r="BO60" i="9"/>
  <c r="BP60" i="9" s="1"/>
  <c r="BH58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BH60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AQ57" i="9" l="1"/>
  <c r="AR57" i="9" s="1"/>
  <c r="BG57" i="9"/>
  <c r="BI57" i="9" s="1"/>
  <c r="AP59" i="9"/>
  <c r="Y59" i="9"/>
  <c r="Z59" i="9" s="1"/>
  <c r="AQ60" i="9"/>
  <c r="AR60" i="9" s="1"/>
  <c r="BG60" i="9"/>
  <c r="BI60" i="9" s="1"/>
  <c r="AQ59" i="9"/>
  <c r="BG59" i="9"/>
  <c r="BI59" i="9" s="1"/>
  <c r="AQ58" i="9"/>
  <c r="BG58" i="9"/>
  <c r="BI58" i="9" s="1"/>
  <c r="AP58" i="9"/>
  <c r="AR58" i="9" s="1"/>
  <c r="Y58" i="9"/>
  <c r="Z58" i="9" s="1"/>
  <c r="I21" i="21"/>
  <c r="J21" i="21" s="1"/>
  <c r="D21" i="21"/>
  <c r="E11" i="21"/>
  <c r="AB77" i="11"/>
  <c r="CJ142" i="9"/>
  <c r="CJ147" i="9" s="1"/>
  <c r="M59" i="11"/>
  <c r="EA105" i="9"/>
  <c r="D264" i="11"/>
  <c r="DY105" i="9"/>
  <c r="G254" i="11"/>
  <c r="H254" i="11" s="1"/>
  <c r="O155" i="9" s="1"/>
  <c r="D265" i="11"/>
  <c r="DY144" i="9"/>
  <c r="D281" i="11"/>
  <c r="E85" i="11"/>
  <c r="D280" i="11"/>
  <c r="DY118" i="9"/>
  <c r="DY119" i="9" s="1"/>
  <c r="J264" i="11"/>
  <c r="J280" i="11"/>
  <c r="M266" i="11"/>
  <c r="J259" i="11" s="1"/>
  <c r="DY106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X57" i="9" s="1"/>
  <c r="Z57" i="9" s="1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F11" i="21" l="1"/>
  <c r="N11" i="21"/>
  <c r="I11" i="21"/>
  <c r="E21" i="21"/>
  <c r="H21" i="21" s="1"/>
  <c r="M21" i="21"/>
  <c r="K11" i="21"/>
  <c r="M5" i="3"/>
  <c r="E294" i="11" s="1"/>
  <c r="F294" i="11" s="1"/>
  <c r="G294" i="11" s="1"/>
  <c r="J11" i="21"/>
  <c r="O11" i="21" s="1"/>
  <c r="L11" i="21"/>
  <c r="AR59" i="9"/>
  <c r="V123" i="15"/>
  <c r="V132" i="15" s="1"/>
  <c r="BJ98" i="15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E7" i="3"/>
  <c r="E6" i="3"/>
  <c r="O130" i="9" s="1"/>
  <c r="E5" i="3"/>
  <c r="CL144" i="9" s="1"/>
  <c r="BX43" i="8"/>
  <c r="BX44" i="8"/>
  <c r="BV43" i="8"/>
  <c r="BV44" i="8"/>
  <c r="D9" i="3"/>
  <c r="AE47" i="9"/>
  <c r="AE46" i="9"/>
  <c r="AH146" i="9" l="1"/>
  <c r="CL143" i="9"/>
  <c r="L21" i="21"/>
  <c r="P21" i="21" s="1"/>
  <c r="V7" i="21" s="1"/>
  <c r="M11" i="21"/>
  <c r="P11" i="21" s="1"/>
  <c r="Q11" i="21" s="1"/>
  <c r="U7" i="21" s="1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L27" i="11" l="1"/>
  <c r="B51" i="11" s="1"/>
  <c r="C65" i="11"/>
  <c r="E65" i="11" s="1"/>
  <c r="X55" i="9"/>
  <c r="BH61" i="9"/>
  <c r="BH55" i="9"/>
  <c r="AP56" i="9"/>
  <c r="AR56" i="9" s="1"/>
  <c r="Y56" i="9"/>
  <c r="Z56" i="9" s="1"/>
  <c r="BG55" i="9"/>
  <c r="AQ55" i="9"/>
  <c r="AQ61" i="9"/>
  <c r="BG61" i="9"/>
  <c r="C51" i="11"/>
  <c r="BO156" i="9" s="1"/>
  <c r="D15" i="21" s="1"/>
  <c r="E15" i="21" s="1"/>
  <c r="F15" i="21" s="1"/>
  <c r="I15" i="21" s="1"/>
  <c r="K15" i="21" s="1"/>
  <c r="V5" i="21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I61" i="9" l="1"/>
  <c r="AP61" i="9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G7" i="17" s="1"/>
  <c r="I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J168" i="20" s="1"/>
  <c r="AV49" i="20"/>
  <c r="BG92" i="20"/>
  <c r="J176" i="20" s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Y62" i="9"/>
  <c r="N64" i="9"/>
  <c r="P63" i="9" s="1"/>
  <c r="Q63" i="9" s="1"/>
  <c r="R63" i="9" s="1"/>
  <c r="G178" i="15"/>
  <c r="AD214" i="9"/>
  <c r="K214" i="9" s="1"/>
  <c r="N214" i="9" s="1"/>
  <c r="X240" i="9" s="1"/>
  <c r="BN214" i="9"/>
  <c r="CI240" i="9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S246" i="9" l="1"/>
  <c r="CT249" i="9"/>
  <c r="CU249" i="9" s="1"/>
  <c r="DP244" i="9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L80" i="11" s="1"/>
  <c r="C91" i="11"/>
  <c r="CS248" i="9"/>
  <c r="Q88" i="11"/>
  <c r="J213" i="20"/>
  <c r="J210" i="20"/>
  <c r="BD105" i="15"/>
  <c r="G189" i="15" s="1"/>
  <c r="BA114" i="15"/>
  <c r="C214" i="15" s="1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X64" i="9" l="1"/>
  <c r="AF69" i="9"/>
  <c r="Y64" i="9" s="1"/>
  <c r="Z64" i="9" s="1"/>
  <c r="AM79" i="11"/>
  <c r="AM80" i="11" s="1"/>
  <c r="AC88" i="11" s="1"/>
  <c r="Z88" i="11" s="1"/>
  <c r="Z63" i="9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AC210" i="9" l="1"/>
  <c r="M83" i="11"/>
  <c r="N83" i="11" s="1"/>
  <c r="BI219" i="9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H8" i="17" l="1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K155" i="9" l="1"/>
  <c r="F10" i="17" s="1"/>
  <c r="H10" i="17" s="1"/>
  <c r="H157" i="9"/>
  <c r="F18" i="17"/>
  <c r="DX105" i="9"/>
  <c r="AY132" i="9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L155" i="9"/>
  <c r="K156" i="9"/>
  <c r="I111" i="11"/>
  <c r="C116" i="11"/>
  <c r="K110" i="11"/>
  <c r="E111" i="11" s="1"/>
  <c r="BX258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DT107" i="9"/>
  <c r="N38" i="11"/>
  <c r="N36" i="11"/>
  <c r="F35" i="11"/>
  <c r="F38" i="11" s="1"/>
  <c r="G38" i="11" s="1"/>
  <c r="H141" i="9"/>
  <c r="H149" i="9" s="1"/>
  <c r="AQ130" i="9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I138" i="9" l="1"/>
  <c r="EO117" i="9"/>
  <c r="AI131" i="9"/>
  <c r="AJ131" i="9" s="1"/>
  <c r="AK131" i="9" s="1"/>
  <c r="AL131" i="9" s="1"/>
  <c r="AM131" i="9" s="1"/>
  <c r="AN131" i="9" s="1"/>
  <c r="AW48" i="20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N130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AI132" i="9" l="1"/>
  <c r="AM132" i="9"/>
  <c r="K281" i="11"/>
  <c r="I281" i="11" s="1"/>
  <c r="C291" i="11"/>
  <c r="E287" i="11" s="1"/>
  <c r="G287" i="11" s="1"/>
  <c r="H287" i="11" s="1"/>
  <c r="Y233" i="9"/>
  <c r="Z233" i="9" s="1"/>
  <c r="Z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EG105" i="9" s="1"/>
  <c r="K265" i="11"/>
  <c r="I265" i="11" s="1"/>
  <c r="K264" i="11"/>
  <c r="E265" i="11"/>
  <c r="I280" i="11"/>
  <c r="DZ119" i="9"/>
  <c r="EB118" i="9" s="1"/>
  <c r="EC118" i="9" s="1"/>
  <c r="ED118" i="9" s="1"/>
  <c r="EE118" i="9" s="1"/>
  <c r="EF118" i="9" s="1"/>
  <c r="EG118" i="9" s="1"/>
  <c r="N156" i="9"/>
  <c r="P155" i="9" s="1"/>
  <c r="Q155" i="9" s="1"/>
  <c r="R155" i="9" s="1"/>
  <c r="S155" i="9" s="1"/>
  <c r="T155" i="9" s="1"/>
  <c r="U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E281" i="11" l="1"/>
  <c r="W132" i="15"/>
  <c r="AW51" i="20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C231" i="11"/>
  <c r="I264" i="11"/>
  <c r="G281" i="11"/>
  <c r="C281" i="11"/>
  <c r="E282" i="11"/>
  <c r="E283" i="11" s="1"/>
  <c r="EG106" i="9"/>
  <c r="EG101" i="9" s="1"/>
  <c r="F28" i="17" s="1"/>
  <c r="G28" i="17" s="1"/>
  <c r="EF106" i="9"/>
  <c r="E266" i="11"/>
  <c r="C265" i="11"/>
  <c r="EG119" i="9"/>
  <c r="EG114" i="9" s="1"/>
  <c r="EF119" i="9"/>
  <c r="E248" i="11"/>
  <c r="K248" i="11"/>
  <c r="I248" i="11" s="1"/>
  <c r="K247" i="11"/>
  <c r="U156" i="9"/>
  <c r="U151" i="9" s="1"/>
  <c r="F27" i="17" s="1"/>
  <c r="G27" i="17" s="1"/>
  <c r="T156" i="9"/>
  <c r="N167" i="9"/>
  <c r="X141" i="9" s="1"/>
  <c r="N145" i="9"/>
  <c r="P144" i="9" s="1"/>
  <c r="Q144" i="9" s="1"/>
  <c r="R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G232" i="11" l="1"/>
  <c r="G231" i="11" s="1"/>
  <c r="G230" i="11" s="1"/>
  <c r="C236" i="11"/>
  <c r="E232" i="11"/>
  <c r="E230" i="11" s="1"/>
  <c r="C237" i="11"/>
  <c r="AZ56" i="20"/>
  <c r="BG99" i="20"/>
  <c r="J183" i="20" s="1"/>
  <c r="Y139" i="9"/>
  <c r="Z139" i="9" s="1"/>
  <c r="Y141" i="9"/>
  <c r="Z141" i="9" s="1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C238" i="11" l="1"/>
  <c r="N230" i="11" s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M230" i="11" l="1"/>
  <c r="BB60" i="20"/>
  <c r="BG103" i="20"/>
  <c r="J187" i="20" s="1"/>
  <c r="C61" i="11"/>
  <c r="N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L167" i="9"/>
  <c r="G15" i="12"/>
  <c r="O230" i="11" l="1"/>
  <c r="P230" i="11" s="1"/>
  <c r="BN145" i="9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O63" i="9" l="1"/>
  <c r="S63" i="9" s="1"/>
  <c r="T63" i="9" s="1"/>
  <c r="U63" i="9" s="1"/>
  <c r="O226" i="9"/>
  <c r="S226" i="9" s="1"/>
  <c r="T226" i="9" s="1"/>
  <c r="U226" i="9" s="1"/>
  <c r="O144" i="9"/>
  <c r="S144" i="9" s="1"/>
  <c r="T144" i="9" s="1"/>
  <c r="U144" i="9" s="1"/>
  <c r="U227" i="9"/>
  <c r="U222" i="9" s="1"/>
  <c r="AU88" i="20" s="1"/>
  <c r="AU45" i="20" s="1"/>
  <c r="T227" i="9"/>
  <c r="U64" i="9"/>
  <c r="U59" i="9" s="1"/>
  <c r="T64" i="9"/>
  <c r="U145" i="9"/>
  <c r="U140" i="9" s="1"/>
  <c r="T145" i="9"/>
  <c r="CB143" i="9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AS88" i="20" l="1"/>
  <c r="AS45" i="20" s="1"/>
  <c r="Z46" i="9"/>
  <c r="P29" i="9"/>
  <c r="P28" i="9"/>
  <c r="K154" i="20"/>
  <c r="K159" i="20" s="1"/>
  <c r="F172" i="20" s="1"/>
  <c r="F24" i="17"/>
  <c r="G24" i="17" s="1"/>
  <c r="AT88" i="20"/>
  <c r="AT118" i="20" s="1"/>
  <c r="F208" i="20" s="1"/>
  <c r="Z130" i="9"/>
  <c r="Z132" i="9"/>
  <c r="E18" i="14" s="1"/>
  <c r="CA143" i="9"/>
  <c r="CC143" i="9" s="1"/>
  <c r="BQ146" i="9"/>
  <c r="BS144" i="9" s="1"/>
  <c r="BW140" i="9"/>
  <c r="AY82" i="15" s="1"/>
  <c r="AY43" i="15" s="1"/>
  <c r="BO144" i="9"/>
  <c r="BO145" i="9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E16" i="12" l="1"/>
  <c r="BG88" i="20"/>
  <c r="J172" i="20" s="1"/>
  <c r="AT45" i="20"/>
  <c r="E16" i="14"/>
  <c r="E14" i="12"/>
  <c r="AR226" i="9"/>
  <c r="E5" i="12"/>
  <c r="E7" i="14"/>
  <c r="D8" i="14"/>
  <c r="D6" i="12"/>
  <c r="D7" i="12"/>
  <c r="D9" i="14"/>
  <c r="BS145" i="9"/>
  <c r="BT145" i="9" s="1"/>
  <c r="BU145" i="9" s="1"/>
  <c r="BV145" i="9" s="1"/>
  <c r="BW145" i="9" s="1"/>
  <c r="BX145" i="9" s="1"/>
  <c r="BT144" i="9"/>
  <c r="BU144" i="9" s="1"/>
  <c r="BV144" i="9" s="1"/>
  <c r="BW144" i="9" s="1"/>
  <c r="AQ222" i="9"/>
  <c r="BH222" i="9"/>
  <c r="BJ222" i="9" s="1"/>
  <c r="R122" i="20"/>
  <c r="AN122" i="20" s="1"/>
  <c r="H208" i="20" s="1"/>
  <c r="J208" i="20" s="1"/>
  <c r="V130" i="9"/>
  <c r="L12" i="13" s="1"/>
  <c r="BM95" i="20"/>
  <c r="BN95" i="20" s="1"/>
  <c r="Z131" i="9"/>
  <c r="W130" i="9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S146" i="9" l="1"/>
  <c r="R136" i="20"/>
  <c r="BX144" i="9"/>
  <c r="BX146" i="9" s="1"/>
  <c r="BX140" i="9" s="1"/>
  <c r="BW146" i="9"/>
  <c r="CI227" i="9"/>
  <c r="CK221" i="9" s="1"/>
  <c r="CB223" i="9"/>
  <c r="CC223" i="9" s="1"/>
  <c r="AD127" i="15"/>
  <c r="AD132" i="15" s="1"/>
  <c r="BJ106" i="15"/>
  <c r="BK106" i="15" s="1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l="1"/>
  <c r="BA48" i="20" s="1"/>
  <c r="AS190" i="9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F25" i="17" l="1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BX156" i="9"/>
  <c r="BD83" i="15"/>
  <c r="G167" i="15" s="1"/>
  <c r="AY114" i="15"/>
  <c r="C212" i="15" s="1"/>
  <c r="BX157" i="9"/>
  <c r="D51" i="11"/>
  <c r="BX152" i="9"/>
  <c r="F26" i="17" s="1"/>
  <c r="G26" i="17" s="1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J171" i="20" s="1"/>
  <c r="F62" i="11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 s="1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88" i="11"/>
  <c r="AA91" i="11" s="1"/>
  <c r="AA101" i="11" l="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F192" i="11" l="1"/>
  <c r="C192" i="11" s="1"/>
  <c r="BN246" i="9" s="1"/>
  <c r="BQ246" i="9" s="1"/>
  <c r="CB220" i="9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<sst xmlns="http://schemas.openxmlformats.org/spreadsheetml/2006/main" count="5035" uniqueCount="660">
  <si>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</si>
  <si>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</si>
  <si>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</si>
  <si>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</si>
  <si>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</si>
  <si>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</si>
  <si>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</si>
  <si>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</si>
  <si>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</si>
  <si>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</si>
  <si>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</si>
  <si>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</si>
  <si>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</si>
  <si>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</si>
  <si>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</si>
  <si>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</si>
  <si>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</si>
  <si>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</si>
  <si>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</si>
  <si>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</si>
  <si>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</si>
  <si>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</si>
  <si>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</si>
  <si>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</si>
  <si>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</si>
  <si>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</si>
  <si>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</si>
  <si>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</si>
  <si>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</si>
  <si>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</si>
  <si>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</si>
  <si>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</si>
  <si>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</si>
  <si>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</si>
  <si>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</si>
  <si>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</si>
  <si>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</si>
  <si>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</si>
  <si>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</si>
  <si>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</si>
  <si>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</si>
  <si>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</si>
  <si>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</si>
  <si>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</si>
  <si>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</si>
  <si>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</si>
  <si>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</si>
  <si>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</si>
  <si>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</si>
  <si>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</si>
  <si>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</si>
  <si>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</si>
  <si>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</si>
  <si>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</si>
  <si>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</si>
  <si>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</si>
  <si>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</si>
  <si>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</si>
  <si>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</si>
  <si>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</si>
  <si>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</si>
  <si>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</si>
  <si>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</si>
  <si>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</si>
  <si>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</si>
  <si>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</si>
  <si>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</si>
  <si>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</si>
  <si>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</si>
  <si>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</si>
  <si>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</si>
  <si>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</si>
  <si>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</si>
  <si>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</si>
  <si>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</si>
  <si>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</si>
  <si>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</si>
  <si>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</si>
  <si>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</si>
  <si>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</si>
  <si>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</si>
  <si>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</si>
  <si>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</si>
  <si>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</si>
  <si>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</si>
  <si>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</si>
  <si>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</si>
  <si>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</si>
  <si>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</si>
  <si>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</si>
  <si>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</si>
  <si>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</si>
  <si>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</si>
  <si>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</si>
  <si>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</si>
  <si>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</si>
  <si>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</si>
  <si>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</si>
  <si>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</si>
  <si>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</si>
  <si>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</si>
  <si>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</si>
  <si>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</si>
  <si>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</si>
  <si>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</si>
  <si>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</si>
  <si>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</si>
  <si>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</si>
  <si>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</si>
  <si>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</si>
  <si>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</si>
  <si>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</si>
  <si>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</si>
  <si>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</si>
  <si>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</si>
  <si>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</si>
  <si>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</si>
  <si>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</si>
  <si>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</si>
  <si>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</si>
  <si>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</si>
  <si>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</si>
  <si>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</si>
  <si>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</si>
  <si>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</si>
  <si>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</si>
  <si>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</si>
  <si>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</si>
  <si>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</si>
  <si>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</si>
  <si>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</si>
  <si>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</si>
  <si>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</si>
  <si>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</si>
  <si>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</si>
  <si>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</si>
  <si>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</si>
  <si>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</si>
  <si>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</si>
  <si>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</si>
  <si>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</si>
  <si>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</si>
  <si>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</si>
  <si>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</si>
  <si>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</si>
  <si>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</si>
  <si>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</si>
  <si>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</si>
  <si>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</si>
  <si>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</si>
  <si>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</si>
  <si>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</si>
  <si>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</si>
  <si>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</si>
  <si>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</si>
  <si>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</si>
  <si>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</si>
  <si>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</si>
  <si>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</si>
  <si>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</si>
  <si>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</si>
  <si>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</si>
  <si>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</si>
  <si>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</si>
  <si>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</si>
  <si>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</si>
  <si>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</si>
  <si>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</si>
  <si>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</si>
  <si>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</si>
  <si>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</si>
  <si>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</si>
  <si>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</si>
  <si>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</si>
  <si>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</si>
  <si>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</si>
  <si>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</si>
  <si>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</si>
  <si>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</si>
  <si>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</si>
  <si>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</si>
  <si>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</si>
  <si>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</si>
  <si>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</si>
  <si>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</si>
  <si>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</si>
  <si>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</si>
  <si>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</si>
  <si>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</si>
  <si>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</si>
  <si>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</si>
  <si>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</si>
  <si>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</si>
  <si>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</si>
  <si>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</si>
  <si>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</si>
  <si>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</si>
  <si>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</si>
  <si>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</si>
  <si>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</si>
  <si>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</si>
  <si>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</si>
  <si>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</si>
  <si>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</si>
  <si>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</si>
  <si>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</si>
  <si>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</si>
  <si>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</si>
  <si>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</si>
  <si>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</si>
  <si>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</si>
  <si>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</si>
  <si>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</si>
  <si>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</si>
  <si>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</si>
  <si>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</si>
  <si>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</si>
  <si>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</si>
  <si>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</si>
  <si>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</si>
  <si>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</si>
  <si>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</si>
  <si>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</si>
  <si>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</si>
  <si>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</si>
  <si>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</si>
  <si>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</si>
  <si>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</si>
  <si>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</si>
  <si>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</si>
  <si>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</si>
  <si>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</si>
  <si>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</si>
  <si>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</si>
  <si>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</si>
  <si>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</si>
  <si>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</si>
  <si>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</si>
  <si>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</si>
  <si>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</si>
  <si>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</si>
  <si>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</si>
  <si>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</si>
  <si>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</si>
  <si>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</si>
  <si>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</si>
  <si>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</si>
  <si>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</si>
  <si>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</si>
  <si>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</si>
  <si>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</si>
  <si>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</si>
  <si>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</si>
  <si>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</si>
  <si>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</si>
  <si>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</si>
  <si>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</si>
  <si>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</si>
  <si>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</si>
  <si>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</si>
  <si>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</si>
  <si>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</si>
  <si>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</si>
  <si>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</si>
  <si>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</si>
  <si>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</si>
  <si>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</si>
  <si>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</si>
  <si>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</si>
  <si>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</si>
  <si>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</si>
  <si>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</si>
  <si>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</si>
  <si>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</si>
  <si>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</si>
  <si>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</si>
  <si>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</si>
  <si>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</si>
  <si>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</si>
  <si>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</si>
  <si>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</si>
  <si>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</si>
  <si>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</si>
  <si>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</si>
  <si>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</si>
  <si>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</si>
  <si>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</si>
  <si>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</si>
  <si>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</si>
  <si>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</si>
  <si>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</si>
  <si>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</si>
  <si>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</si>
  <si>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</si>
  <si>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</si>
  <si>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</si>
  <si>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</si>
  <si>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</si>
  <si>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</si>
  <si>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</si>
  <si>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</si>
  <si>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</si>
  <si>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</si>
  <si>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</si>
  <si>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</si>
  <si>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</si>
  <si>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</si>
  <si>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</si>
  <si>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</si>
  <si>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</si>
  <si>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</si>
  <si>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</si>
  <si>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</si>
  <si>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</si>
  <si>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</si>
  <si>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</si>
  <si>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</si>
  <si>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</si>
  <si>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</si>
  <si>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</si>
  <si>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</si>
  <si>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</si>
  <si>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</si>
  <si>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</si>
  <si>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</si>
  <si>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</si>
  <si>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</si>
  <si>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</si>
  <si>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</si>
  <si>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</si>
  <si>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</si>
  <si>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</si>
  <si>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</si>
  <si>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</si>
  <si>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</si>
  <si>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</si>
  <si>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</si>
  <si>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</si>
  <si>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</si>
  <si>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</si>
  <si>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</si>
  <si>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</si>
  <si>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</si>
  <si>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</si>
  <si>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</si>
  <si>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</si>
  <si>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</si>
  <si>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</si>
  <si>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</si>
  <si>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</si>
  <si>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</si>
  <si>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</si>
  <si>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</si>
  <si>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</si>
  <si>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</si>
  <si>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</si>
  <si>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</si>
  <si>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</si>
  <si>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</si>
  <si>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</si>
  <si>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</si>
  <si>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</si>
  <si>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</si>
  <si>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</si>
  <si>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</si>
  <si>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</si>
  <si>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</si>
  <si>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</si>
  <si>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</si>
  <si>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</si>
  <si>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</si>
  <si>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</si>
  <si>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</si>
  <si>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</si>
  <si>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</si>
  <si>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</si>
  <si>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</si>
  <si>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</si>
  <si>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</si>
  <si>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</si>
  <si>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</si>
  <si>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</si>
  <si>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</si>
  <si>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</si>
  <si>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</si>
  <si>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</si>
  <si>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</si>
  <si>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</si>
  <si>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</si>
  <si>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</si>
  <si>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</si>
  <si>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</si>
  <si>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</si>
  <si>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</si>
  <si>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</si>
  <si>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</si>
  <si>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</si>
  <si>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</si>
  <si>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</si>
  <si>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</si>
  <si>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</si>
  <si>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</si>
  <si>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</si>
  <si>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</si>
  <si>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</si>
  <si>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</si>
  <si>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</si>
  <si>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</si>
  <si>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</si>
  <si>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</si>
  <si>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</si>
  <si>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</si>
  <si>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</si>
  <si>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</si>
  <si>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</si>
  <si>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</si>
  <si>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</si>
  <si>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</si>
  <si>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</si>
  <si>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</si>
  <si>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</si>
  <si>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</si>
  <si>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</si>
  <si>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</si>
  <si>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</si>
  <si>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</si>
  <si>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</si>
  <si>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</si>
  <si>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</si>
  <si>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</si>
  <si>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</si>
  <si>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</si>
  <si>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</si>
  <si>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</si>
  <si>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</si>
  <si>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</si>
  <si>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</si>
  <si>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</si>
  <si>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</si>
  <si>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</si>
  <si>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</si>
  <si>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</si>
  <si>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</si>
  <si>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</si>
  <si>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</si>
  <si>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</si>
  <si>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</si>
  <si>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</si>
  <si>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</si>
  <si>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</si>
  <si>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</si>
  <si>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</si>
  <si>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</si>
  <si>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</si>
  <si>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</si>
  <si>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</si>
  <si>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</si>
  <si>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</si>
  <si>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</si>
  <si>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</si>
  <si>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</si>
  <si>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</si>
  <si>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</si>
  <si>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</si>
  <si>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</si>
  <si>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</si>
  <si>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</si>
  <si>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</si>
  <si>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</si>
  <si>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</si>
  <si>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</si>
  <si>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</si>
  <si>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</si>
  <si>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</si>
  <si>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</si>
  <si>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</si>
  <si>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</si>
  <si>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</si>
  <si>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</si>
  <si>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</si>
  <si>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</si>
  <si>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</si>
  <si>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</si>
  <si>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</si>
  <si>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</si>
  <si>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</si>
  <si>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</si>
  <si>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</si>
  <si>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</si>
  <si>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</si>
  <si>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</si>
  <si>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</si>
  <si>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</si>
  <si>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</si>
  <si>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</si>
  <si>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</si>
  <si>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</si>
  <si>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</si>
  <si>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</si>
  <si>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</si>
  <si>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</si>
  <si>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</si>
  <si>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</si>
  <si>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</si>
  <si>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</si>
  <si>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</si>
  <si>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</si>
  <si>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</si>
  <si>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</si>
  <si>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</si>
  <si>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</si>
  <si>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</si>
  <si>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</si>
  <si>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</si>
  <si>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</si>
  <si>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</si>
  <si>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</si>
  <si>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</si>
  <si>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</si>
  <si>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</si>
  <si>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</si>
  <si>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</si>
  <si>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</si>
  <si>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</si>
  <si>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</si>
  <si>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</si>
  <si>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</si>
  <si>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</si>
  <si>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</si>
  <si>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</si>
  <si>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</si>
  <si>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</si>
  <si>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</si>
  <si>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</si>
  <si>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</si>
  <si>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</si>
  <si>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</si>
  <si>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</si>
  <si>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</si>
  <si>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</si>
  <si>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</si>
  <si>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</si>
  <si>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</si>
  <si>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</si>
  <si>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</si>
  <si>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</si>
  <si>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</si>
  <si>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</si>
  <si>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</si>
  <si>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</si>
  <si>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</si>
  <si>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</si>
  <si>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</si>
  <si>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</si>
  <si>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</si>
  <si>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</si>
  <si>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</si>
  <si>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</si>
  <si>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</si>
  <si>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</si>
  <si>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</si>
  <si>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</si>
  <si>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</si>
  <si>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</si>
  <si>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</si>
  <si>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</si>
  <si>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</si>
  <si>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</si>
  <si>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</si>
  <si>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</si>
  <si>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</si>
  <si>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</si>
  <si>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</si>
  <si>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</si>
  <si>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</si>
  <si>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</si>
  <si>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</si>
  <si>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</si>
  <si>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</si>
  <si>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</si>
  <si>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</si>
  <si>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</si>
  <si>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</si>
  <si>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</si>
  <si>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</si>
  <si>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</si>
  <si>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</si>
  <si>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</si>
  <si>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</si>
  <si>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</si>
  <si>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</si>
  <si>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</si>
  <si>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</si>
  <si>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</si>
  <si>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</si>
  <si>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</si>
  <si>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</si>
  <si>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</si>
  <si>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</si>
  <si>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</si>
  <si>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</si>
  <si>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</si>
  <si>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</si>
  <si>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</si>
  <si>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</si>
  <si>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</si>
  <si>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</si>
  <si>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</si>
  <si>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</si>
  <si>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</si>
  <si>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</si>
  <si>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</si>
  <si>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</si>
  <si>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</si>
  <si>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</si>
  <si>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</si>
  <si>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</si>
  <si>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</si>
  <si>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</si>
  <si>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</si>
  <si>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</si>
  <si>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</si>
  <si>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</si>
  <si>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</si>
  <si>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</si>
  <si>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</si>
  <si>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</si>
  <si>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</si>
  <si>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</si>
  <si>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</si>
  <si>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</si>
  <si>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</si>
  <si>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</si>
  <si>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</si>
  <si>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</si>
  <si>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</si>
  <si>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</si>
  <si>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</si>
  <si>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</si>
  <si>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</si>
  <si>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</si>
  <si>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</si>
  <si>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</si>
  <si>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</si>
  <si>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</si>
  <si>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</si>
  <si>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</si>
  <si>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</si>
  <si>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</si>
  <si>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</si>
  <si>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</si>
  <si>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</si>
  <si>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</si>
  <si>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</si>
  <si>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</si>
  <si>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</si>
  <si>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</si>
  <si>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</si>
  <si>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</si>
  <si>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t>Air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</si>
</sst>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4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429778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16037</xdr:colOff>
      <xdr:row>35</xdr:row>
      <xdr:rowOff>78154</xdr:rowOff>
    </xdr:from>
    <xdr:to>
      <xdr:col>59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617941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113</xdr:row>
      <xdr:rowOff>58616</xdr:rowOff>
    </xdr:from>
    <xdr:to>
      <xdr:col>42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658638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58616</xdr:colOff>
      <xdr:row>126</xdr:row>
      <xdr:rowOff>136769</xdr:rowOff>
    </xdr:from>
    <xdr:to>
      <xdr:col>162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488462</xdr:colOff>
      <xdr:row>141</xdr:row>
      <xdr:rowOff>195385</xdr:rowOff>
    </xdr:from>
    <xdr:to>
      <xdr:col>162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586154</xdr:colOff>
      <xdr:row>104</xdr:row>
      <xdr:rowOff>195385</xdr:rowOff>
    </xdr:from>
    <xdr:to>
      <xdr:col>162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703384</xdr:colOff>
      <xdr:row>126</xdr:row>
      <xdr:rowOff>117231</xdr:rowOff>
    </xdr:from>
    <xdr:to>
      <xdr:col>137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479888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27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351692</xdr:colOff>
      <xdr:row>138</xdr:row>
      <xdr:rowOff>195384</xdr:rowOff>
    </xdr:from>
    <xdr:to>
      <xdr:col>96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19539</xdr:colOff>
      <xdr:row>42</xdr:row>
      <xdr:rowOff>152400</xdr:rowOff>
    </xdr:from>
    <xdr:to>
      <xdr:col>106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508001</xdr:colOff>
      <xdr:row>105</xdr:row>
      <xdr:rowOff>19539</xdr:rowOff>
    </xdr:from>
    <xdr:to>
      <xdr:col>147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781539</xdr:colOff>
      <xdr:row>126</xdr:row>
      <xdr:rowOff>156308</xdr:rowOff>
    </xdr:from>
    <xdr:to>
      <xdr:col>76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126</xdr:row>
      <xdr:rowOff>175846</xdr:rowOff>
    </xdr:from>
    <xdr:to>
      <xdr:col>58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97693</xdr:colOff>
      <xdr:row>126</xdr:row>
      <xdr:rowOff>168609</xdr:rowOff>
    </xdr:from>
    <xdr:to>
      <xdr:col>40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78153</xdr:colOff>
      <xdr:row>64</xdr:row>
      <xdr:rowOff>0</xdr:rowOff>
    </xdr:from>
    <xdr:to>
      <xdr:col>39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97693</xdr:colOff>
      <xdr:row>42</xdr:row>
      <xdr:rowOff>175846</xdr:rowOff>
    </xdr:from>
    <xdr:to>
      <xdr:col>56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1094154</xdr:colOff>
      <xdr:row>206</xdr:row>
      <xdr:rowOff>136769</xdr:rowOff>
    </xdr:from>
    <xdr:to>
      <xdr:col>58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136769</xdr:rowOff>
    </xdr:from>
    <xdr:to>
      <xdr:col>106</xdr:col>
      <xdr:colOff>390770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76499590" y="44762615"/>
          <a:ext cx="20469795" cy="1519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722182</xdr:colOff>
      <xdr:row>127</xdr:row>
      <xdr:rowOff>28872</xdr:rowOff>
    </xdr:from>
    <xdr:to>
      <xdr:col>27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4383</xdr:colOff>
      <xdr:row>43</xdr:row>
      <xdr:rowOff>7824</xdr:rowOff>
    </xdr:from>
    <xdr:to>
      <xdr:col>63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55</xdr:row>
      <xdr:rowOff>195385</xdr:rowOff>
    </xdr:from>
    <xdr:to>
      <xdr:col>75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429846</xdr:colOff>
      <xdr:row>128</xdr:row>
      <xdr:rowOff>133685</xdr:rowOff>
    </xdr:from>
    <xdr:to>
      <xdr:col>116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1159631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332154</xdr:colOff>
      <xdr:row>114</xdr:row>
      <xdr:rowOff>175847</xdr:rowOff>
    </xdr:from>
    <xdr:to>
      <xdr:col>96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182454</xdr:colOff>
      <xdr:row>128</xdr:row>
      <xdr:rowOff>56891</xdr:rowOff>
    </xdr:from>
    <xdr:to>
      <xdr:col>137</xdr:col>
      <xdr:colOff>190972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301377" y="27586583"/>
          <a:ext cx="8518" cy="577006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703384</xdr:colOff>
      <xdr:row>140</xdr:row>
      <xdr:rowOff>156308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801077</xdr:colOff>
      <xdr:row>140</xdr:row>
      <xdr:rowOff>214923</xdr:rowOff>
    </xdr:from>
    <xdr:to>
      <xdr:col>76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161335</xdr:colOff>
      <xdr:row>129</xdr:row>
      <xdr:rowOff>234318</xdr:rowOff>
    </xdr:from>
    <xdr:to>
      <xdr:col>76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19538</xdr:colOff>
      <xdr:row>153</xdr:row>
      <xdr:rowOff>0</xdr:rowOff>
    </xdr:from>
    <xdr:to>
      <xdr:col>76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351692</xdr:colOff>
      <xdr:row>117</xdr:row>
      <xdr:rowOff>58615</xdr:rowOff>
    </xdr:from>
    <xdr:to>
      <xdr:col>140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20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20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0</xdr:colOff>
      <xdr:row>233</xdr:row>
      <xdr:rowOff>175846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20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273528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683846</xdr:colOff>
      <xdr:row>153</xdr:row>
      <xdr:rowOff>4887</xdr:rowOff>
    </xdr:from>
    <xdr:to>
      <xdr:col>123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742461</xdr:colOff>
      <xdr:row>269</xdr:row>
      <xdr:rowOff>97692</xdr:rowOff>
    </xdr:from>
    <xdr:to>
      <xdr:col>114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206</xdr:row>
      <xdr:rowOff>136769</xdr:rowOff>
    </xdr:from>
    <xdr:to>
      <xdr:col>75</xdr:col>
      <xdr:colOff>819358</xdr:colOff>
      <xdr:row>206</xdr:row>
      <xdr:rowOff>138669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59924462" y="44762615"/>
          <a:ext cx="11878127" cy="19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242</xdr:row>
      <xdr:rowOff>201083</xdr:rowOff>
    </xdr:from>
    <xdr:to>
      <xdr:col>76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195385</xdr:colOff>
      <xdr:row>210</xdr:row>
      <xdr:rowOff>0</xdr:rowOff>
    </xdr:from>
    <xdr:to>
      <xdr:col>76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21</xdr:col>
      <xdr:colOff>58616</xdr:colOff>
      <xdr:row>222</xdr:row>
      <xdr:rowOff>175846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44918" y="48321058"/>
          <a:ext cx="12406313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20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21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21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97692</xdr:colOff>
      <xdr:row>42</xdr:row>
      <xdr:rowOff>156308</xdr:rowOff>
    </xdr:from>
    <xdr:to>
      <xdr:col>27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39077</xdr:colOff>
      <xdr:row>42</xdr:row>
      <xdr:rowOff>136769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136770</xdr:colOff>
      <xdr:row>46</xdr:row>
      <xdr:rowOff>58615</xdr:rowOff>
    </xdr:from>
    <xdr:to>
      <xdr:col>21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21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21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21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142</xdr:row>
      <xdr:rowOff>214923</xdr:rowOff>
    </xdr:from>
    <xdr:to>
      <xdr:col>40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722923</xdr:colOff>
      <xdr:row>114</xdr:row>
      <xdr:rowOff>195385</xdr:rowOff>
    </xdr:from>
    <xdr:to>
      <xdr:col>137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214923</xdr:colOff>
      <xdr:row>101</xdr:row>
      <xdr:rowOff>410308</xdr:rowOff>
    </xdr:from>
    <xdr:to>
      <xdr:col>137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39077</xdr:colOff>
      <xdr:row>101</xdr:row>
      <xdr:rowOff>449385</xdr:rowOff>
    </xdr:from>
    <xdr:to>
      <xdr:col>137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299110</xdr:colOff>
      <xdr:row>126</xdr:row>
      <xdr:rowOff>136155</xdr:rowOff>
    </xdr:from>
    <xdr:to>
      <xdr:col>82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26592</xdr:colOff>
      <xdr:row>207</xdr:row>
      <xdr:rowOff>19538</xdr:rowOff>
    </xdr:from>
    <xdr:to>
      <xdr:col>21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228</xdr:row>
      <xdr:rowOff>0</xdr:rowOff>
    </xdr:from>
    <xdr:to>
      <xdr:col>40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21493</xdr:colOff>
      <xdr:row>207</xdr:row>
      <xdr:rowOff>0</xdr:rowOff>
    </xdr:from>
    <xdr:to>
      <xdr:col>28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175847</xdr:colOff>
      <xdr:row>130</xdr:row>
      <xdr:rowOff>0</xdr:rowOff>
    </xdr:from>
    <xdr:to>
      <xdr:col>21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293077</xdr:colOff>
      <xdr:row>114</xdr:row>
      <xdr:rowOff>136770</xdr:rowOff>
    </xdr:from>
    <xdr:to>
      <xdr:col>82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topLeftCell="A14" zoomScale="125" workbookViewId="0">
      <selection activeCell="B54" sqref="B54:C54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3" t="s">
        <v>103</v>
      </c>
      <c r="Q2" s="304"/>
      <c r="R2" s="303" t="s">
        <v>109</v>
      </c>
      <c r="S2" s="304"/>
      <c r="U2" s="305" t="s">
        <v>234</v>
      </c>
      <c r="V2" s="305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514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  <c r="Y7" s="61" t="s">
        <v>496</v>
      </c>
      <c r="Z7" s="13">
        <v>42600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O12" s="306" t="s">
        <v>393</v>
      </c>
      <c r="P12" s="306"/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128" t="s">
        <v>323</v>
      </c>
      <c r="P13" s="13" t="s">
        <v>394</v>
      </c>
      <c r="Q13" s="13" t="s">
        <v>33</v>
      </c>
      <c r="R13" s="13" t="s">
        <v>34</v>
      </c>
      <c r="S13" s="13" t="s">
        <v>35</v>
      </c>
      <c r="T13" s="13" t="s">
        <v>402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13" t="s">
        <v>99</v>
      </c>
      <c r="P14" s="13" t="s">
        <v>347</v>
      </c>
      <c r="Q14" s="13" t="s">
        <v>99</v>
      </c>
      <c r="R14" s="13" t="s">
        <v>99</v>
      </c>
      <c r="S14" s="13" t="s">
        <v>99</v>
      </c>
      <c r="T14" s="13" t="s">
        <v>347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13">
        <v>1.0437000000000001</v>
      </c>
      <c r="P15" s="13">
        <v>30080</v>
      </c>
      <c r="Q15" s="13">
        <v>0.18820000000000001</v>
      </c>
      <c r="R15" s="13">
        <v>6.0999999999999999E-2</v>
      </c>
      <c r="S15" s="13">
        <v>4.0399999999999998E-2</v>
      </c>
      <c r="T15" s="13">
        <v>2442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</row>
    <row r="17" spans="2:8" ht="16" x14ac:dyDescent="0.2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</row>
    <row r="18" spans="2: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</row>
    <row r="19" spans="2: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</row>
    <row r="20" spans="2: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</row>
    <row r="21" spans="2:8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</row>
    <row r="22" spans="2:8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</row>
    <row r="23" spans="2:8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8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</row>
    <row r="25" spans="2:8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</row>
    <row r="26" spans="2:8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</row>
    <row r="27" spans="2:8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</row>
    <row r="28" spans="2:8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8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8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8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/>
      <c r="D41" s="13">
        <f>(MW_C*12)+(MW_H*23)</f>
        <v>0.16731462</v>
      </c>
      <c r="E41" s="13"/>
    </row>
    <row r="42" spans="2:5" ht="17" x14ac:dyDescent="0.25">
      <c r="B42" s="4" t="s">
        <v>514</v>
      </c>
      <c r="C42" s="13"/>
      <c r="D42" s="13">
        <f>(10*MW_C) + (20*MW_H)</f>
        <v>0.1402688</v>
      </c>
      <c r="E42" s="13"/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508</v>
      </c>
      <c r="C55" s="3" t="s">
        <v>509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12:P12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abSelected="1" topLeftCell="A34" zoomScale="161" workbookViewId="0">
      <selection activeCell="I61" sqref="I6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5" t="s">
        <v>126</v>
      </c>
      <c r="P10" s="305"/>
      <c r="Q10" s="305"/>
      <c r="R10" s="305"/>
      <c r="S10" s="305"/>
      <c r="T10" s="305"/>
      <c r="U10" s="305"/>
      <c r="V10" s="305" t="s">
        <v>126</v>
      </c>
      <c r="W10" s="305"/>
      <c r="X10" s="305"/>
      <c r="Y10" s="305"/>
      <c r="Z10" s="305"/>
      <c r="AA10" s="305"/>
      <c r="AB10" s="305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5" t="s">
        <v>307</v>
      </c>
      <c r="P11" s="305"/>
      <c r="Q11" s="305"/>
      <c r="R11" s="303"/>
      <c r="S11" s="304"/>
      <c r="T11" s="314" t="s">
        <v>306</v>
      </c>
      <c r="U11" s="309"/>
      <c r="V11" s="305" t="str">
        <f>_xlfn.CONCAT(E19," ",C19," ","+"," ",E21," ",C21," ","--&gt;"," ",E22," ",C22," ","+"," ",E20*E21," ",C20)</f>
        <v>1.5 C + 1.5 O2 --&gt; 1.5 CO2 + 5.64 N2</v>
      </c>
      <c r="W11" s="305"/>
      <c r="X11" s="305"/>
      <c r="Y11" s="305"/>
      <c r="Z11" s="305"/>
      <c r="AA11" s="305"/>
      <c r="AB11" s="305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5" t="s">
        <v>226</v>
      </c>
      <c r="P12" s="305"/>
      <c r="Q12" s="305"/>
      <c r="R12" s="303"/>
      <c r="S12" s="304"/>
      <c r="T12" s="305" t="s">
        <v>225</v>
      </c>
      <c r="U12" s="305"/>
      <c r="V12" s="305" t="str">
        <f>_xlfn.CONCAT(E25," ",C25," ","+"," ",E26," ",C26," ","--&gt;"," ",E27," ",C27)</f>
        <v>1.5 CO2 + 1.5 C --&gt; 3 CO</v>
      </c>
      <c r="W12" s="305"/>
      <c r="X12" s="305"/>
      <c r="Y12" s="305"/>
      <c r="Z12" s="305"/>
      <c r="AA12" s="305"/>
      <c r="AB12" s="305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5" t="s">
        <v>227</v>
      </c>
      <c r="P13" s="305"/>
      <c r="Q13" s="305"/>
      <c r="R13" s="303"/>
      <c r="S13" s="304"/>
      <c r="T13" s="314" t="s">
        <v>228</v>
      </c>
      <c r="U13" s="309"/>
      <c r="V13" s="305" t="str">
        <f>_xlfn.CONCAT(E29," ",C29," ","+"," ",E30," ",C30," ","--&gt;"," ",E31," ",C31," ","+"," ",E32," ",C32)</f>
        <v>1 Fe2O3 + 3 CO --&gt; 2 Fe + 3 CO2</v>
      </c>
      <c r="W13" s="305"/>
      <c r="X13" s="305"/>
      <c r="Y13" s="305"/>
      <c r="Z13" s="305"/>
      <c r="AA13" s="305"/>
      <c r="AB13" s="305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5"/>
      <c r="P14" s="305"/>
      <c r="Q14" s="305"/>
      <c r="R14" s="303"/>
      <c r="S14" s="304"/>
      <c r="T14" s="305"/>
      <c r="U14" s="305"/>
      <c r="V14" s="305" t="str">
        <f>_xlfn.CONCAT(E36," ",C36," ","--&gt;"," ",E37," ",C37," ","+"," ",E39," ",C39)</f>
        <v>1 CaCO3 --&gt; 1 CaO + 0.0624775822865075 MgO</v>
      </c>
      <c r="W14" s="305"/>
      <c r="X14" s="305"/>
      <c r="Y14" s="305"/>
      <c r="Z14" s="305"/>
      <c r="AA14" s="305"/>
      <c r="AB14" s="305"/>
    </row>
    <row r="15" spans="1:28" ht="17" x14ac:dyDescent="0.25">
      <c r="O15" s="305" t="s">
        <v>229</v>
      </c>
      <c r="P15" s="305"/>
      <c r="Q15" s="305"/>
      <c r="R15" s="303"/>
      <c r="S15" s="304"/>
      <c r="T15" s="305" t="s">
        <v>230</v>
      </c>
      <c r="U15" s="305"/>
      <c r="V15" s="305" t="str">
        <f>_xlfn.CONCAT(E41," ",C41," ","+"," ",E42," ",C42," ","--&gt;"," ",E43," ",C43)</f>
        <v>1 CaO + 1 SiO2 --&gt; 1 CaSiO3</v>
      </c>
      <c r="W15" s="305"/>
      <c r="X15" s="305"/>
      <c r="Y15" s="305"/>
      <c r="Z15" s="305"/>
      <c r="AA15" s="305"/>
      <c r="AB15" s="305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5" t="s">
        <v>335</v>
      </c>
      <c r="P17" s="305"/>
      <c r="Q17" s="305"/>
      <c r="R17" s="305"/>
      <c r="S17" s="305"/>
      <c r="T17" s="305"/>
      <c r="U17" s="305"/>
      <c r="V17" s="305" t="s">
        <v>126</v>
      </c>
      <c r="W17" s="305"/>
      <c r="X17" s="305"/>
      <c r="Y17" s="305"/>
      <c r="Z17" s="305"/>
      <c r="AA17" s="305"/>
      <c r="AB17" s="305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5" t="s">
        <v>336</v>
      </c>
      <c r="P18" s="305"/>
      <c r="Q18" s="305"/>
      <c r="R18" s="305"/>
      <c r="S18" s="305"/>
      <c r="T18" s="305" t="s">
        <v>337</v>
      </c>
      <c r="U18" s="303"/>
      <c r="V18" s="31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3"/>
      <c r="X18" s="313"/>
      <c r="Y18" s="313"/>
      <c r="Z18" s="313"/>
      <c r="AA18" s="313"/>
      <c r="AB18" s="313"/>
    </row>
    <row r="19" spans="1:28" ht="16" x14ac:dyDescent="0.2">
      <c r="B19" s="315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3"/>
      <c r="W19" s="313"/>
      <c r="X19" s="313"/>
      <c r="Y19" s="313"/>
      <c r="Z19" s="313"/>
      <c r="AA19" s="313"/>
      <c r="AB19" s="313"/>
    </row>
    <row r="20" spans="1:28" ht="18" x14ac:dyDescent="0.25">
      <c r="A20" s="1"/>
      <c r="B20" s="316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7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8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9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0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20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0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0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1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2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5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6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0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5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5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0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0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4" t="s">
        <v>19</v>
      </c>
      <c r="C44" s="324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1" t="s">
        <v>352</v>
      </c>
      <c r="D47" s="311"/>
      <c r="E47" s="311"/>
      <c r="F47" s="311"/>
    </row>
    <row r="48" spans="2:23" x14ac:dyDescent="0.2">
      <c r="C48" s="327"/>
      <c r="D48" s="327"/>
      <c r="E48" s="327"/>
      <c r="F48" s="327"/>
      <c r="H48" s="305" t="s">
        <v>70</v>
      </c>
      <c r="I48" s="305"/>
      <c r="J48" s="305"/>
      <c r="K48" s="305"/>
      <c r="L48" s="305"/>
      <c r="M48" s="305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5" t="s">
        <v>74</v>
      </c>
      <c r="I49" s="305"/>
      <c r="J49" s="305"/>
      <c r="K49" s="13"/>
      <c r="L49" s="314" t="s">
        <v>359</v>
      </c>
      <c r="M49" s="309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3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3"/>
      <c r="J51" s="323"/>
      <c r="K51" s="323"/>
      <c r="L51" s="323"/>
      <c r="M51" s="323"/>
    </row>
    <row r="52" spans="1:17" ht="16.25" customHeight="1" x14ac:dyDescent="0.25">
      <c r="C52" s="20" t="s">
        <v>24</v>
      </c>
      <c r="D52" s="13" t="s">
        <v>432</v>
      </c>
      <c r="H52" s="323"/>
      <c r="I52" s="323"/>
      <c r="J52" s="323"/>
      <c r="K52" s="323"/>
      <c r="L52" s="323"/>
      <c r="M52" s="323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658</v>
      </c>
      <c r="D55" s="3" t="s">
        <v>339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1:17" ht="17" x14ac:dyDescent="0.25">
      <c r="A59" s="116" t="s">
        <v>322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413" t="s">
        <v>659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595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413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1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"/>
    <row r="67" spans="2:41" ht="19.25" customHeight="1" x14ac:dyDescent="0.2"/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11" t="s">
        <v>380</v>
      </c>
      <c r="C69" s="311"/>
      <c r="D69" s="311"/>
      <c r="E69" s="311"/>
      <c r="F69" s="311"/>
      <c r="G69" s="311"/>
      <c r="W69" s="157"/>
      <c r="Y69" s="307" t="s">
        <v>497</v>
      </c>
      <c r="Z69" s="307"/>
      <c r="AA69" s="307"/>
      <c r="AB69" s="307"/>
      <c r="AC69" s="307"/>
      <c r="AD69" s="307"/>
      <c r="AE69" s="307"/>
      <c r="AF69" s="307"/>
    </row>
    <row r="70" spans="2:41" x14ac:dyDescent="0.2">
      <c r="B70" s="312"/>
      <c r="C70" s="312"/>
      <c r="D70" s="312"/>
      <c r="E70" s="312"/>
      <c r="F70" s="312"/>
      <c r="G70" s="312"/>
      <c r="W70" s="155"/>
      <c r="Y70" s="307"/>
      <c r="Z70" s="307"/>
      <c r="AA70" s="307"/>
      <c r="AB70" s="307"/>
      <c r="AC70" s="307"/>
      <c r="AD70" s="307"/>
      <c r="AE70" s="307"/>
      <c r="AF70" s="307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7"/>
      <c r="Z71" s="307"/>
      <c r="AA71" s="307"/>
      <c r="AB71" s="307"/>
      <c r="AC71" s="307"/>
      <c r="AD71" s="307"/>
      <c r="AE71" s="307"/>
      <c r="AF71" s="307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6" t="s">
        <v>114</v>
      </c>
      <c r="I77" s="306"/>
      <c r="J77" s="306"/>
      <c r="K77" s="306"/>
      <c r="L77" s="306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645</v>
      </c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0" t="s">
        <v>461</v>
      </c>
      <c r="D147" s="310"/>
      <c r="E147" s="310"/>
      <c r="F147" s="310"/>
      <c r="G147" s="310"/>
    </row>
    <row r="148" spans="1:30" x14ac:dyDescent="0.2">
      <c r="B148" s="171" t="s">
        <v>454</v>
      </c>
      <c r="C148" s="307"/>
      <c r="D148" s="307"/>
      <c r="E148" s="307"/>
      <c r="F148" s="307"/>
      <c r="G148" s="307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7" t="s">
        <v>591</v>
      </c>
      <c r="C176" s="307"/>
      <c r="D176" s="307"/>
      <c r="E176" s="307"/>
      <c r="F176" s="307"/>
      <c r="G176" s="307"/>
    </row>
    <row r="177" spans="2:17" x14ac:dyDescent="0.2">
      <c r="B177" s="307"/>
      <c r="C177" s="307"/>
      <c r="D177" s="307"/>
      <c r="E177" s="307"/>
      <c r="F177" s="307"/>
      <c r="G177" s="307"/>
    </row>
    <row r="178" spans="2:17" x14ac:dyDescent="0.2">
      <c r="B178" s="307"/>
      <c r="C178" s="307"/>
      <c r="D178" s="307"/>
      <c r="E178" s="307"/>
      <c r="F178" s="307"/>
      <c r="G178" s="307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7" t="s">
        <v>501</v>
      </c>
      <c r="C215" s="307"/>
      <c r="D215" s="307"/>
      <c r="E215" s="307"/>
      <c r="G215" s="20" t="s">
        <v>67</v>
      </c>
      <c r="H215" s="237" t="s">
        <v>24</v>
      </c>
      <c r="J215" s="305" t="s">
        <v>70</v>
      </c>
      <c r="K215" s="305"/>
      <c r="L215" s="305"/>
      <c r="M215" s="305"/>
      <c r="N215" s="305"/>
      <c r="O215" s="305"/>
    </row>
    <row r="216" spans="2:20" ht="18" x14ac:dyDescent="0.25">
      <c r="B216" s="307"/>
      <c r="C216" s="307"/>
      <c r="D216" s="307"/>
      <c r="E216" s="307"/>
      <c r="G216" s="13">
        <v>3.76</v>
      </c>
      <c r="H216" s="13">
        <v>2</v>
      </c>
      <c r="J216" s="305" t="s">
        <v>503</v>
      </c>
      <c r="K216" s="305"/>
      <c r="L216" s="305"/>
      <c r="M216" s="13"/>
      <c r="N216" s="308" t="s">
        <v>75</v>
      </c>
      <c r="O216" s="309"/>
    </row>
    <row r="217" spans="2:20" x14ac:dyDescent="0.2">
      <c r="B217" s="307"/>
      <c r="C217" s="307"/>
      <c r="D217" s="307"/>
      <c r="E217" s="307"/>
      <c r="J217" s="305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5"/>
      <c r="L217" s="305"/>
      <c r="M217" s="305"/>
      <c r="N217" s="305"/>
      <c r="O217" s="305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502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207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648</v>
      </c>
      <c r="K228" s="132" t="s">
        <v>651</v>
      </c>
      <c r="L228" s="3" t="s">
        <v>394</v>
      </c>
      <c r="M228" s="3" t="s">
        <v>40</v>
      </c>
      <c r="N228" s="4" t="s">
        <v>35</v>
      </c>
      <c r="O228" s="132" t="s">
        <v>649</v>
      </c>
      <c r="P228" s="132" t="s">
        <v>650</v>
      </c>
    </row>
    <row r="229" spans="2:21" x14ac:dyDescent="0.2">
      <c r="C229" s="3" t="s">
        <v>647</v>
      </c>
      <c r="J229" s="13" t="s">
        <v>99</v>
      </c>
      <c r="K229" s="13" t="s">
        <v>99</v>
      </c>
      <c r="L229" s="13" t="s">
        <v>347</v>
      </c>
      <c r="M229" s="13" t="s">
        <v>241</v>
      </c>
      <c r="N229" s="13" t="s">
        <v>241</v>
      </c>
      <c r="O229" s="13" t="s">
        <v>99</v>
      </c>
      <c r="P229" s="13" t="s">
        <v>347</v>
      </c>
    </row>
    <row r="230" spans="2:21" ht="18" x14ac:dyDescent="0.25">
      <c r="B230" s="13" t="s">
        <v>183</v>
      </c>
      <c r="C230" s="3">
        <f>23*C232</f>
        <v>67.666824132189475</v>
      </c>
      <c r="D230" s="19" t="s">
        <v>304</v>
      </c>
      <c r="E230" s="3">
        <f>E232</f>
        <v>35.304429982011904</v>
      </c>
      <c r="F230" s="19" t="s">
        <v>304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496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652</v>
      </c>
    </row>
    <row r="235" spans="2:21" x14ac:dyDescent="0.2">
      <c r="C235" s="3" t="s">
        <v>594</v>
      </c>
      <c r="N235" s="3" t="s">
        <v>653</v>
      </c>
    </row>
    <row r="236" spans="2:21" x14ac:dyDescent="0.2">
      <c r="B236" s="13" t="s">
        <v>183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496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7" t="s">
        <v>511</v>
      </c>
      <c r="C240" s="307"/>
      <c r="D240" s="307"/>
      <c r="E240" s="307"/>
      <c r="J240" s="305" t="s">
        <v>70</v>
      </c>
      <c r="K240" s="305"/>
      <c r="L240" s="305"/>
      <c r="M240" s="305"/>
      <c r="N240" s="305"/>
      <c r="O240" s="305"/>
    </row>
    <row r="241" spans="2:21" ht="18" x14ac:dyDescent="0.25">
      <c r="B241" s="307"/>
      <c r="C241" s="307"/>
      <c r="D241" s="307"/>
      <c r="E241" s="307"/>
      <c r="J241" s="305" t="s">
        <v>513</v>
      </c>
      <c r="K241" s="305"/>
      <c r="L241" s="305"/>
      <c r="M241" s="13"/>
      <c r="N241" s="308" t="s">
        <v>75</v>
      </c>
      <c r="O241" s="309"/>
    </row>
    <row r="242" spans="2:21" x14ac:dyDescent="0.2">
      <c r="B242" s="307"/>
      <c r="C242" s="307"/>
      <c r="D242" s="307"/>
      <c r="E242" s="307"/>
      <c r="J242" s="305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5"/>
      <c r="L242" s="305"/>
      <c r="M242" s="305"/>
      <c r="N242" s="305"/>
      <c r="O242" s="305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512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648</v>
      </c>
      <c r="C252" s="132" t="s">
        <v>651</v>
      </c>
      <c r="D252" s="3" t="s">
        <v>394</v>
      </c>
      <c r="E252" s="3" t="s">
        <v>40</v>
      </c>
      <c r="F252" s="4" t="s">
        <v>35</v>
      </c>
      <c r="G252" s="132" t="s">
        <v>649</v>
      </c>
      <c r="H252" s="132" t="s">
        <v>654</v>
      </c>
    </row>
    <row r="253" spans="2:21" x14ac:dyDescent="0.2">
      <c r="B253" s="13" t="s">
        <v>99</v>
      </c>
      <c r="C253" s="13" t="s">
        <v>99</v>
      </c>
      <c r="D253" s="13" t="s">
        <v>347</v>
      </c>
      <c r="E253" s="13" t="s">
        <v>241</v>
      </c>
      <c r="F253" s="13" t="s">
        <v>241</v>
      </c>
      <c r="G253" s="13" t="s">
        <v>99</v>
      </c>
      <c r="H253" s="13" t="s">
        <v>347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07" t="s">
        <v>516</v>
      </c>
      <c r="C257" s="307"/>
      <c r="D257" s="307"/>
      <c r="E257" s="307"/>
      <c r="J257" s="305" t="s">
        <v>70</v>
      </c>
      <c r="K257" s="305"/>
      <c r="L257" s="305"/>
      <c r="M257" s="305"/>
      <c r="N257" s="305"/>
      <c r="O257" s="305"/>
    </row>
    <row r="258" spans="2:19" ht="18" x14ac:dyDescent="0.25">
      <c r="B258" s="307"/>
      <c r="C258" s="307"/>
      <c r="D258" s="307"/>
      <c r="E258" s="307"/>
      <c r="J258" s="305" t="s">
        <v>518</v>
      </c>
      <c r="K258" s="305"/>
      <c r="L258" s="305"/>
      <c r="M258" s="13"/>
      <c r="N258" s="308" t="s">
        <v>75</v>
      </c>
      <c r="O258" s="309"/>
    </row>
    <row r="259" spans="2:19" x14ac:dyDescent="0.2">
      <c r="B259" s="307"/>
      <c r="C259" s="307"/>
      <c r="D259" s="307"/>
      <c r="E259" s="307"/>
      <c r="J259" s="305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5"/>
      <c r="L259" s="305"/>
      <c r="M259" s="305"/>
      <c r="N259" s="305"/>
      <c r="O259" s="305"/>
    </row>
    <row r="262" spans="2:19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9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9" ht="18" x14ac:dyDescent="0.25">
      <c r="B264" s="61" t="s">
        <v>514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648</v>
      </c>
      <c r="C269" s="132" t="s">
        <v>651</v>
      </c>
      <c r="D269" s="3" t="s">
        <v>394</v>
      </c>
      <c r="E269" s="3" t="s">
        <v>40</v>
      </c>
      <c r="F269" s="4" t="s">
        <v>35</v>
      </c>
      <c r="G269" s="132" t="s">
        <v>649</v>
      </c>
      <c r="H269" s="132" t="s">
        <v>655</v>
      </c>
    </row>
    <row r="270" spans="2:19" x14ac:dyDescent="0.2">
      <c r="B270" s="13" t="s">
        <v>99</v>
      </c>
      <c r="C270" s="13" t="s">
        <v>99</v>
      </c>
      <c r="D270" s="13" t="s">
        <v>347</v>
      </c>
      <c r="E270" s="13" t="s">
        <v>241</v>
      </c>
      <c r="F270" s="13" t="s">
        <v>241</v>
      </c>
      <c r="G270" s="13" t="s">
        <v>99</v>
      </c>
      <c r="H270" s="13" t="s">
        <v>347</v>
      </c>
    </row>
    <row r="271" spans="2:19" ht="16" thickBot="1" x14ac:dyDescent="0.25">
      <c r="B271" s="302">
        <v>1.0401</v>
      </c>
      <c r="C271" s="302">
        <v>0.17280000000000001</v>
      </c>
      <c r="D271" s="302">
        <f>LHV_Oil</f>
        <v>39500</v>
      </c>
      <c r="E271" s="302">
        <f>(MW_H*20)/(MW_Oil)</f>
        <v>0.14371549482137158</v>
      </c>
      <c r="F271" s="302">
        <f>1-E271</f>
        <v>0.85628450517862842</v>
      </c>
      <c r="G271" s="302">
        <f>B271+(0.1728*(E271/F271))</f>
        <v>1.069102086753809</v>
      </c>
      <c r="H271" s="302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07" t="s">
        <v>515</v>
      </c>
      <c r="C273" s="307"/>
      <c r="D273" s="307"/>
      <c r="E273" s="307"/>
      <c r="J273" s="305" t="s">
        <v>70</v>
      </c>
      <c r="K273" s="305"/>
      <c r="L273" s="305"/>
      <c r="M273" s="305"/>
      <c r="N273" s="305"/>
      <c r="O273" s="305"/>
    </row>
    <row r="274" spans="2:15" ht="18" x14ac:dyDescent="0.25">
      <c r="B274" s="307"/>
      <c r="C274" s="307"/>
      <c r="D274" s="307"/>
      <c r="E274" s="307"/>
      <c r="J274" s="305" t="s">
        <v>74</v>
      </c>
      <c r="K274" s="305"/>
      <c r="L274" s="305"/>
      <c r="M274" s="13"/>
      <c r="N274" s="308" t="s">
        <v>75</v>
      </c>
      <c r="O274" s="309"/>
    </row>
    <row r="275" spans="2:15" x14ac:dyDescent="0.2">
      <c r="B275" s="307"/>
      <c r="C275" s="307"/>
      <c r="D275" s="307"/>
      <c r="E275" s="307"/>
      <c r="J275" s="305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5"/>
      <c r="L275" s="305"/>
      <c r="M275" s="305"/>
      <c r="N275" s="305"/>
      <c r="O275" s="305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517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599</v>
      </c>
      <c r="H285" s="3" t="s">
        <v>599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597</v>
      </c>
      <c r="C290" s="3">
        <f>C287/C288</f>
        <v>0.33567230039130802</v>
      </c>
    </row>
    <row r="291" spans="2:7" x14ac:dyDescent="0.2">
      <c r="B291" s="3" t="s">
        <v>598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8">
    <mergeCell ref="A60:A61"/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  <hyperlink ref="A59" r:id="rId4" xr:uid="{C6620225-6BCE-FC43-9B7E-6F33F87D9C91}"/>
  </hyperlinks>
  <pageMargins left="0.7" right="0.7" top="0.75" bottom="0.75" header="0.3" footer="0.3"/>
  <pageSetup paperSize="9" orientation="portrait" horizontalDpi="0" verticalDpi="0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633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623</v>
      </c>
      <c r="E3" s="3" t="s">
        <v>622</v>
      </c>
      <c r="F3" s="294" t="s">
        <v>617</v>
      </c>
      <c r="G3" s="294" t="s">
        <v>625</v>
      </c>
      <c r="H3" s="3" t="s">
        <v>626</v>
      </c>
      <c r="I3" s="294" t="s">
        <v>627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634</v>
      </c>
      <c r="V3" s="3" t="s">
        <v>635</v>
      </c>
    </row>
    <row r="4" spans="2:22" x14ac:dyDescent="0.2">
      <c r="B4" s="3"/>
      <c r="C4" s="171" t="s">
        <v>606</v>
      </c>
      <c r="D4" s="13" t="s">
        <v>624</v>
      </c>
      <c r="E4" s="13" t="s">
        <v>63</v>
      </c>
      <c r="F4" s="13" t="s">
        <v>347</v>
      </c>
      <c r="G4" s="13" t="s">
        <v>624</v>
      </c>
      <c r="H4" s="13" t="s">
        <v>99</v>
      </c>
      <c r="I4" s="13" t="s">
        <v>624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606</v>
      </c>
      <c r="U4" s="13" t="s">
        <v>58</v>
      </c>
      <c r="V4" s="13" t="s">
        <v>58</v>
      </c>
    </row>
    <row r="5" spans="2:22" ht="15" customHeight="1" x14ac:dyDescent="0.2">
      <c r="B5" s="328" t="s">
        <v>600</v>
      </c>
      <c r="C5" s="3" t="s">
        <v>605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605</v>
      </c>
      <c r="U5" s="3">
        <f>K5</f>
        <v>-9.8484726160779719</v>
      </c>
      <c r="V5">
        <f>K15</f>
        <v>880.83108552905367</v>
      </c>
    </row>
    <row r="6" spans="2:22" ht="18" x14ac:dyDescent="0.25">
      <c r="B6" s="328"/>
      <c r="C6" s="3"/>
      <c r="D6" s="3" t="s">
        <v>54</v>
      </c>
      <c r="E6" s="1" t="s">
        <v>610</v>
      </c>
      <c r="F6" s="1" t="s">
        <v>611</v>
      </c>
      <c r="G6" s="1" t="s">
        <v>612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608</v>
      </c>
      <c r="U6" s="3">
        <f>H8</f>
        <v>831.8</v>
      </c>
      <c r="V6" s="3">
        <f>H18</f>
        <v>831.8</v>
      </c>
    </row>
    <row r="7" spans="2:22" ht="16" x14ac:dyDescent="0.2">
      <c r="B7" s="328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607</v>
      </c>
      <c r="U7" s="3">
        <f>Q11</f>
        <v>-293.51452993154498</v>
      </c>
      <c r="V7">
        <f>P21</f>
        <v>-2123.0450060933322</v>
      </c>
    </row>
    <row r="8" spans="2:22" x14ac:dyDescent="0.2">
      <c r="B8" s="328"/>
      <c r="C8" s="3" t="s">
        <v>608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8"/>
      <c r="C9" s="3"/>
      <c r="D9" s="3" t="s">
        <v>40</v>
      </c>
      <c r="E9" s="3" t="s">
        <v>602</v>
      </c>
      <c r="F9" s="3" t="s">
        <v>603</v>
      </c>
      <c r="G9" s="294" t="s">
        <v>614</v>
      </c>
      <c r="H9" s="294" t="s">
        <v>615</v>
      </c>
      <c r="I9" s="3" t="s">
        <v>616</v>
      </c>
      <c r="J9" s="294" t="s">
        <v>617</v>
      </c>
      <c r="K9" s="294" t="s">
        <v>618</v>
      </c>
      <c r="L9" s="294" t="s">
        <v>102</v>
      </c>
      <c r="M9" s="294" t="s">
        <v>619</v>
      </c>
      <c r="N9" s="294" t="s">
        <v>620</v>
      </c>
      <c r="O9" s="3" t="s">
        <v>54</v>
      </c>
      <c r="P9" s="294" t="s">
        <v>621</v>
      </c>
      <c r="Q9" s="294" t="s">
        <v>34</v>
      </c>
    </row>
    <row r="10" spans="2:22" ht="17" x14ac:dyDescent="0.25">
      <c r="B10" s="328"/>
      <c r="C10" s="3"/>
      <c r="D10" s="13" t="s">
        <v>636</v>
      </c>
      <c r="E10" s="13" t="s">
        <v>241</v>
      </c>
      <c r="F10" s="13" t="s">
        <v>241</v>
      </c>
      <c r="G10" s="13" t="s">
        <v>506</v>
      </c>
      <c r="H10" s="13" t="s">
        <v>506</v>
      </c>
      <c r="I10" s="13" t="s">
        <v>241</v>
      </c>
      <c r="J10" s="13" t="s">
        <v>506</v>
      </c>
      <c r="K10" s="13" t="s">
        <v>507</v>
      </c>
      <c r="L10" s="13" t="s">
        <v>507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634</v>
      </c>
      <c r="V10" s="3" t="s">
        <v>635</v>
      </c>
    </row>
    <row r="11" spans="2:22" x14ac:dyDescent="0.2">
      <c r="B11" s="328"/>
      <c r="C11" s="3" t="s">
        <v>607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606</v>
      </c>
      <c r="U11" s="13" t="s">
        <v>58</v>
      </c>
      <c r="V11" s="13" t="s">
        <v>58</v>
      </c>
    </row>
    <row r="12" spans="2:22" x14ac:dyDescent="0.2">
      <c r="S12" s="329" t="s">
        <v>637</v>
      </c>
      <c r="T12" s="13" t="s">
        <v>605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604</v>
      </c>
      <c r="E13" s="240" t="s">
        <v>602</v>
      </c>
      <c r="F13" s="240" t="s">
        <v>603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9"/>
      <c r="T13" s="13" t="s">
        <v>608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609</v>
      </c>
      <c r="H14" s="296" t="s">
        <v>609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9"/>
      <c r="T14" s="13" t="s">
        <v>607</v>
      </c>
      <c r="U14" s="240">
        <v>869.44899999999996</v>
      </c>
      <c r="V14" s="240">
        <v>858.81600000000003</v>
      </c>
    </row>
    <row r="15" spans="2:22" x14ac:dyDescent="0.2">
      <c r="B15" s="328" t="s">
        <v>601</v>
      </c>
      <c r="C15" s="240" t="s">
        <v>605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8"/>
      <c r="C16" s="240"/>
      <c r="D16" s="240" t="s">
        <v>54</v>
      </c>
      <c r="E16" s="297" t="s">
        <v>610</v>
      </c>
      <c r="F16" s="297" t="s">
        <v>611</v>
      </c>
      <c r="G16" s="297" t="s">
        <v>612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8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8"/>
      <c r="C18" s="240" t="s">
        <v>608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8"/>
      <c r="C19" s="240"/>
      <c r="D19" s="240" t="s">
        <v>505</v>
      </c>
      <c r="E19" s="240" t="s">
        <v>505</v>
      </c>
      <c r="F19" s="299" t="s">
        <v>629</v>
      </c>
      <c r="G19" s="299" t="s">
        <v>630</v>
      </c>
      <c r="H19" s="299" t="s">
        <v>617</v>
      </c>
      <c r="I19" s="299" t="s">
        <v>627</v>
      </c>
      <c r="J19" s="299" t="s">
        <v>627</v>
      </c>
      <c r="K19" s="240" t="s">
        <v>40</v>
      </c>
      <c r="L19" s="299" t="s">
        <v>619</v>
      </c>
      <c r="M19" s="299" t="s">
        <v>620</v>
      </c>
      <c r="N19" s="299" t="s">
        <v>631</v>
      </c>
      <c r="O19" s="299" t="s">
        <v>632</v>
      </c>
      <c r="P19" s="299" t="s">
        <v>34</v>
      </c>
    </row>
    <row r="20" spans="2:16" x14ac:dyDescent="0.2">
      <c r="B20" s="328"/>
      <c r="C20" s="240"/>
      <c r="D20" s="296" t="s">
        <v>506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507</v>
      </c>
      <c r="J20" s="296" t="s">
        <v>628</v>
      </c>
      <c r="K20" s="296" t="s">
        <v>613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8"/>
      <c r="C21" s="240" t="s">
        <v>607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577</v>
      </c>
    </row>
    <row r="33" spans="3:3" x14ac:dyDescent="0.2">
      <c r="C33" s="3" t="s">
        <v>578</v>
      </c>
    </row>
    <row r="34" spans="3:3" x14ac:dyDescent="0.2">
      <c r="C34" s="3" t="s">
        <v>562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AY80" zoomScale="65" zoomScaleNormal="120" workbookViewId="0">
      <selection activeCell="CD144" sqref="CD14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4" width="12.6640625" style="3" bestFit="1" customWidth="1"/>
    <col min="25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4" t="s">
        <v>365</v>
      </c>
      <c r="O23" s="354"/>
      <c r="P23" s="354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5"/>
      <c r="O24" s="355"/>
      <c r="P24" s="355"/>
    </row>
    <row r="25" spans="14:63" ht="18" x14ac:dyDescent="0.25">
      <c r="N25" s="100" t="s">
        <v>82</v>
      </c>
      <c r="O25" s="343" t="s">
        <v>345</v>
      </c>
      <c r="P25" s="138" t="s">
        <v>318</v>
      </c>
      <c r="AM25" s="340" t="s">
        <v>441</v>
      </c>
      <c r="AN25" s="340"/>
      <c r="AO25" s="340"/>
      <c r="AP25" s="340"/>
      <c r="AQ25" s="340"/>
      <c r="AR25" s="340"/>
      <c r="AS25" s="340"/>
      <c r="BE25" s="340" t="s">
        <v>445</v>
      </c>
      <c r="BF25" s="340"/>
      <c r="BG25" s="340"/>
      <c r="BH25" s="340"/>
      <c r="BI25" s="340"/>
      <c r="BJ25" s="340"/>
      <c r="BK25" s="340"/>
    </row>
    <row r="26" spans="14:63" ht="16" x14ac:dyDescent="0.2">
      <c r="N26" s="75" t="s">
        <v>48</v>
      </c>
      <c r="O26" s="344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643</v>
      </c>
      <c r="P28" s="136">
        <f>U42/U59</f>
        <v>1.1602561161065021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0.97422228752096129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2" t="s">
        <v>425</v>
      </c>
      <c r="F42" s="342"/>
      <c r="G42" s="342"/>
      <c r="H42" s="342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6" t="s">
        <v>418</v>
      </c>
      <c r="W42" s="356"/>
      <c r="X42" s="356"/>
      <c r="Y42" s="356"/>
      <c r="Z42" s="356"/>
      <c r="AA42" s="4"/>
      <c r="AB42" s="4"/>
      <c r="AC42" s="4"/>
      <c r="AD42" s="4"/>
      <c r="AE42" s="4"/>
      <c r="AF42" s="4"/>
      <c r="AG42" s="97"/>
      <c r="AH42" s="4" t="s">
        <v>556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6" t="s">
        <v>570</v>
      </c>
      <c r="AO42" s="356"/>
      <c r="AP42" s="356"/>
      <c r="AQ42" s="356"/>
      <c r="AR42" s="356"/>
      <c r="AT42" s="4"/>
      <c r="AU42" s="4"/>
      <c r="AV42" s="4"/>
      <c r="AW42" s="4"/>
      <c r="AX42" s="4"/>
      <c r="AY42" s="4"/>
      <c r="AZ42" s="4" t="s">
        <v>555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6" t="s">
        <v>446</v>
      </c>
      <c r="BG42" s="356"/>
      <c r="BH42" s="356"/>
      <c r="BI42" s="356"/>
      <c r="BJ42" s="356"/>
      <c r="BR42" s="3" t="s">
        <v>553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2"/>
      <c r="F43" s="342"/>
      <c r="G43" s="342"/>
      <c r="H43" s="342"/>
      <c r="J43" s="4"/>
      <c r="K43" s="4"/>
      <c r="L43" s="4"/>
      <c r="M43" s="4"/>
      <c r="N43" s="4"/>
      <c r="O43" s="4"/>
      <c r="P43" s="4"/>
      <c r="Q43" s="4"/>
      <c r="R43" s="4"/>
      <c r="V43" s="357"/>
      <c r="W43" s="357"/>
      <c r="X43" s="357"/>
      <c r="Y43" s="357"/>
      <c r="Z43" s="357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6"/>
      <c r="AO43" s="356"/>
      <c r="AP43" s="356"/>
      <c r="AQ43" s="356"/>
      <c r="AR43" s="356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6"/>
      <c r="BG43" s="356"/>
      <c r="BH43" s="356"/>
      <c r="BI43" s="356"/>
      <c r="BJ43" s="356"/>
    </row>
    <row r="44" spans="5:76" ht="19.25" customHeight="1" x14ac:dyDescent="0.25">
      <c r="J44" s="4"/>
      <c r="K44" s="1" t="s">
        <v>563</v>
      </c>
      <c r="L44" s="1" t="s">
        <v>564</v>
      </c>
      <c r="M44" s="1" t="s">
        <v>566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565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61" t="s">
        <v>345</v>
      </c>
      <c r="Z44" s="138" t="s">
        <v>318</v>
      </c>
      <c r="AA44" s="4"/>
      <c r="AB44" s="4"/>
      <c r="AC44" s="1" t="s">
        <v>563</v>
      </c>
      <c r="AD44" s="1" t="s">
        <v>564</v>
      </c>
      <c r="AE44" s="1" t="s">
        <v>566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565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3" t="s">
        <v>345</v>
      </c>
      <c r="AR44" s="138" t="s">
        <v>318</v>
      </c>
      <c r="AS44" s="4"/>
      <c r="AT44" s="4"/>
      <c r="AU44" s="1" t="s">
        <v>563</v>
      </c>
      <c r="AV44" s="1" t="s">
        <v>564</v>
      </c>
      <c r="AW44" s="1" t="s">
        <v>566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565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3" t="s">
        <v>345</v>
      </c>
      <c r="BJ44" s="138" t="s">
        <v>318</v>
      </c>
      <c r="BK44" s="1"/>
      <c r="BL44" s="4"/>
      <c r="BM44" s="1" t="s">
        <v>563</v>
      </c>
      <c r="BN44" s="1" t="s">
        <v>564</v>
      </c>
      <c r="BO44" s="1" t="s">
        <v>566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565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2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4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4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3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2418.6577581793781</v>
      </c>
      <c r="W46" s="101">
        <f>SUM(U42,U59,U72) -AM63-AM42</f>
        <v>91963.568251286255</v>
      </c>
      <c r="X46" s="194">
        <f>ROUND(T42+T59+T72-AL42-AL63, 10)</f>
        <v>0</v>
      </c>
      <c r="Y46" s="191" t="s">
        <v>342</v>
      </c>
      <c r="Z46" s="136">
        <f>(($AF$46*($AL$46-$T$46))/U59)</f>
        <v>0</v>
      </c>
      <c r="AA46" s="333" t="s">
        <v>556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3" t="s">
        <v>555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3" t="s">
        <v>553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3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643</v>
      </c>
      <c r="Z47" s="136">
        <f>($AM$42+AM63)/(U59+U72+$U$42)</f>
        <v>0.54834789034775577</v>
      </c>
      <c r="AA47" s="333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643</v>
      </c>
      <c r="AR47" s="136">
        <f>BE42/(AS28+AM42)</f>
        <v>0.15191900995389168</v>
      </c>
      <c r="AS47" s="333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643</v>
      </c>
      <c r="BJ47" s="136">
        <f>(BW42+BW55)/(BK35+BE42)</f>
        <v>0.9084965360427989</v>
      </c>
      <c r="BK47" s="333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3" t="s">
        <v>558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0.4504526211892465</v>
      </c>
      <c r="AA48" s="333" t="s">
        <v>557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3" t="s">
        <v>554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3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3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3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3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3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3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3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3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3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590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590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590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593</v>
      </c>
      <c r="Y53" s="1" t="s">
        <v>593</v>
      </c>
      <c r="Z53" s="1" t="s">
        <v>593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593</v>
      </c>
      <c r="AQ53" s="1" t="s">
        <v>593</v>
      </c>
      <c r="AR53" s="1" t="s">
        <v>593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593</v>
      </c>
      <c r="BH53" s="1" t="s">
        <v>593</v>
      </c>
      <c r="BI53" s="1" t="s">
        <v>593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592</v>
      </c>
      <c r="Y54" s="3" t="s">
        <v>592</v>
      </c>
      <c r="Z54" s="3" t="s">
        <v>592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592</v>
      </c>
      <c r="AQ54" s="3" t="s">
        <v>592</v>
      </c>
      <c r="AR54" s="3" t="s">
        <v>592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592</v>
      </c>
      <c r="BH54" s="3" t="s">
        <v>592</v>
      </c>
      <c r="BI54" s="3" t="s">
        <v>592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552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563</v>
      </c>
      <c r="BN57" s="1" t="s">
        <v>564</v>
      </c>
      <c r="BO57" s="1" t="s">
        <v>566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565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581</v>
      </c>
      <c r="Q59" s="4"/>
      <c r="R59" s="4"/>
      <c r="S59" s="4"/>
      <c r="T59" s="50">
        <f>L64</f>
        <v>2.0694989883749622</v>
      </c>
      <c r="U59" s="48">
        <f>U64</f>
        <v>94146.207140653787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3" t="s">
        <v>552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3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31" t="s">
        <v>493</v>
      </c>
      <c r="C61" s="331"/>
      <c r="D61" s="331"/>
      <c r="E61" s="331"/>
      <c r="F61" s="331"/>
      <c r="G61" s="331"/>
      <c r="H61" s="331"/>
      <c r="J61" s="4"/>
      <c r="K61" s="3" t="s">
        <v>569</v>
      </c>
      <c r="L61" s="1" t="s">
        <v>563</v>
      </c>
      <c r="M61" s="1" t="s">
        <v>566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565</v>
      </c>
      <c r="U61" s="1" t="s">
        <v>50</v>
      </c>
      <c r="W61" s="4" t="s">
        <v>18</v>
      </c>
      <c r="X61" s="286">
        <f>12*N63</f>
        <v>148.42688499366969</v>
      </c>
      <c r="Y61" s="286">
        <f>AF67</f>
        <v>148.42688499366969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3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2"/>
      <c r="C62" s="332"/>
      <c r="D62" s="332"/>
      <c r="E62" s="332"/>
      <c r="F62" s="332"/>
      <c r="G62" s="332"/>
      <c r="H62" s="332"/>
      <c r="J62" s="4" t="s">
        <v>41</v>
      </c>
      <c r="K62" s="3" t="s">
        <v>568</v>
      </c>
      <c r="L62" s="1" t="s">
        <v>89</v>
      </c>
      <c r="M62" s="1" t="s">
        <v>91</v>
      </c>
      <c r="N62" s="1" t="s">
        <v>87</v>
      </c>
      <c r="O62" s="1" t="s">
        <v>657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284.48486290453354</v>
      </c>
      <c r="Y62" s="286">
        <f>2*AF68</f>
        <v>284.48486290453354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3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581</v>
      </c>
      <c r="J63" s="62" t="s">
        <v>496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b_ch_Diesel</f>
        <v>45492.270191724252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45492.270191724252</v>
      </c>
      <c r="T63" s="17">
        <f>P63*S63</f>
        <v>45492.270191724252</v>
      </c>
      <c r="U63" s="17">
        <f>T63*L63</f>
        <v>94146.207140653787</v>
      </c>
      <c r="W63" s="4" t="s">
        <v>29</v>
      </c>
      <c r="X63" s="286">
        <f>(3*N46)+(2*N47)+N48+(3*N49)+(2*N76)</f>
        <v>21257.820618485999</v>
      </c>
      <c r="Y63" s="286">
        <f>(3*AF46)+(2*AF47)+AF48+(3*AF49)+(2*AF67)+AF68</f>
        <v>21257.820618485996</v>
      </c>
      <c r="Z63" s="3">
        <f t="shared" si="28"/>
        <v>0</v>
      </c>
      <c r="AA63" s="1"/>
      <c r="AB63" s="1"/>
      <c r="AC63" s="1"/>
      <c r="AF63" s="4"/>
      <c r="AG63" s="4"/>
      <c r="AH63" s="3" t="s">
        <v>521</v>
      </c>
      <c r="AL63" s="50">
        <f>AC70</f>
        <v>32.219926549044033</v>
      </c>
      <c r="AM63" s="48">
        <f>AM70</f>
        <v>2418.6577581793781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/>
      <c r="P64" s="17"/>
      <c r="Q64" s="17"/>
      <c r="R64" s="17"/>
      <c r="S64" s="17"/>
      <c r="T64" s="17">
        <f>SUM(T63)</f>
        <v>45492.270191724252</v>
      </c>
      <c r="U64" s="17">
        <f>SUM(U63)</f>
        <v>94146.207140653787</v>
      </c>
      <c r="W64" s="4" t="s">
        <v>364</v>
      </c>
      <c r="X64" s="286">
        <f>2*N77</f>
        <v>1651.0017174129191</v>
      </c>
      <c r="Y64" s="286">
        <f>2*AF69</f>
        <v>1651.0017174129191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563</v>
      </c>
      <c r="AD65" s="1" t="s">
        <v>564</v>
      </c>
      <c r="AE65" s="1" t="s">
        <v>566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565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3" t="s">
        <v>521</v>
      </c>
      <c r="AB67" s="3" t="s">
        <v>23</v>
      </c>
      <c r="AC67" s="1">
        <f>AE67*AF67</f>
        <v>6.5322375231944045</v>
      </c>
      <c r="AD67" s="8">
        <f>AC67/AC70</f>
        <v>0.20273905693891833</v>
      </c>
      <c r="AE67" s="1">
        <f>MW_CO2</f>
        <v>4.4009800000000002E-2</v>
      </c>
      <c r="AF67" s="1">
        <f>CO2_molcoeff*N63</f>
        <v>148.42688499366969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2273.6282039867092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3"/>
      <c r="AB68" s="3" t="s">
        <v>68</v>
      </c>
      <c r="AC68" s="1">
        <f t="shared" ref="AC68:AC69" si="39">AE68*AF68</f>
        <v>2.5625372304933927</v>
      </c>
      <c r="AD68" s="1">
        <f>AC68/AC70</f>
        <v>7.9532683806488175E-2</v>
      </c>
      <c r="AE68" s="6">
        <f>MW_H2O</f>
        <v>1.8015280000000002E-2</v>
      </c>
      <c r="AF68" s="1">
        <f>H2O_molcoeff*N63</f>
        <v>142.24243145226677</v>
      </c>
      <c r="AG68" s="6">
        <f>b_ch_H2O</f>
        <v>9.5113440000000082</v>
      </c>
      <c r="AH68" s="1">
        <f>AF68/AF70</f>
        <v>0.12743794326241134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0.61589000281072381</v>
      </c>
      <c r="AM68" s="1">
        <f>AF70*AL68</f>
        <v>687.43805231185524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3"/>
      <c r="AB69" s="7" t="s">
        <v>67</v>
      </c>
      <c r="AC69" s="1">
        <f t="shared" si="39"/>
        <v>23.125151795356231</v>
      </c>
      <c r="AD69" s="1">
        <f>AC69/AC70</f>
        <v>0.71772825925459338</v>
      </c>
      <c r="AE69" s="6">
        <f>MW_N2</f>
        <v>2.801348E-2</v>
      </c>
      <c r="AF69" s="1">
        <f>N77</f>
        <v>825.50085870645955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-542.40849811918633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3"/>
      <c r="AB70" s="17" t="s">
        <v>19</v>
      </c>
      <c r="AC70" s="8">
        <f>SUM(AC67:AC69)</f>
        <v>32.219926549044033</v>
      </c>
      <c r="AD70" s="8">
        <f>SUM(AD67:AD69)</f>
        <v>0.99999999999999989</v>
      </c>
      <c r="AE70" s="8">
        <f>SUM(AE67:AE69)</f>
        <v>9.0038560000000004E-2</v>
      </c>
      <c r="AF70" s="8">
        <f>SUM(AF67:AF69)</f>
        <v>1116.170175152396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2418.6577581793781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532</v>
      </c>
      <c r="T72" s="50">
        <f>K78</f>
        <v>30.150427560669065</v>
      </c>
      <c r="U72" s="48">
        <f>U78</f>
        <v>236.0188688118763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31" t="s">
        <v>526</v>
      </c>
      <c r="F74" s="331"/>
      <c r="G74" s="331"/>
      <c r="H74" s="331"/>
      <c r="K74" s="1" t="s">
        <v>563</v>
      </c>
      <c r="L74" s="1" t="s">
        <v>564</v>
      </c>
      <c r="M74" s="1" t="s">
        <v>566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565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31"/>
      <c r="F75" s="331"/>
      <c r="G75" s="331"/>
      <c r="H75" s="331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3" t="s">
        <v>532</v>
      </c>
      <c r="J76" s="1" t="s">
        <v>304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100.27327251504856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3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135.74559629682773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T78" s="3">
        <f>SUM(T76:T77)</f>
        <v>0.22584479577057509</v>
      </c>
      <c r="U78" s="3">
        <f>SUM(U76:U77)</f>
        <v>236.0188688118763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523</v>
      </c>
      <c r="EC101" s="4"/>
      <c r="ED101" s="4"/>
      <c r="EE101" s="4"/>
      <c r="EF101" s="50">
        <f>DX106</f>
        <v>4.8979947555174279</v>
      </c>
      <c r="EG101" s="48">
        <f>EG106</f>
        <v>206840.02835429934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31" t="s">
        <v>522</v>
      </c>
      <c r="DP103" s="331"/>
      <c r="DQ103" s="331"/>
      <c r="DR103" s="331"/>
      <c r="DS103" s="331"/>
      <c r="DT103" s="331"/>
      <c r="DV103" s="4"/>
      <c r="DW103" s="3" t="s">
        <v>569</v>
      </c>
      <c r="DX103" s="1" t="s">
        <v>563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565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2"/>
      <c r="DP104" s="332"/>
      <c r="DQ104" s="332"/>
      <c r="DR104" s="332"/>
      <c r="DS104" s="332"/>
      <c r="DT104" s="332"/>
      <c r="DV104" s="4" t="s">
        <v>41</v>
      </c>
      <c r="DW104" s="3" t="s">
        <v>568</v>
      </c>
      <c r="DX104" s="1" t="s">
        <v>89</v>
      </c>
      <c r="DY104" s="1" t="s">
        <v>91</v>
      </c>
      <c r="DZ104" s="1" t="s">
        <v>87</v>
      </c>
      <c r="EA104" s="1" t="s">
        <v>347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347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572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523</v>
      </c>
      <c r="DV105" s="96" t="s">
        <v>514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b_ch_fueloil</f>
        <v>42229.532426775455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42229.532426775455</v>
      </c>
      <c r="EF105" s="17">
        <f>EB105*EE105</f>
        <v>42229.532426775455</v>
      </c>
      <c r="EG105" s="17">
        <f>EF105*DX105</f>
        <v>206840.02835429934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42229.532426775455</v>
      </c>
      <c r="EG106" s="17">
        <f>SUM(EG105)</f>
        <v>206840.02835429934</v>
      </c>
      <c r="EU106" s="1"/>
      <c r="EV106" s="1" t="s">
        <v>1</v>
      </c>
      <c r="EW106" s="1" t="s">
        <v>564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565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562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567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572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8" t="s">
        <v>441</v>
      </c>
      <c r="AN110" s="351"/>
      <c r="AO110" s="351"/>
      <c r="AP110" s="351"/>
      <c r="AQ110" s="351"/>
      <c r="AR110" s="351"/>
      <c r="AS110" s="351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51" t="s">
        <v>445</v>
      </c>
      <c r="BE110" s="351"/>
      <c r="BF110" s="351"/>
      <c r="BG110" s="351"/>
      <c r="BH110" s="351"/>
      <c r="BI110" s="351"/>
      <c r="BJ110" s="351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9" t="s">
        <v>365</v>
      </c>
      <c r="O111" s="359"/>
      <c r="P111" s="359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60"/>
      <c r="O112" s="360"/>
      <c r="P112" s="360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3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4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539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51" t="s">
        <v>447</v>
      </c>
      <c r="EK114" s="351"/>
      <c r="EL114" s="351"/>
      <c r="EM114" s="351"/>
      <c r="EN114" s="351"/>
      <c r="EO114" s="351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643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563</v>
      </c>
      <c r="CI116" s="1" t="s">
        <v>564</v>
      </c>
      <c r="CJ116" s="1" t="s">
        <v>566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565</v>
      </c>
      <c r="CR116" s="1" t="s">
        <v>50</v>
      </c>
      <c r="CS116" s="6"/>
      <c r="CT116" s="4"/>
      <c r="CW116" s="4"/>
      <c r="CX116" s="4"/>
      <c r="DO116" s="331" t="s">
        <v>480</v>
      </c>
      <c r="DP116" s="331"/>
      <c r="DQ116" s="331"/>
      <c r="DR116" s="331"/>
      <c r="DS116" s="331"/>
      <c r="DT116" s="331"/>
      <c r="DV116" s="4"/>
      <c r="DW116" s="3" t="s">
        <v>569</v>
      </c>
      <c r="DX116" s="1" t="s">
        <v>563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565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2"/>
      <c r="DP117" s="332"/>
      <c r="DQ117" s="332"/>
      <c r="DR117" s="332"/>
      <c r="DS117" s="332"/>
      <c r="DT117" s="332"/>
      <c r="DV117" s="4" t="s">
        <v>41</v>
      </c>
      <c r="DW117" s="3" t="s">
        <v>568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539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537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2" t="s">
        <v>525</v>
      </c>
      <c r="F126" s="342"/>
      <c r="G126" s="342"/>
      <c r="H126" s="342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2" t="s">
        <v>419</v>
      </c>
      <c r="W126" s="352"/>
      <c r="X126" s="352"/>
      <c r="Y126" s="352"/>
      <c r="Z126" s="352"/>
      <c r="AA126" s="6"/>
      <c r="AB126" s="6"/>
      <c r="AC126" s="6"/>
      <c r="AD126" s="121"/>
      <c r="AE126" s="6"/>
      <c r="AF126" s="6"/>
      <c r="AG126" s="6"/>
      <c r="AH126" s="6"/>
      <c r="AI126" s="6" t="s">
        <v>524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2" t="s">
        <v>549</v>
      </c>
      <c r="AP126" s="352"/>
      <c r="AQ126" s="352"/>
      <c r="AR126" s="352"/>
      <c r="AS126" s="352"/>
      <c r="AT126" s="6"/>
      <c r="AU126" s="6"/>
      <c r="AV126" s="121"/>
      <c r="AW126" s="6"/>
      <c r="AX126" s="6"/>
      <c r="AY126" s="6"/>
      <c r="AZ126" s="6"/>
      <c r="BA126" s="6" t="s">
        <v>550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2" t="s">
        <v>443</v>
      </c>
      <c r="BH126" s="352"/>
      <c r="BI126" s="352"/>
      <c r="BJ126" s="352"/>
      <c r="BK126" s="352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2" t="s">
        <v>444</v>
      </c>
      <c r="BZ126" s="352"/>
      <c r="CA126" s="352"/>
      <c r="CB126" s="352"/>
      <c r="CC126" s="352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3" t="s">
        <v>81</v>
      </c>
      <c r="DO126" s="363"/>
      <c r="DP126" s="363"/>
      <c r="DQ126" s="363"/>
      <c r="DR126" s="363"/>
      <c r="DS126" s="363"/>
      <c r="DT126" s="363"/>
      <c r="EA126" s="3" t="s">
        <v>559</v>
      </c>
      <c r="EF126" s="173">
        <f>DW134</f>
        <v>1309.8157778632656</v>
      </c>
      <c r="EG126" s="174">
        <f>EG134</f>
        <v>7072531.8830895294</v>
      </c>
      <c r="EH126" s="330" t="s">
        <v>430</v>
      </c>
      <c r="EI126" s="330"/>
      <c r="EJ126" s="330"/>
      <c r="EK126" s="330"/>
      <c r="EL126" s="330"/>
      <c r="EM126" s="330"/>
      <c r="EN126" s="330"/>
      <c r="ES126" s="1"/>
      <c r="ET126" s="1"/>
      <c r="EU126" s="1"/>
      <c r="EV126" s="1"/>
      <c r="EW126" s="1"/>
      <c r="EX126" s="1"/>
      <c r="EY126" s="3" t="s">
        <v>560</v>
      </c>
      <c r="FE126" s="50">
        <f>EV131</f>
        <v>616.23583583508366</v>
      </c>
      <c r="FF126" s="48">
        <f>FF131</f>
        <v>4157895.2984628798</v>
      </c>
      <c r="FG126" s="330" t="s">
        <v>424</v>
      </c>
      <c r="FH126" s="330"/>
      <c r="FI126" s="330"/>
      <c r="FJ126" s="330"/>
      <c r="FK126" s="330"/>
      <c r="FL126" s="330"/>
      <c r="FM126" s="330"/>
    </row>
    <row r="127" spans="5:169" ht="16.25" customHeight="1" thickBot="1" x14ac:dyDescent="0.25">
      <c r="E127" s="342"/>
      <c r="F127" s="342"/>
      <c r="G127" s="342"/>
      <c r="H127" s="34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3"/>
      <c r="W127" s="353"/>
      <c r="X127" s="353"/>
      <c r="Y127" s="353"/>
      <c r="Z127" s="35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2"/>
      <c r="AP127" s="352"/>
      <c r="AQ127" s="352"/>
      <c r="AR127" s="352"/>
      <c r="AS127" s="352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2"/>
      <c r="BH127" s="352"/>
      <c r="BI127" s="352"/>
      <c r="BJ127" s="352"/>
      <c r="BK127" s="352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2"/>
      <c r="BZ127" s="352"/>
      <c r="CA127" s="352"/>
      <c r="CB127" s="352"/>
      <c r="CC127" s="352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3"/>
      <c r="DO127" s="363"/>
      <c r="DP127" s="363"/>
      <c r="DQ127" s="363"/>
      <c r="DR127" s="363"/>
      <c r="DS127" s="363"/>
      <c r="DT127" s="363"/>
      <c r="EH127" s="330"/>
      <c r="EI127" s="330"/>
      <c r="EJ127" s="330"/>
      <c r="EK127" s="330"/>
      <c r="EL127" s="330"/>
      <c r="EM127" s="330"/>
      <c r="EN127" s="330"/>
      <c r="ES127" s="1"/>
      <c r="ET127" s="1"/>
      <c r="EU127" s="1"/>
      <c r="EV127" s="1"/>
      <c r="EW127" s="1"/>
      <c r="EX127" s="1"/>
      <c r="EY127" s="1"/>
      <c r="EZ127" s="1"/>
      <c r="FG127" s="330"/>
      <c r="FH127" s="330"/>
      <c r="FI127" s="330"/>
      <c r="FJ127" s="330"/>
      <c r="FK127" s="330"/>
      <c r="FL127" s="330"/>
      <c r="FM127" s="330"/>
    </row>
    <row r="128" spans="5:169" ht="19.75" customHeight="1" thickBot="1" x14ac:dyDescent="0.3">
      <c r="J128" s="4"/>
      <c r="K128" s="1" t="s">
        <v>563</v>
      </c>
      <c r="L128" s="1" t="s">
        <v>564</v>
      </c>
      <c r="M128" s="1" t="s">
        <v>566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565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3" t="s">
        <v>345</v>
      </c>
      <c r="Z128" s="138" t="s">
        <v>318</v>
      </c>
      <c r="AA128" s="1"/>
      <c r="AB128" s="6"/>
      <c r="AC128" s="4"/>
      <c r="AD128" s="1" t="s">
        <v>563</v>
      </c>
      <c r="AE128" s="1" t="s">
        <v>564</v>
      </c>
      <c r="AF128" s="1" t="s">
        <v>566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565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3" t="s">
        <v>345</v>
      </c>
      <c r="AS128" s="138" t="s">
        <v>318</v>
      </c>
      <c r="AT128" s="1"/>
      <c r="AU128" s="4"/>
      <c r="AV128" s="1" t="s">
        <v>563</v>
      </c>
      <c r="AW128" s="1" t="s">
        <v>564</v>
      </c>
      <c r="AX128" s="1" t="s">
        <v>566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565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3" t="s">
        <v>345</v>
      </c>
      <c r="BK128" s="138" t="s">
        <v>318</v>
      </c>
      <c r="BL128" s="1"/>
      <c r="BM128" s="4"/>
      <c r="BN128" s="1" t="s">
        <v>563</v>
      </c>
      <c r="BO128" s="1" t="s">
        <v>564</v>
      </c>
      <c r="BP128" s="1" t="s">
        <v>566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565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3" t="s">
        <v>345</v>
      </c>
      <c r="CC128" s="138" t="s">
        <v>318</v>
      </c>
      <c r="CD128" s="113"/>
      <c r="CE128" s="113"/>
      <c r="CF128" s="113"/>
      <c r="CG128" s="4"/>
      <c r="CH128" s="1" t="s">
        <v>563</v>
      </c>
      <c r="CI128" s="1" t="s">
        <v>564</v>
      </c>
      <c r="CJ128" s="1" t="s">
        <v>566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565</v>
      </c>
      <c r="CR128" s="1" t="s">
        <v>50</v>
      </c>
      <c r="DN128" s="363"/>
      <c r="DO128" s="363"/>
      <c r="DP128" s="363"/>
      <c r="DQ128" s="363"/>
      <c r="DR128" s="363"/>
      <c r="DS128" s="363"/>
      <c r="DT128" s="363"/>
      <c r="DV128" s="4"/>
      <c r="DW128" s="1" t="s">
        <v>563</v>
      </c>
      <c r="DX128" s="1" t="s">
        <v>564</v>
      </c>
      <c r="DY128" s="1" t="s">
        <v>566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565</v>
      </c>
      <c r="EG128" s="1" t="s">
        <v>50</v>
      </c>
      <c r="EH128" s="330"/>
      <c r="EI128" s="330"/>
      <c r="EJ128" s="330"/>
      <c r="EK128" s="330"/>
      <c r="EL128" s="330"/>
      <c r="EM128" s="330"/>
      <c r="EN128" s="330"/>
      <c r="ET128" s="1"/>
      <c r="EU128" s="1"/>
      <c r="EV128" s="1" t="s">
        <v>563</v>
      </c>
      <c r="EW128" s="1" t="s">
        <v>564</v>
      </c>
      <c r="EX128" s="1" t="s">
        <v>566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565</v>
      </c>
      <c r="FF128" s="1" t="s">
        <v>50</v>
      </c>
      <c r="FG128" s="330"/>
      <c r="FH128" s="330"/>
      <c r="FI128" s="330"/>
      <c r="FJ128" s="330"/>
      <c r="FK128" s="330"/>
      <c r="FL128" s="330"/>
      <c r="FM128" s="330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4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4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4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4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64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567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34" t="s">
        <v>345</v>
      </c>
      <c r="EM129" s="102" t="s">
        <v>318</v>
      </c>
      <c r="EU129" s="2" t="s">
        <v>41</v>
      </c>
      <c r="EV129" s="1" t="s">
        <v>89</v>
      </c>
      <c r="EW129" s="1" t="s">
        <v>567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6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7.2399197950896488</v>
      </c>
      <c r="W130" s="124">
        <f>SUM(U126,U140,U163,U151)-$AN$126-AN142</f>
        <v>275.53791724939703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6" t="s">
        <v>524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36" t="s">
        <v>550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6" t="s">
        <v>536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537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5"/>
      <c r="DS130" s="136" t="s">
        <v>83</v>
      </c>
      <c r="DT130" s="4"/>
      <c r="DU130" s="336" t="s">
        <v>559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5"/>
      <c r="EM130" s="136" t="s">
        <v>83</v>
      </c>
      <c r="ET130" s="222" t="s">
        <v>560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6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643</v>
      </c>
      <c r="Z131" s="136">
        <f>($AN$126+AN142)/(SUM(U126,U140,U163,U151))</f>
        <v>0.98926908455007689</v>
      </c>
      <c r="AA131" s="4"/>
      <c r="AB131" s="336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643</v>
      </c>
      <c r="AS131" s="136">
        <f>BF126/(AS113+AN126)</f>
        <v>0.89989464623142024</v>
      </c>
      <c r="AT131" s="336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643</v>
      </c>
      <c r="BK131" s="136">
        <f>BX126/(BJ113+BF126)</f>
        <v>0.99885105550639652</v>
      </c>
      <c r="BL131" s="336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643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6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9127210.110772185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0.85722484529662279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643</v>
      </c>
      <c r="DS132" s="103">
        <f>EG126/(CR126+CP206+BW42)</f>
        <v>0.99300939590335358</v>
      </c>
      <c r="DT132" s="4"/>
      <c r="DU132" s="336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643</v>
      </c>
      <c r="EM132" s="103">
        <f>SUM(FF104,FF126,FF141)/SUM(EO117,EG101,EG114,EG126,EG140,EG152)</f>
        <v>0.33030596672893314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6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0.2948122246878026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590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590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590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593</v>
      </c>
      <c r="AQ135" s="1" t="s">
        <v>593</v>
      </c>
      <c r="AR135" s="1" t="s">
        <v>593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593</v>
      </c>
      <c r="BI135" s="1" t="s">
        <v>593</v>
      </c>
      <c r="BJ135" s="1" t="s">
        <v>593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593</v>
      </c>
      <c r="Y136" s="1" t="s">
        <v>593</v>
      </c>
      <c r="Z136" s="1" t="s">
        <v>593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592</v>
      </c>
      <c r="AQ136" s="3" t="s">
        <v>592</v>
      </c>
      <c r="AR136" s="3" t="s">
        <v>592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592</v>
      </c>
      <c r="BI136" s="3" t="s">
        <v>592</v>
      </c>
      <c r="BJ136" s="3" t="s">
        <v>592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590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31" t="s">
        <v>493</v>
      </c>
      <c r="C137" s="331"/>
      <c r="D137" s="331"/>
      <c r="E137" s="331"/>
      <c r="F137" s="331"/>
      <c r="G137" s="331"/>
      <c r="H137" s="331"/>
      <c r="S137" s="4"/>
      <c r="T137" s="4"/>
      <c r="U137" s="4"/>
      <c r="V137" s="4"/>
      <c r="W137" s="4" t="s">
        <v>60</v>
      </c>
      <c r="X137" s="3" t="s">
        <v>592</v>
      </c>
      <c r="Y137" s="3" t="s">
        <v>592</v>
      </c>
      <c r="Z137" s="3" t="s">
        <v>592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593</v>
      </c>
      <c r="CB137" s="1" t="s">
        <v>593</v>
      </c>
      <c r="CC137" s="1" t="s">
        <v>593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590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2"/>
      <c r="C138" s="332"/>
      <c r="D138" s="332"/>
      <c r="E138" s="332"/>
      <c r="F138" s="332"/>
      <c r="G138" s="332"/>
      <c r="H138" s="33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592</v>
      </c>
      <c r="CB138" s="3" t="s">
        <v>592</v>
      </c>
      <c r="CC138" s="3" t="s">
        <v>592</v>
      </c>
      <c r="CD138" s="1"/>
      <c r="CE138" s="1"/>
      <c r="CF138" s="1"/>
      <c r="CG138" s="1"/>
      <c r="CH138" s="1"/>
      <c r="CK138" s="4"/>
      <c r="CL138" s="4"/>
      <c r="CM138" s="3" t="s">
        <v>538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593</v>
      </c>
      <c r="EL138" s="1" t="s">
        <v>593</v>
      </c>
      <c r="EM138" s="1" t="s">
        <v>593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2103.6726491469517</v>
      </c>
      <c r="Y139" s="83">
        <f>AG130+AG131+AG146</f>
        <v>2103.6726491469517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592</v>
      </c>
      <c r="EL139" s="3" t="s">
        <v>592</v>
      </c>
      <c r="EM139" s="3" t="s">
        <v>592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581</v>
      </c>
      <c r="Q140" s="4"/>
      <c r="R140" s="4"/>
      <c r="S140" s="4"/>
      <c r="T140" s="50">
        <f>L145</f>
        <v>5.671161105764883E-3</v>
      </c>
      <c r="U140" s="48">
        <f>U145</f>
        <v>257.99399332425372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532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563</v>
      </c>
      <c r="CI140" s="1" t="s">
        <v>564</v>
      </c>
      <c r="CJ140" s="1" t="s">
        <v>566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565</v>
      </c>
      <c r="CR140" s="1" t="s">
        <v>50</v>
      </c>
      <c r="DW140" s="178"/>
      <c r="DX140" s="178"/>
      <c r="DY140" s="167"/>
      <c r="DZ140" s="167"/>
      <c r="EA140" s="167"/>
      <c r="EB140" s="167" t="s">
        <v>532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6311.0055270044713</v>
      </c>
      <c r="Y141" s="83">
        <f>(3*(AG130+AG131))+(2*AG146)+AG147</f>
        <v>6311.0055270044704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561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569</v>
      </c>
      <c r="L142" s="1" t="s">
        <v>563</v>
      </c>
      <c r="M142" s="1" t="s">
        <v>566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565</v>
      </c>
      <c r="U142" s="1" t="s">
        <v>50</v>
      </c>
      <c r="V142" s="4"/>
      <c r="W142" s="4" t="s">
        <v>183</v>
      </c>
      <c r="X142" s="286">
        <f>(23*N144)+(18*N155)</f>
        <v>0.86107827692526073</v>
      </c>
      <c r="Y142" s="286">
        <f>2*AG147</f>
        <v>0.86107827692526073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551</v>
      </c>
      <c r="AM142" s="50">
        <f>AD149</f>
        <v>9.658257192857822E-2</v>
      </c>
      <c r="AN142" s="48">
        <f>AN149</f>
        <v>7.2399197950896488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31" t="s">
        <v>526</v>
      </c>
      <c r="BI142" s="331"/>
      <c r="BJ142" s="331"/>
      <c r="BK142" s="331"/>
      <c r="BM142" s="4"/>
      <c r="BN142" s="1" t="s">
        <v>563</v>
      </c>
      <c r="BO142" s="1" t="s">
        <v>564</v>
      </c>
      <c r="BP142" s="1" t="s">
        <v>566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565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3" t="s">
        <v>538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31" t="s">
        <v>526</v>
      </c>
      <c r="DR142" s="331"/>
      <c r="DS142" s="331"/>
      <c r="DT142" s="331"/>
      <c r="DV142" s="4"/>
      <c r="DW142" s="1" t="s">
        <v>563</v>
      </c>
      <c r="DX142" s="1" t="s">
        <v>564</v>
      </c>
      <c r="DY142" s="1" t="s">
        <v>566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565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568</v>
      </c>
      <c r="L143" s="1" t="s">
        <v>89</v>
      </c>
      <c r="M143" s="1" t="s">
        <v>91</v>
      </c>
      <c r="N143" s="1" t="s">
        <v>87</v>
      </c>
      <c r="O143" s="1" t="s">
        <v>656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4.9498831634702833</v>
      </c>
      <c r="Y143" s="286">
        <f>2*AG148</f>
        <v>4.9498831634702833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31"/>
      <c r="BI143" s="331"/>
      <c r="BJ143" s="331"/>
      <c r="BK143" s="331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3"/>
      <c r="CG143" s="3" t="s">
        <v>596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31"/>
      <c r="DR143" s="331"/>
      <c r="DS143" s="331"/>
      <c r="DT143" s="331"/>
      <c r="DV143" s="94" t="s">
        <v>41</v>
      </c>
      <c r="DW143" s="186" t="s">
        <v>89</v>
      </c>
      <c r="DX143" s="1" t="s">
        <v>567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563</v>
      </c>
      <c r="EW143" s="1" t="s">
        <v>564</v>
      </c>
      <c r="EX143" s="1" t="s">
        <v>566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565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581</v>
      </c>
      <c r="J144" s="62" t="s">
        <v>496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b_ch_Diesel</f>
        <v>45492.270191724252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45492.270191724252</v>
      </c>
      <c r="T144" s="17">
        <f>P144*S144</f>
        <v>45492.270191724252</v>
      </c>
      <c r="U144" s="17">
        <f>T144*L144</f>
        <v>257.99399332425372</v>
      </c>
      <c r="V144" s="4"/>
      <c r="W144" s="4"/>
      <c r="X144" s="4"/>
      <c r="Y144" s="4"/>
      <c r="Z144" s="4"/>
      <c r="AA144" s="4"/>
      <c r="AC144" s="4"/>
      <c r="AD144" s="1" t="s">
        <v>563</v>
      </c>
      <c r="AE144" s="1" t="s">
        <v>564</v>
      </c>
      <c r="AF144" s="1" t="s">
        <v>566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565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3" t="s">
        <v>532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3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3" t="s">
        <v>532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567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/>
      <c r="P145" s="17"/>
      <c r="Q145" s="17"/>
      <c r="R145" s="17"/>
      <c r="S145" s="17"/>
      <c r="T145" s="17">
        <f>SUM(T144)</f>
        <v>45492.270191724252</v>
      </c>
      <c r="U145" s="17">
        <f>SUM(U144)</f>
        <v>257.99399332425372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3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3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3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3" t="s">
        <v>561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3" t="s">
        <v>504</v>
      </c>
      <c r="AC146" s="17" t="s">
        <v>23</v>
      </c>
      <c r="AD146" s="8">
        <f>AF146*AG146</f>
        <v>1.949456229710942E-2</v>
      </c>
      <c r="AE146" s="8">
        <f>AD146/AD149</f>
        <v>0.20184347867154998</v>
      </c>
      <c r="AF146" s="1">
        <f>MW_CO2</f>
        <v>4.4009800000000002E-2</v>
      </c>
      <c r="AG146" s="1">
        <f>(CO2_molcoeff*N144) + (CO2_Gasoline_molcoeff*N155)</f>
        <v>0.4429595748471799</v>
      </c>
      <c r="AH146" s="1">
        <f>b_ch_CO2</f>
        <v>19.900000000000034</v>
      </c>
      <c r="AI146" s="1">
        <f>AG146/AG149</f>
        <v>0.13228833003314258</v>
      </c>
      <c r="AJ146" s="1">
        <f>LN(AI146)</f>
        <v>-2.0227714201180831</v>
      </c>
      <c r="AK146" s="1">
        <f>RT0*AJ146</f>
        <v>-4.5936513914512851</v>
      </c>
      <c r="AL146" s="1">
        <f>AH146+AK146</f>
        <v>15.306348608548749</v>
      </c>
      <c r="AM146" s="1">
        <f>AL146*AI146</f>
        <v>2.0248512963300298</v>
      </c>
      <c r="AN146" s="8">
        <f>AG149*AM146</f>
        <v>6.7800936721054788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3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3"/>
      <c r="AC147" s="3" t="s">
        <v>68</v>
      </c>
      <c r="AD147" s="1">
        <f t="shared" ref="AD147:AD148" si="64">AF147*AG147</f>
        <v>7.7562831303630564E-3</v>
      </c>
      <c r="AE147" s="1">
        <f>AD147/AD149</f>
        <v>8.0307274650945767E-2</v>
      </c>
      <c r="AF147" s="6">
        <f>MW_H2O</f>
        <v>1.8015280000000002E-2</v>
      </c>
      <c r="AG147" s="1">
        <f>(H2O_molcoeff*N144)+(H2O_Gasoline_molcoeff*N155)</f>
        <v>0.43053913846263037</v>
      </c>
      <c r="AH147" s="6">
        <f>b_ch_H2O</f>
        <v>9.5113440000000082</v>
      </c>
      <c r="AI147" s="1">
        <f>AG147/AG149</f>
        <v>0.12857901008411154</v>
      </c>
      <c r="AJ147" s="1">
        <f t="shared" ref="AJ147:AJ148" si="65">LN(AI147)</f>
        <v>-2.0512116991307763</v>
      </c>
      <c r="AK147" s="1">
        <f>RT0*AJ147</f>
        <v>-4.6582383862844896</v>
      </c>
      <c r="AL147" s="1">
        <f t="shared" ref="AL147:AL148" si="66">AH147+AK147</f>
        <v>4.8531056137155186</v>
      </c>
      <c r="AM147" s="1">
        <f>AL147*AI147</f>
        <v>0.62400751564518597</v>
      </c>
      <c r="AN147" s="1">
        <f>AG149*AM147</f>
        <v>2.0894519097972339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3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3"/>
      <c r="AC148" s="7" t="s">
        <v>67</v>
      </c>
      <c r="AD148" s="1">
        <f t="shared" si="64"/>
        <v>6.933172650110575E-2</v>
      </c>
      <c r="AE148" s="1">
        <f>AD148/AD149</f>
        <v>0.71784924667750427</v>
      </c>
      <c r="AF148" s="6">
        <f>MW_N2</f>
        <v>2.801348E-2</v>
      </c>
      <c r="AG148" s="1">
        <f>N168</f>
        <v>2.4749415817351417</v>
      </c>
      <c r="AH148" s="6">
        <f>MW_N2</f>
        <v>2.801348E-2</v>
      </c>
      <c r="AI148" s="1">
        <f>AG148/AG149</f>
        <v>0.73913265988274579</v>
      </c>
      <c r="AJ148" s="1">
        <f t="shared" si="65"/>
        <v>-0.30227786144786772</v>
      </c>
      <c r="AK148" s="1">
        <f>RT0*AJ148</f>
        <v>-0.68646368296218885</v>
      </c>
      <c r="AL148" s="1">
        <f t="shared" si="66"/>
        <v>-0.65845020296218881</v>
      </c>
      <c r="AM148" s="1">
        <f t="shared" ref="AM148" si="67">AL148*AI148</f>
        <v>-0.48668204991577646</v>
      </c>
      <c r="AN148" s="1">
        <f>AG149*AM148</f>
        <v>-1.6296257868130646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3"/>
      <c r="AC149" s="17" t="s">
        <v>19</v>
      </c>
      <c r="AD149" s="8">
        <f>SUM(AD146:AD148)</f>
        <v>9.658257192857822E-2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3.3484402950449521</v>
      </c>
      <c r="AH149" s="62"/>
      <c r="AI149" s="8">
        <f>SUM(AI146:AI148)</f>
        <v>0.99999999999999989</v>
      </c>
      <c r="AJ149" s="17"/>
      <c r="AK149" s="17"/>
      <c r="AL149" s="17"/>
      <c r="AM149" s="8">
        <f>SUM(AM146:AM148)</f>
        <v>2.1621767620594392</v>
      </c>
      <c r="AN149" s="8">
        <f>SUM(AN146:AN148)</f>
        <v>7.2399197950896488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582</v>
      </c>
      <c r="Q151" s="4"/>
      <c r="R151" s="4"/>
      <c r="S151" s="4"/>
      <c r="T151" s="50">
        <f>L156</f>
        <v>5.1714158616864253E-4</v>
      </c>
      <c r="U151" s="48">
        <f>U156</f>
        <v>24.076233417548465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531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31" t="s">
        <v>494</v>
      </c>
      <c r="C153" s="331"/>
      <c r="D153" s="331"/>
      <c r="E153" s="331"/>
      <c r="F153" s="331"/>
      <c r="G153" s="331"/>
      <c r="H153" s="331"/>
      <c r="J153" s="4"/>
      <c r="K153" s="3" t="s">
        <v>569</v>
      </c>
      <c r="L153" s="1" t="s">
        <v>563</v>
      </c>
      <c r="M153" s="1" t="s">
        <v>566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565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2"/>
      <c r="C154" s="332"/>
      <c r="D154" s="332"/>
      <c r="E154" s="332"/>
      <c r="F154" s="332"/>
      <c r="G154" s="332"/>
      <c r="H154" s="332"/>
      <c r="J154" s="4" t="s">
        <v>41</v>
      </c>
      <c r="K154" s="3" t="s">
        <v>568</v>
      </c>
      <c r="L154" s="1" t="s">
        <v>89</v>
      </c>
      <c r="M154" s="1" t="s">
        <v>91</v>
      </c>
      <c r="N154" s="1" t="s">
        <v>87</v>
      </c>
      <c r="O154" s="1" t="s">
        <v>656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31" t="s">
        <v>480</v>
      </c>
      <c r="BI154" s="331"/>
      <c r="BJ154" s="331"/>
      <c r="BK154" s="331"/>
      <c r="BM154" s="4"/>
      <c r="BN154" s="3" t="s">
        <v>569</v>
      </c>
      <c r="BO154" s="1" t="s">
        <v>563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563</v>
      </c>
      <c r="DX154" s="1" t="s">
        <v>564</v>
      </c>
      <c r="DY154" s="1" t="s">
        <v>566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565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582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b_ch_Gasoline</f>
        <v>46556.366885754731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46556.366885754731</v>
      </c>
      <c r="T155" s="17">
        <f>P155*S155</f>
        <v>46556.366885754731</v>
      </c>
      <c r="U155" s="17">
        <f>T155*L155</f>
        <v>24.076233417548465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31"/>
      <c r="BI155" s="331"/>
      <c r="BJ155" s="331"/>
      <c r="BK155" s="331"/>
      <c r="BM155" s="4"/>
      <c r="BN155" s="3" t="s">
        <v>568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567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46556.366885754731</v>
      </c>
      <c r="U156" s="17">
        <f>SUM(U155)</f>
        <v>24.076233417548465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7" t="s">
        <v>531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7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7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7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532</v>
      </c>
      <c r="T163" s="50">
        <f>K169</f>
        <v>9.0394269236644703E-2</v>
      </c>
      <c r="U163" s="48">
        <f>U169</f>
        <v>0.70761030268572533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31" t="s">
        <v>526</v>
      </c>
      <c r="F165" s="331"/>
      <c r="G165" s="331"/>
      <c r="H165" s="331"/>
      <c r="J165" s="4"/>
      <c r="K165" s="1" t="s">
        <v>563</v>
      </c>
      <c r="L165" s="1" t="s">
        <v>564</v>
      </c>
      <c r="M165" s="1" t="s">
        <v>566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565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31"/>
      <c r="F166" s="331"/>
      <c r="G166" s="331"/>
      <c r="H166" s="331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3" t="s">
        <v>532</v>
      </c>
      <c r="J167" s="8" t="s">
        <v>304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0.30063020415633551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3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0.40698009852938982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T169" s="3">
        <f>SUM(T167:T168)</f>
        <v>0.22584479577057509</v>
      </c>
      <c r="U169" s="3">
        <f>SUM(U167:U168)</f>
        <v>0.70761030268572533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0" t="s">
        <v>440</v>
      </c>
      <c r="W182" s="340"/>
      <c r="X182" s="340"/>
      <c r="Y182" s="340"/>
      <c r="Z182" s="340"/>
      <c r="AA182" s="340"/>
      <c r="AB182" s="340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0" t="s">
        <v>441</v>
      </c>
      <c r="AN187" s="340"/>
      <c r="AO187" s="340"/>
      <c r="AP187" s="340"/>
      <c r="AQ187" s="340"/>
      <c r="AR187" s="340"/>
      <c r="AS187" s="340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0" t="s">
        <v>442</v>
      </c>
      <c r="BE187" s="340"/>
      <c r="BF187" s="340"/>
      <c r="BG187" s="340"/>
      <c r="BH187" s="340"/>
      <c r="BI187" s="340"/>
      <c r="BJ187" s="340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5" t="s">
        <v>365</v>
      </c>
      <c r="O190" s="345"/>
      <c r="P190" s="345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3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4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643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8" t="s">
        <v>510</v>
      </c>
      <c r="W195" s="349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529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547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1" t="s">
        <v>429</v>
      </c>
      <c r="P206" s="341"/>
      <c r="Q206" s="341"/>
      <c r="R206" s="4"/>
      <c r="S206" s="4"/>
      <c r="T206" s="50">
        <f>K217</f>
        <v>286.88405520213911</v>
      </c>
      <c r="U206" s="48">
        <f>U217</f>
        <v>8753719.7068998404</v>
      </c>
      <c r="V206" s="346" t="s">
        <v>420</v>
      </c>
      <c r="W206" s="346"/>
      <c r="X206" s="346"/>
      <c r="Y206" s="346"/>
      <c r="Z206" s="346"/>
      <c r="AA206" s="34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6" t="s">
        <v>548</v>
      </c>
      <c r="AP206" s="346"/>
      <c r="AQ206" s="346"/>
      <c r="AR206" s="346"/>
      <c r="AS206" s="346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6" t="s">
        <v>462</v>
      </c>
      <c r="BH206" s="346"/>
      <c r="BI206" s="346"/>
      <c r="BJ206" s="346"/>
      <c r="BK206" s="346"/>
      <c r="BL206" s="4"/>
      <c r="BM206" s="4"/>
      <c r="BN206" s="4"/>
      <c r="BO206" s="4"/>
      <c r="BP206" s="4"/>
      <c r="BQ206" s="4"/>
      <c r="BR206" s="4"/>
      <c r="BS206" s="4" t="s">
        <v>530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6" t="s">
        <v>439</v>
      </c>
      <c r="BZ206" s="346"/>
      <c r="CA206" s="346"/>
      <c r="CB206" s="346"/>
      <c r="CC206" s="346"/>
      <c r="CK206" s="3" t="s">
        <v>638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6"/>
      <c r="W207" s="346"/>
      <c r="X207" s="346"/>
      <c r="Y207" s="346"/>
      <c r="Z207" s="346"/>
      <c r="AA207" s="34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6"/>
      <c r="AP207" s="346"/>
      <c r="AQ207" s="346"/>
      <c r="AR207" s="346"/>
      <c r="AS207" s="346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6"/>
      <c r="BH207" s="346"/>
      <c r="BI207" s="346"/>
      <c r="BJ207" s="346"/>
      <c r="BK207" s="346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6"/>
      <c r="BZ207" s="346"/>
      <c r="CA207" s="346"/>
      <c r="CB207" s="346"/>
      <c r="CC207" s="346"/>
      <c r="CN207" s="4"/>
      <c r="CO207" s="4"/>
    </row>
    <row r="208" spans="5:94" ht="19.25" customHeight="1" x14ac:dyDescent="0.25">
      <c r="E208" s="331" t="s">
        <v>451</v>
      </c>
      <c r="F208" s="331"/>
      <c r="G208" s="331"/>
      <c r="H208" s="331"/>
      <c r="J208" s="4"/>
      <c r="K208" s="1" t="s">
        <v>563</v>
      </c>
      <c r="L208" s="1" t="s">
        <v>564</v>
      </c>
      <c r="M208" s="1" t="s">
        <v>566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565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3" t="s">
        <v>345</v>
      </c>
      <c r="AA208" s="102" t="s">
        <v>318</v>
      </c>
      <c r="AB208" s="1"/>
      <c r="AC208" s="4"/>
      <c r="AD208" s="1" t="s">
        <v>563</v>
      </c>
      <c r="AE208" s="1" t="s">
        <v>564</v>
      </c>
      <c r="AF208" s="1" t="s">
        <v>566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565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3" t="s">
        <v>345</v>
      </c>
      <c r="AS208" s="138" t="s">
        <v>318</v>
      </c>
      <c r="AT208" s="1"/>
      <c r="AU208" s="4"/>
      <c r="AV208" s="1" t="s">
        <v>563</v>
      </c>
      <c r="AW208" s="1" t="s">
        <v>564</v>
      </c>
      <c r="AX208" s="1" t="s">
        <v>566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565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3" t="s">
        <v>345</v>
      </c>
      <c r="BK208" s="138" t="s">
        <v>318</v>
      </c>
      <c r="BL208" s="1"/>
      <c r="BM208" s="4"/>
      <c r="BN208" s="1" t="s">
        <v>563</v>
      </c>
      <c r="BO208" s="1" t="s">
        <v>564</v>
      </c>
      <c r="BP208" s="1" t="s">
        <v>566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565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3" t="s">
        <v>345</v>
      </c>
      <c r="CC208" s="138" t="s">
        <v>318</v>
      </c>
      <c r="CD208" s="1"/>
      <c r="CE208" s="4"/>
      <c r="CF208" s="1" t="s">
        <v>563</v>
      </c>
      <c r="CG208" s="1" t="s">
        <v>564</v>
      </c>
      <c r="CH208" s="1" t="s">
        <v>566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565</v>
      </c>
      <c r="CP208" s="1" t="s">
        <v>50</v>
      </c>
    </row>
    <row r="209" spans="2:94" ht="18" x14ac:dyDescent="0.25">
      <c r="E209" s="331"/>
      <c r="F209" s="331"/>
      <c r="G209" s="331"/>
      <c r="H209" s="331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4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4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4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4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575.29559740969785</v>
      </c>
      <c r="X210" s="99">
        <f>SUM(AB195,U206,U222,U236) - SUM(AN206,AN227)</f>
        <v>99323.641298372298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543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547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639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7" t="s">
        <v>545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643</v>
      </c>
      <c r="AA211" s="103">
        <f>(AN206+AN227)/($AB$195+U206+U222+U236)</f>
        <v>0.98878157674342848</v>
      </c>
      <c r="AB211" s="347" t="s">
        <v>544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643</v>
      </c>
      <c r="AS211" s="136">
        <f>BF206/(AN206+AS190)</f>
        <v>0.98202222166069097</v>
      </c>
      <c r="AT211" s="347" t="s">
        <v>542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643</v>
      </c>
      <c r="BK211" s="136">
        <f>BX206/(BJ195+BF206)</f>
        <v>0.9967429853184</v>
      </c>
      <c r="BL211" s="347" t="s">
        <v>541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643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7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0.98839130078384352</v>
      </c>
      <c r="AB212" s="347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7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7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7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7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7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7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7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7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7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7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7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7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590</v>
      </c>
      <c r="AS215" s="4"/>
      <c r="AT215" s="347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590</v>
      </c>
      <c r="BK215" s="4"/>
      <c r="BL215" s="347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590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7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7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7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593</v>
      </c>
      <c r="AQ216" s="1" t="s">
        <v>593</v>
      </c>
      <c r="AR216" s="1" t="s">
        <v>593</v>
      </c>
      <c r="AS216" s="4"/>
      <c r="AT216" s="347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593</v>
      </c>
      <c r="BI216" s="1" t="s">
        <v>593</v>
      </c>
      <c r="BJ216" s="1" t="s">
        <v>593</v>
      </c>
      <c r="BK216" s="4"/>
      <c r="BL216" s="347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593</v>
      </c>
      <c r="CB216" s="1" t="s">
        <v>593</v>
      </c>
      <c r="CC216" s="1" t="s">
        <v>593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7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592</v>
      </c>
      <c r="AQ217" s="3" t="s">
        <v>592</v>
      </c>
      <c r="AR217" s="3" t="s">
        <v>592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592</v>
      </c>
      <c r="BI217" s="3" t="s">
        <v>592</v>
      </c>
      <c r="BJ217" s="3" t="s">
        <v>592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592</v>
      </c>
      <c r="CB217" s="3" t="s">
        <v>592</v>
      </c>
      <c r="CC217" s="3" t="s">
        <v>592</v>
      </c>
      <c r="CK217" s="3" t="s">
        <v>533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7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7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563</v>
      </c>
      <c r="CG219" s="1" t="s">
        <v>564</v>
      </c>
      <c r="CH219" s="1" t="s">
        <v>566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565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7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7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0" t="s">
        <v>533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31" t="s">
        <v>493</v>
      </c>
      <c r="C222" s="331"/>
      <c r="D222" s="331"/>
      <c r="E222" s="331"/>
      <c r="F222" s="331"/>
      <c r="G222" s="331"/>
      <c r="H222" s="331"/>
      <c r="J222" s="4"/>
      <c r="K222" s="4"/>
      <c r="L222" s="4"/>
      <c r="M222" s="4"/>
      <c r="N222" s="4"/>
      <c r="O222" s="4"/>
      <c r="P222" s="204" t="s">
        <v>581</v>
      </c>
      <c r="Q222" s="4"/>
      <c r="R222" s="4"/>
      <c r="S222" s="4"/>
      <c r="T222" s="50">
        <f>L227</f>
        <v>0.49224560722974403</v>
      </c>
      <c r="U222" s="48">
        <f>U227</f>
        <v>22393.370164784887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0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2"/>
      <c r="C223" s="332"/>
      <c r="D223" s="332"/>
      <c r="E223" s="332"/>
      <c r="F223" s="332"/>
      <c r="G223" s="332"/>
      <c r="H223" s="33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0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569</v>
      </c>
      <c r="L224" s="1" t="s">
        <v>563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565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0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568</v>
      </c>
      <c r="L225" s="1" t="s">
        <v>89</v>
      </c>
      <c r="M225" s="1" t="s">
        <v>91</v>
      </c>
      <c r="N225" s="1" t="s">
        <v>87</v>
      </c>
      <c r="O225" s="1" t="s">
        <v>656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531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0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640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581</v>
      </c>
      <c r="J226" s="96" t="s">
        <v>496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b_ch_Diesel</f>
        <v>45492.270191724252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45492.270191724252</v>
      </c>
      <c r="T226" s="95">
        <f>P226*S226</f>
        <v>45492.270191724252</v>
      </c>
      <c r="U226" s="95">
        <f>T226*L226</f>
        <v>22393.370164784887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0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0" t="s">
        <v>442</v>
      </c>
      <c r="CS226" s="340"/>
      <c r="CT226" s="340"/>
      <c r="CU226" s="340"/>
      <c r="CV226" s="340"/>
      <c r="CW226" s="340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/>
      <c r="P227" s="17"/>
      <c r="Q227" s="17"/>
      <c r="R227" s="17"/>
      <c r="S227" s="17"/>
      <c r="T227" s="17">
        <f>SUM(T226)</f>
        <v>45492.270191724252</v>
      </c>
      <c r="U227" s="17">
        <f>SUM(U226)</f>
        <v>22393.370164784887</v>
      </c>
      <c r="AB227" s="1"/>
      <c r="AC227" s="1"/>
      <c r="AD227" s="1"/>
      <c r="AG227" s="4"/>
      <c r="AH227" s="4"/>
      <c r="AI227" s="3" t="s">
        <v>528</v>
      </c>
      <c r="AM227" s="50">
        <f>AD234</f>
        <v>7.6637473118485584</v>
      </c>
      <c r="AN227" s="48">
        <f>AN234</f>
        <v>575.29559740969785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563</v>
      </c>
      <c r="BO227" s="1" t="s">
        <v>564</v>
      </c>
      <c r="BP227" s="1" t="s">
        <v>566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565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575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563</v>
      </c>
      <c r="AE229" s="1" t="s">
        <v>564</v>
      </c>
      <c r="AF229" s="1" t="s">
        <v>566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565</v>
      </c>
      <c r="AN229" s="1" t="s">
        <v>50</v>
      </c>
      <c r="BL229" s="333" t="s">
        <v>540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590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3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593</v>
      </c>
      <c r="Y231" s="1" t="s">
        <v>593</v>
      </c>
      <c r="Z231" s="1" t="s">
        <v>593</v>
      </c>
      <c r="AB231" s="333" t="s">
        <v>528</v>
      </c>
      <c r="AC231" s="17" t="s">
        <v>23</v>
      </c>
      <c r="AD231" s="8">
        <f>CO2_out_Coal_Ext</f>
        <v>1.5537409026223474</v>
      </c>
      <c r="AE231" s="8">
        <f>AD231/AD234</f>
        <v>0.20273905693891836</v>
      </c>
      <c r="AF231" s="1">
        <f>MW_CO2</f>
        <v>4.4009800000000002E-2</v>
      </c>
      <c r="AG231" s="1">
        <f>N226*CO2_Diesel_molcoeff</f>
        <v>35.304429982011904</v>
      </c>
      <c r="AH231" s="1">
        <f>b_ch_CO2</f>
        <v>19.900000000000034</v>
      </c>
      <c r="AI231" s="1">
        <f>AG231/$AG$234</f>
        <v>0.13297872340425534</v>
      </c>
      <c r="AJ231" s="1">
        <f>LN(AI231)</f>
        <v>-2.0175661379617482</v>
      </c>
      <c r="AK231" s="1">
        <f>RT0*AJ231</f>
        <v>-4.5818303565174672</v>
      </c>
      <c r="AL231" s="1">
        <f>AH231+AK231</f>
        <v>15.318169643482566</v>
      </c>
      <c r="AM231" s="1">
        <f>AL231*AI231</f>
        <v>2.0369906440801286</v>
      </c>
      <c r="AN231" s="8">
        <f>$AG$234*AM231</f>
        <v>540.79924763091049</v>
      </c>
      <c r="BL231" s="333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592</v>
      </c>
      <c r="Y232" s="3" t="s">
        <v>592</v>
      </c>
      <c r="Z232" s="3" t="s">
        <v>592</v>
      </c>
      <c r="AB232" s="333"/>
      <c r="AC232" s="3" t="s">
        <v>68</v>
      </c>
      <c r="AD232" s="1">
        <f>H2O_out_Coal_Ext</f>
        <v>0.60951839172607525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33.833412066094738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163.51221401600938</v>
      </c>
      <c r="BL232" s="333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18251.889010994571</v>
      </c>
      <c r="Y233" s="83">
        <f>AG210+AG231</f>
        <v>18251.889010994571</v>
      </c>
      <c r="Z233" s="3">
        <f>X233-Y233</f>
        <v>0</v>
      </c>
      <c r="AB233" s="333"/>
      <c r="AC233" s="7" t="s">
        <v>67</v>
      </c>
      <c r="AD233" s="28">
        <f>N2_in_Coal_Ext</f>
        <v>5.5004880175001354</v>
      </c>
      <c r="AE233" s="1">
        <f>AD233/AD234</f>
        <v>0.71772825925459338</v>
      </c>
      <c r="AF233" s="6">
        <f>MW_N2</f>
        <v>2.801348E-2</v>
      </c>
      <c r="AG233" s="1">
        <f>Diesel_N2_molcoeff*N226</f>
        <v>196.35147141662284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-129.01586423722205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534</v>
      </c>
      <c r="CO233" s="50">
        <f>CF243</f>
        <v>69.582675758133661</v>
      </c>
      <c r="CP233" s="48">
        <f>CP243</f>
        <v>5935408.0537775028</v>
      </c>
      <c r="CR233" s="346" t="s">
        <v>459</v>
      </c>
      <c r="CS233" s="346"/>
      <c r="CT233" s="346"/>
      <c r="CU233" s="346"/>
      <c r="CV233" s="346"/>
      <c r="DD233" s="3" t="s">
        <v>531</v>
      </c>
      <c r="DH233" s="50">
        <f>CY241</f>
        <v>69.582675758133661</v>
      </c>
      <c r="DI233" s="48">
        <f>DI241</f>
        <v>5944558.1059355522</v>
      </c>
      <c r="EH233" s="3" t="s">
        <v>531</v>
      </c>
      <c r="EM233" s="50">
        <f>ED241</f>
        <v>10.437401363720047</v>
      </c>
      <c r="EN233" s="48">
        <f>EN241</f>
        <v>891683.71589033271</v>
      </c>
      <c r="EP233" s="338" t="s">
        <v>424</v>
      </c>
      <c r="EQ233" s="339"/>
      <c r="ER233" s="339"/>
      <c r="ES233" s="339"/>
      <c r="ET233" s="339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45479.121193237697</v>
      </c>
      <c r="Y234" s="286">
        <f>(mol_H_Coal*AG210)+(2*AG232)</f>
        <v>45479.121193237697</v>
      </c>
      <c r="Z234" s="3">
        <f t="shared" ref="Z234:Z242" si="130">X234-Y234</f>
        <v>0</v>
      </c>
      <c r="AB234" s="333"/>
      <c r="AC234" s="17" t="s">
        <v>19</v>
      </c>
      <c r="AD234" s="1">
        <f>SUM(AD231:AD233)</f>
        <v>7.6637473118485584</v>
      </c>
      <c r="AE234" s="8">
        <f>SUM(AE231:AE233)</f>
        <v>1</v>
      </c>
      <c r="AF234" s="8">
        <f>SUM(AF231:AF233)</f>
        <v>9.0038560000000004E-2</v>
      </c>
      <c r="AG234" s="8">
        <f>SUM(AG231:AG233)</f>
        <v>265.48931346472949</v>
      </c>
      <c r="AH234" s="62"/>
      <c r="AI234" s="8">
        <f>SUM(AI231:AI233)</f>
        <v>1</v>
      </c>
      <c r="AJ234" s="17"/>
      <c r="AK234" s="17"/>
      <c r="AL234" s="17"/>
      <c r="AM234" s="8">
        <f>SUM(AM231:AM233)</f>
        <v>2.1669256283873981</v>
      </c>
      <c r="AN234" s="8">
        <f>SUM(AN231:AN233)</f>
        <v>575.29559740969785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6"/>
      <c r="CS234" s="346"/>
      <c r="CT234" s="346"/>
      <c r="CU234" s="346"/>
      <c r="CV234" s="346"/>
      <c r="EP234" s="339"/>
      <c r="EQ234" s="339"/>
      <c r="ER234" s="339"/>
      <c r="ES234" s="339"/>
      <c r="ET234" s="339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814.76205876806807</v>
      </c>
      <c r="Y235" s="286">
        <f>(mol_O_Coal*AG210)+(3*AG211)+AG212+AG213+AG214+(3*AG215)+(2*AG216)+(2*AG231)+AG232</f>
        <v>814.76205876806807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563</v>
      </c>
      <c r="CG235" s="1" t="s">
        <v>564</v>
      </c>
      <c r="CH235" s="1" t="s">
        <v>566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565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64" t="s">
        <v>345</v>
      </c>
      <c r="CV235" s="138" t="s">
        <v>318</v>
      </c>
      <c r="CX235" s="4"/>
      <c r="CY235" s="1" t="s">
        <v>563</v>
      </c>
      <c r="CZ235" s="1" t="s">
        <v>564</v>
      </c>
      <c r="DA235" s="1" t="s">
        <v>566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565</v>
      </c>
      <c r="DI235" s="1" t="s">
        <v>50</v>
      </c>
      <c r="EC235" s="4"/>
      <c r="ED235" s="1" t="s">
        <v>563</v>
      </c>
      <c r="EE235" s="1" t="s">
        <v>564</v>
      </c>
      <c r="EF235" s="1" t="s">
        <v>566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565</v>
      </c>
      <c r="EN235" s="1" t="s">
        <v>50</v>
      </c>
      <c r="EP235" s="339"/>
      <c r="EQ235" s="339"/>
      <c r="ER235" s="339"/>
      <c r="ES235" s="339"/>
      <c r="ET235" s="339"/>
    </row>
    <row r="236" spans="2:150" ht="19" thickBot="1" x14ac:dyDescent="0.3">
      <c r="P236" s="3" t="s">
        <v>546</v>
      </c>
      <c r="T236" s="50">
        <f>K242</f>
        <v>7.1715017046188141</v>
      </c>
      <c r="U236" s="48">
        <f>U242</f>
        <v>56.138829759567599</v>
      </c>
      <c r="W236" s="3" t="s">
        <v>364</v>
      </c>
      <c r="X236" s="83">
        <f>(mol_N_Coal*N210)+(2*N241)</f>
        <v>487.09113304770955</v>
      </c>
      <c r="Y236" s="83">
        <f>(mol_N_Coal*AG210)+(2*AG233)</f>
        <v>487.09113304770955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5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3" t="s">
        <v>534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6" t="s">
        <v>531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7" t="s">
        <v>531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31" t="s">
        <v>526</v>
      </c>
      <c r="F238" s="331"/>
      <c r="G238" s="331"/>
      <c r="H238" s="331"/>
      <c r="J238" s="4"/>
      <c r="K238" s="1" t="s">
        <v>563</v>
      </c>
      <c r="L238" s="1" t="s">
        <v>564</v>
      </c>
      <c r="M238" s="1" t="s">
        <v>566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565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3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643</v>
      </c>
      <c r="CV238" s="136">
        <f>DI233/(CP233+CW229)</f>
        <v>0.99315856277211589</v>
      </c>
      <c r="CW238" s="336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590</v>
      </c>
      <c r="EB238" s="337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31"/>
      <c r="F239" s="331"/>
      <c r="G239" s="331"/>
      <c r="H239" s="331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3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6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593</v>
      </c>
      <c r="DQ239" s="1" t="s">
        <v>593</v>
      </c>
      <c r="DR239" s="1" t="s">
        <v>593</v>
      </c>
      <c r="EB239" s="337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3" t="s">
        <v>532</v>
      </c>
      <c r="J240" s="8" t="s">
        <v>304</v>
      </c>
      <c r="K240" s="17">
        <f>O2_in_Coal_Ext</f>
        <v>1.6710136871186787</v>
      </c>
      <c r="L240" s="17">
        <f>K240/$BN$248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3">
        <f>b_ch_O2</f>
        <v>4</v>
      </c>
      <c r="P240" s="3">
        <f>N240/N242</f>
        <v>0.21008403361344541</v>
      </c>
      <c r="Q240" s="1">
        <f>LN(P240)</f>
        <v>-1.5602476682433284</v>
      </c>
      <c r="R240" s="1">
        <f>RT0*Q240</f>
        <v>-3.5432742429276498</v>
      </c>
      <c r="S240" s="1">
        <f>O240+R240</f>
        <v>0.45672575707235019</v>
      </c>
      <c r="T240" s="1">
        <f>S240*P240</f>
        <v>9.5950789300913913E-2</v>
      </c>
      <c r="U240" s="1">
        <f>N242*T240</f>
        <v>23.850737881656119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3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6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592</v>
      </c>
      <c r="DQ240" s="3" t="s">
        <v>592</v>
      </c>
      <c r="DR240" s="3" t="s">
        <v>592</v>
      </c>
      <c r="EB240" s="337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3"/>
      <c r="J241" s="60" t="s">
        <v>67</v>
      </c>
      <c r="K241" s="3">
        <f>N2_in_Coal_Ext</f>
        <v>5.5004880175001354</v>
      </c>
      <c r="L241" s="3">
        <f>K241/$BN$248</f>
        <v>9.8758270561070099E-3</v>
      </c>
      <c r="M241" s="28">
        <f>MW_N2</f>
        <v>2.801348E-2</v>
      </c>
      <c r="N241" s="28">
        <f>AG233</f>
        <v>196.35147141662284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32.288091877911484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3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T242" s="3">
        <f>SUM(T240:T241)</f>
        <v>0.22584479577057517</v>
      </c>
      <c r="U242" s="3">
        <f>SUM(U240:U241)</f>
        <v>56.138829759567599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532</v>
      </c>
      <c r="BW242" s="50">
        <f>BN248</f>
        <v>556.96479760636817</v>
      </c>
      <c r="BX242" s="48">
        <f>BX248</f>
        <v>4359.9448543333856</v>
      </c>
      <c r="CD242" s="333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590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31" t="s">
        <v>526</v>
      </c>
      <c r="BI244" s="331"/>
      <c r="BJ244" s="331"/>
      <c r="BK244" s="331"/>
      <c r="BM244" s="4"/>
      <c r="BN244" s="1" t="s">
        <v>563</v>
      </c>
      <c r="BO244" s="1" t="s">
        <v>564</v>
      </c>
      <c r="BP244" s="1" t="s">
        <v>566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565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593</v>
      </c>
      <c r="CT244" s="1" t="s">
        <v>593</v>
      </c>
      <c r="CU244" s="1" t="s">
        <v>593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31"/>
      <c r="BI245" s="331"/>
      <c r="BJ245" s="331"/>
      <c r="BK245" s="331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592</v>
      </c>
      <c r="CT245" s="3" t="s">
        <v>592</v>
      </c>
      <c r="CU245" s="3" t="s">
        <v>592</v>
      </c>
    </row>
    <row r="246" spans="9:144" ht="18" customHeight="1" x14ac:dyDescent="0.25">
      <c r="BL246" s="350" t="s">
        <v>527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0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535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563</v>
      </c>
      <c r="CG252" s="1" t="s">
        <v>564</v>
      </c>
      <c r="CH252" s="1" t="s">
        <v>566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565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3" t="s">
        <v>535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3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31" t="s">
        <v>480</v>
      </c>
      <c r="BG256" s="331"/>
      <c r="BH256" s="331"/>
      <c r="BI256" s="331"/>
      <c r="BJ256" s="331"/>
      <c r="BK256" s="331"/>
      <c r="BL256" s="331"/>
      <c r="BM256" s="1"/>
      <c r="BN256" s="3" t="s">
        <v>569</v>
      </c>
      <c r="BO256" s="1" t="s">
        <v>563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565</v>
      </c>
      <c r="BX256" s="1" t="s">
        <v>50</v>
      </c>
      <c r="CD256" s="333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2"/>
      <c r="BG257" s="332"/>
      <c r="BH257" s="332"/>
      <c r="BI257" s="332"/>
      <c r="BJ257" s="332"/>
      <c r="BK257" s="332"/>
      <c r="BL257" s="332"/>
      <c r="BM257" s="1"/>
      <c r="BN257" s="3" t="s">
        <v>568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6" t="s">
        <v>435</v>
      </c>
      <c r="E7" s="217" t="s">
        <v>577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8" t="s">
        <v>20</v>
      </c>
      <c r="E9" s="217" t="s">
        <v>577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9"/>
      <c r="E10" s="217" t="s">
        <v>578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7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1" t="s">
        <v>354</v>
      </c>
      <c r="E13" s="217" t="s">
        <v>577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5"/>
      <c r="E18" s="216" t="s">
        <v>562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580</v>
      </c>
      <c r="F23" s="3" t="s">
        <v>579</v>
      </c>
      <c r="G23" s="3" t="s">
        <v>646</v>
      </c>
    </row>
    <row r="24" spans="4:9" x14ac:dyDescent="0.2">
      <c r="E24" s="204" t="s">
        <v>577</v>
      </c>
      <c r="F24">
        <f>'Ore-&gt;PI'!U222+'Ore-&gt;PI'!U140+'Ore-&gt;PI'!U59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  <c r="G25">
        <f t="shared" si="2"/>
        <v>1.2595293337336415E-3</v>
      </c>
    </row>
    <row r="26" spans="4:9" x14ac:dyDescent="0.2">
      <c r="E26" s="204" t="s">
        <v>438</v>
      </c>
      <c r="F26">
        <f>'Ore-&gt;PI'!BX152+'Ore-&gt;PI'!BX254+'Ore-&gt;PI'!EG114</f>
        <v>1081571592.2511754</v>
      </c>
      <c r="G26">
        <f t="shared" si="2"/>
        <v>1.0815715922511755</v>
      </c>
    </row>
    <row r="27" spans="4:9" x14ac:dyDescent="0.2">
      <c r="E27" s="204" t="s">
        <v>578</v>
      </c>
      <c r="F27">
        <f>'Ore-&gt;PI'!U151</f>
        <v>24.076233417548465</v>
      </c>
      <c r="G27">
        <f t="shared" si="2"/>
        <v>2.4076233417548466E-8</v>
      </c>
    </row>
    <row r="28" spans="4:9" x14ac:dyDescent="0.2">
      <c r="E28" s="204" t="s">
        <v>562</v>
      </c>
      <c r="F28">
        <f>'Ore-&gt;PI'!EG101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589</v>
      </c>
      <c r="AR1" s="260"/>
      <c r="AS1" s="207" t="s">
        <v>418</v>
      </c>
      <c r="AT1" s="207" t="s">
        <v>419</v>
      </c>
      <c r="AU1" s="207" t="s">
        <v>420</v>
      </c>
      <c r="AV1" s="207" t="s">
        <v>570</v>
      </c>
      <c r="AW1" s="207" t="s">
        <v>549</v>
      </c>
      <c r="AX1" s="207" t="s">
        <v>548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570</v>
      </c>
      <c r="BP1" s="207" t="s">
        <v>549</v>
      </c>
      <c r="BQ1" s="207" t="s">
        <v>548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/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581</v>
      </c>
      <c r="C7" s="284">
        <v>1</v>
      </c>
      <c r="AK7" s="204"/>
      <c r="AR7" s="204" t="s">
        <v>581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581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582</v>
      </c>
      <c r="C8" s="284">
        <v>1</v>
      </c>
      <c r="AK8" s="204"/>
      <c r="AR8" s="204" t="s">
        <v>582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582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523</v>
      </c>
      <c r="C9" s="284">
        <v>1</v>
      </c>
      <c r="AK9" s="204"/>
      <c r="AR9" s="204" t="s">
        <v>523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523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574</v>
      </c>
      <c r="C10" s="284">
        <v>1</v>
      </c>
      <c r="AK10" s="204"/>
      <c r="AR10" s="204" t="s">
        <v>574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574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556</v>
      </c>
      <c r="C11" s="284">
        <v>1</v>
      </c>
      <c r="AR11" s="205" t="s">
        <v>556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556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521</v>
      </c>
      <c r="C12" s="284">
        <v>1</v>
      </c>
      <c r="AR12" s="204" t="s">
        <v>521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521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524</v>
      </c>
      <c r="C13" s="284">
        <v>1</v>
      </c>
      <c r="AR13" s="205" t="s">
        <v>524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524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551</v>
      </c>
      <c r="C14" s="284">
        <v>1</v>
      </c>
      <c r="AR14" s="204" t="s">
        <v>551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551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543</v>
      </c>
      <c r="C15" s="284">
        <v>1</v>
      </c>
      <c r="AR15" s="206" t="s">
        <v>543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543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528</v>
      </c>
      <c r="C16" s="284">
        <v>1</v>
      </c>
      <c r="AR16" s="204" t="s">
        <v>528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528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555</v>
      </c>
      <c r="C17" s="284">
        <v>1</v>
      </c>
      <c r="AR17" s="205" t="s">
        <v>555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555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550</v>
      </c>
      <c r="C18" s="284">
        <v>1</v>
      </c>
      <c r="AR18" s="205" t="s">
        <v>550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547</v>
      </c>
      <c r="C19" s="284">
        <v>1</v>
      </c>
      <c r="AR19" s="205" t="s">
        <v>547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547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553</v>
      </c>
      <c r="C20" s="284">
        <v>1</v>
      </c>
      <c r="AR20" s="205" t="s">
        <v>553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553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552</v>
      </c>
      <c r="C21" s="284">
        <v>1</v>
      </c>
      <c r="AR21" s="206" t="s">
        <v>552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552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536</v>
      </c>
      <c r="C22" s="284">
        <v>1</v>
      </c>
      <c r="AR22" s="206" t="s">
        <v>536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536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571</v>
      </c>
      <c r="C23" s="284">
        <v>1</v>
      </c>
      <c r="AR23" s="206" t="s">
        <v>571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571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537</v>
      </c>
      <c r="C24" s="284">
        <v>1</v>
      </c>
      <c r="AR24" s="206" t="s">
        <v>537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537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539</v>
      </c>
      <c r="C25" s="284">
        <v>1</v>
      </c>
      <c r="AR25" s="206" t="s">
        <v>539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539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538</v>
      </c>
      <c r="C26" s="284">
        <v>1</v>
      </c>
      <c r="AR26" s="206" t="s">
        <v>538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538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638</v>
      </c>
      <c r="C27" s="284">
        <v>1</v>
      </c>
      <c r="AR27" s="206" t="s">
        <v>638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638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534</v>
      </c>
      <c r="C28" s="284">
        <v>1</v>
      </c>
      <c r="AR28" s="253" t="s">
        <v>534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534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533</v>
      </c>
      <c r="C29" s="284">
        <v>1</v>
      </c>
      <c r="AR29" s="206" t="s">
        <v>533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533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535</v>
      </c>
      <c r="C30" s="284">
        <v>1</v>
      </c>
      <c r="AR30" s="204" t="s">
        <v>535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535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531</v>
      </c>
      <c r="C31" s="284">
        <v>1</v>
      </c>
      <c r="AR31" s="206" t="s">
        <v>531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531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559</v>
      </c>
      <c r="C32" s="284">
        <v>1</v>
      </c>
      <c r="AR32" s="206" t="s">
        <v>559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559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560</v>
      </c>
      <c r="C33" s="284">
        <v>1</v>
      </c>
      <c r="AR33" s="206" t="s">
        <v>560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561</v>
      </c>
      <c r="C34" s="284">
        <v>1</v>
      </c>
      <c r="AR34" s="206" t="s">
        <v>561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561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572</v>
      </c>
      <c r="C35" s="284">
        <v>1</v>
      </c>
      <c r="AR35" s="206" t="s">
        <v>572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572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588</v>
      </c>
      <c r="AR36" s="206"/>
      <c r="AS36" s="376" t="s">
        <v>585</v>
      </c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K36" s="206"/>
      <c r="BL36" s="376" t="s">
        <v>586</v>
      </c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570</v>
      </c>
      <c r="AW39" s="207" t="s">
        <v>549</v>
      </c>
      <c r="AX39" s="207" t="s">
        <v>548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581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582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523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574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556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521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524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551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543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528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555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550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547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553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552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536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571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537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539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538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638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534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533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535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531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559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560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561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572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6" t="s">
        <v>587</v>
      </c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570</v>
      </c>
      <c r="AW82" s="207" t="s">
        <v>549</v>
      </c>
      <c r="AX82" s="207" t="s">
        <v>548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236.0188688118763</v>
      </c>
      <c r="AT86" s="230">
        <f>'Ore-&gt;PI'!U163</f>
        <v>0.70761030268572533</v>
      </c>
      <c r="AU86" s="230">
        <f>'Ore-&gt;PI'!U236</f>
        <v>56.138829759567599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37447.874761826519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581</v>
      </c>
      <c r="AS88" s="230">
        <f>'Ore-&gt;PI'!U59</f>
        <v>94146.207140653787</v>
      </c>
      <c r="AT88" s="230">
        <f>'Ore-&gt;PI'!U140</f>
        <v>257.99399332425372</v>
      </c>
      <c r="AU88" s="230">
        <f>'Ore-&gt;PI'!U222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581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582</v>
      </c>
      <c r="AS89" s="230"/>
      <c r="AT89" s="230">
        <f>'Ore-&gt;PI'!U151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582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523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206840.02835429934</v>
      </c>
      <c r="BG90" s="252">
        <f t="shared" si="34"/>
        <v>206840.02835429934</v>
      </c>
      <c r="BK90" s="204" t="s">
        <v>523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574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574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556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556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521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521</v>
      </c>
      <c r="BL93" s="244"/>
      <c r="BM93" s="244">
        <f>'Ore-&gt;PI'!AM63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524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524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551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551</v>
      </c>
      <c r="BL95" s="244"/>
      <c r="BM95" s="244">
        <f>'Ore-&gt;PI'!AN142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543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543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528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528</v>
      </c>
      <c r="BL97" s="244"/>
      <c r="BM97" s="244">
        <f>'Ore-&gt;PI'!AN227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555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555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550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550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547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547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553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553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552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552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536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536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571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571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537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537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539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539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538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538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638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638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534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534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533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533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535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535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531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531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559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559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560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560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561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561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572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572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6" t="s">
        <v>421</v>
      </c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25" t="s">
        <v>473</v>
      </c>
      <c r="BL117" s="376" t="s">
        <v>423</v>
      </c>
      <c r="BM117" s="376"/>
      <c r="BN117" s="25" t="s">
        <v>488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77"/>
      <c r="G119" s="37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6" t="s">
        <v>472</v>
      </c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581</v>
      </c>
      <c r="L120" s="207" t="s">
        <v>582</v>
      </c>
      <c r="M120" s="207" t="s">
        <v>523</v>
      </c>
      <c r="N120" s="207" t="s">
        <v>574</v>
      </c>
      <c r="O120" s="209" t="s">
        <v>556</v>
      </c>
      <c r="P120" s="207" t="s">
        <v>521</v>
      </c>
      <c r="Q120" s="209" t="s">
        <v>524</v>
      </c>
      <c r="R120" s="207" t="s">
        <v>551</v>
      </c>
      <c r="S120" s="210" t="s">
        <v>543</v>
      </c>
      <c r="T120" s="207" t="s">
        <v>528</v>
      </c>
      <c r="U120" s="209" t="s">
        <v>555</v>
      </c>
      <c r="V120" s="209" t="s">
        <v>550</v>
      </c>
      <c r="W120" s="209" t="s">
        <v>547</v>
      </c>
      <c r="X120" s="209" t="s">
        <v>553</v>
      </c>
      <c r="Y120" s="210" t="s">
        <v>552</v>
      </c>
      <c r="Z120" s="210" t="s">
        <v>536</v>
      </c>
      <c r="AA120" s="210" t="s">
        <v>571</v>
      </c>
      <c r="AB120" s="210" t="s">
        <v>537</v>
      </c>
      <c r="AC120" s="210" t="s">
        <v>539</v>
      </c>
      <c r="AD120" s="210" t="s">
        <v>538</v>
      </c>
      <c r="AE120" s="210" t="s">
        <v>638</v>
      </c>
      <c r="AF120" s="232" t="s">
        <v>534</v>
      </c>
      <c r="AG120" s="210" t="s">
        <v>533</v>
      </c>
      <c r="AH120" s="207" t="s">
        <v>535</v>
      </c>
      <c r="AI120" s="210" t="s">
        <v>531</v>
      </c>
      <c r="AJ120" s="210" t="s">
        <v>559</v>
      </c>
      <c r="AK120" s="210" t="s">
        <v>560</v>
      </c>
      <c r="AL120" s="210" t="s">
        <v>561</v>
      </c>
      <c r="AM120" s="210" t="s">
        <v>572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570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549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548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6" t="s">
        <v>422</v>
      </c>
      <c r="G135" s="376"/>
      <c r="H135" s="376"/>
      <c r="I135" s="376"/>
      <c r="J135" s="376"/>
      <c r="K135" s="376"/>
      <c r="L135" s="376"/>
      <c r="M135" s="376"/>
      <c r="N135" s="376"/>
      <c r="O135" s="376"/>
      <c r="P135" s="376"/>
      <c r="Q135" s="376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6" t="s">
        <v>470</v>
      </c>
      <c r="G137" s="376"/>
      <c r="H137" s="376"/>
      <c r="I137" s="376"/>
      <c r="J137" s="376"/>
      <c r="K137" s="376"/>
      <c r="L137" s="376"/>
      <c r="M137" s="376"/>
      <c r="N137" s="376"/>
      <c r="O137" s="376"/>
      <c r="P137" s="376"/>
      <c r="Q137" s="376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581</v>
      </c>
      <c r="L148" s="207" t="s">
        <v>582</v>
      </c>
      <c r="M148" s="207" t="s">
        <v>523</v>
      </c>
      <c r="N148" s="207" t="s">
        <v>574</v>
      </c>
      <c r="O148" s="209" t="s">
        <v>556</v>
      </c>
      <c r="P148" s="207" t="s">
        <v>521</v>
      </c>
      <c r="Q148" s="209" t="s">
        <v>524</v>
      </c>
      <c r="R148" s="207" t="s">
        <v>551</v>
      </c>
      <c r="S148" s="210" t="s">
        <v>543</v>
      </c>
      <c r="T148" s="207" t="s">
        <v>528</v>
      </c>
      <c r="U148" s="209" t="s">
        <v>555</v>
      </c>
      <c r="V148" s="209" t="s">
        <v>550</v>
      </c>
      <c r="W148" s="209" t="s">
        <v>547</v>
      </c>
      <c r="X148" s="209" t="s">
        <v>553</v>
      </c>
      <c r="Y148" s="210" t="s">
        <v>552</v>
      </c>
      <c r="Z148" s="210" t="s">
        <v>536</v>
      </c>
      <c r="AA148" s="210" t="s">
        <v>571</v>
      </c>
      <c r="AB148" s="210" t="s">
        <v>537</v>
      </c>
      <c r="AC148" s="210" t="s">
        <v>539</v>
      </c>
      <c r="AD148" s="210" t="s">
        <v>538</v>
      </c>
      <c r="AE148" s="210" t="s">
        <v>638</v>
      </c>
      <c r="AF148" s="232" t="s">
        <v>534</v>
      </c>
      <c r="AG148" s="210" t="s">
        <v>533</v>
      </c>
      <c r="AH148" s="207" t="s">
        <v>535</v>
      </c>
      <c r="AI148" s="210" t="s">
        <v>531</v>
      </c>
      <c r="AJ148" s="210" t="s">
        <v>559</v>
      </c>
      <c r="AK148" s="210" t="s">
        <v>560</v>
      </c>
      <c r="AL148" s="210" t="s">
        <v>561</v>
      </c>
      <c r="AM148" s="210" t="s">
        <v>572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584</v>
      </c>
      <c r="F154" s="244"/>
      <c r="G154" s="244"/>
      <c r="H154" s="244"/>
      <c r="I154" s="244"/>
      <c r="J154" s="244"/>
      <c r="K154" s="244">
        <f>'Ore-&gt;PI'!U59+'Ore-&gt;PI'!U140+'Ore-&gt;PI'!U222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583</v>
      </c>
      <c r="F155" s="244"/>
      <c r="G155" s="244"/>
      <c r="H155" s="244"/>
      <c r="I155" s="244"/>
      <c r="J155" s="244"/>
      <c r="K155" s="244"/>
      <c r="L155" s="244">
        <f>'Ore-&gt;PI'!U151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522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573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6" t="s">
        <v>57</v>
      </c>
      <c r="G158" s="376"/>
      <c r="H158" s="376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6"/>
      <c r="Z158" s="376"/>
      <c r="AA158" s="376"/>
      <c r="AB158" s="376"/>
      <c r="AC158" s="376"/>
      <c r="AD158" s="376"/>
      <c r="AE158" s="376"/>
      <c r="AF158" s="376"/>
      <c r="AG158" s="376"/>
      <c r="AH158" s="376"/>
      <c r="AI158" s="376"/>
      <c r="AJ158" s="376"/>
      <c r="AK158" s="376"/>
      <c r="AL158" s="376"/>
      <c r="AM158" s="37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6" t="s">
        <v>471</v>
      </c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6"/>
      <c r="Z160" s="376"/>
      <c r="AA160" s="376"/>
      <c r="AB160" s="376"/>
      <c r="AC160" s="376"/>
      <c r="AD160" s="376"/>
      <c r="AE160" s="376"/>
      <c r="AF160" s="376"/>
      <c r="AG160" s="376"/>
      <c r="AH160" s="376"/>
      <c r="AI160" s="376"/>
      <c r="AJ160" s="376"/>
      <c r="AK160" s="376"/>
      <c r="AL160" s="376"/>
      <c r="AM160" s="376"/>
      <c r="AN160" s="25"/>
      <c r="AO160" s="25"/>
    </row>
    <row r="164" spans="5:25" x14ac:dyDescent="0.2">
      <c r="F164" s="376" t="s">
        <v>576</v>
      </c>
      <c r="G164" s="376"/>
      <c r="H164" s="376"/>
      <c r="I164" s="376"/>
      <c r="J164" s="376"/>
      <c r="K164" s="376"/>
      <c r="L164" s="376"/>
      <c r="M164" s="376"/>
      <c r="N164" s="376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301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301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301">
        <f>F169+H169-J169-L169</f>
        <v>0</v>
      </c>
    </row>
    <row r="170" spans="5:25" x14ac:dyDescent="0.2">
      <c r="E170" s="204" t="s">
        <v>450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301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301">
        <f t="shared" ref="N171:N186" si="43">F171+H171-J171-L171</f>
        <v>0</v>
      </c>
    </row>
    <row r="172" spans="5:25" x14ac:dyDescent="0.2">
      <c r="E172" s="204" t="s">
        <v>581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301">
        <f t="shared" si="43"/>
        <v>0</v>
      </c>
    </row>
    <row r="173" spans="5:25" x14ac:dyDescent="0.2">
      <c r="E173" s="204" t="s">
        <v>582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301">
        <f t="shared" si="43"/>
        <v>0</v>
      </c>
    </row>
    <row r="174" spans="5:25" x14ac:dyDescent="0.2">
      <c r="E174" s="204" t="s">
        <v>523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301">
        <f t="shared" si="43"/>
        <v>0</v>
      </c>
    </row>
    <row r="175" spans="5:25" x14ac:dyDescent="0.2">
      <c r="E175" s="204" t="s">
        <v>574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301">
        <f t="shared" si="43"/>
        <v>0</v>
      </c>
    </row>
    <row r="176" spans="5:25" ht="16" x14ac:dyDescent="0.2">
      <c r="E176" s="205" t="s">
        <v>556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301">
        <f t="shared" si="43"/>
        <v>0</v>
      </c>
    </row>
    <row r="177" spans="5:21" x14ac:dyDescent="0.2">
      <c r="E177" s="204" t="s">
        <v>521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301">
        <f t="shared" si="43"/>
        <v>0</v>
      </c>
    </row>
    <row r="178" spans="5:21" ht="16" x14ac:dyDescent="0.2">
      <c r="E178" s="205" t="s">
        <v>524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301">
        <f t="shared" si="43"/>
        <v>0</v>
      </c>
    </row>
    <row r="179" spans="5:21" x14ac:dyDescent="0.2">
      <c r="E179" s="204" t="s">
        <v>551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301">
        <f t="shared" si="43"/>
        <v>0</v>
      </c>
    </row>
    <row r="180" spans="5:21" x14ac:dyDescent="0.2">
      <c r="E180" s="206" t="s">
        <v>543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301">
        <f t="shared" si="43"/>
        <v>0</v>
      </c>
    </row>
    <row r="181" spans="5:21" x14ac:dyDescent="0.2">
      <c r="E181" s="204" t="s">
        <v>528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301">
        <f t="shared" si="43"/>
        <v>0</v>
      </c>
    </row>
    <row r="182" spans="5:21" ht="16" x14ac:dyDescent="0.2">
      <c r="E182" s="205" t="s">
        <v>555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301">
        <f t="shared" si="43"/>
        <v>0</v>
      </c>
    </row>
    <row r="183" spans="5:21" ht="16" x14ac:dyDescent="0.2">
      <c r="E183" s="205" t="s">
        <v>550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301">
        <f t="shared" si="43"/>
        <v>0</v>
      </c>
    </row>
    <row r="184" spans="5:21" ht="16" x14ac:dyDescent="0.2">
      <c r="E184" s="205" t="s">
        <v>547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301">
        <f t="shared" si="43"/>
        <v>0</v>
      </c>
    </row>
    <row r="185" spans="5:21" ht="16" x14ac:dyDescent="0.2">
      <c r="E185" s="205" t="s">
        <v>553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301">
        <f t="shared" si="43"/>
        <v>0</v>
      </c>
    </row>
    <row r="186" spans="5:21" x14ac:dyDescent="0.2">
      <c r="E186" s="206" t="s">
        <v>552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301">
        <f t="shared" si="43"/>
        <v>0</v>
      </c>
    </row>
    <row r="187" spans="5:21" x14ac:dyDescent="0.2">
      <c r="E187" s="206" t="s">
        <v>536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301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571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301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537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301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539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301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538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301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638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301">
        <f t="shared" si="45"/>
        <v>0</v>
      </c>
    </row>
    <row r="193" spans="5:22" ht="16" x14ac:dyDescent="0.2">
      <c r="E193" s="253" t="s">
        <v>534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301">
        <f t="shared" si="45"/>
        <v>0</v>
      </c>
    </row>
    <row r="194" spans="5:22" x14ac:dyDescent="0.2">
      <c r="E194" s="206" t="s">
        <v>533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301">
        <f t="shared" ref="N194:N200" si="46">F194+H194-J194-L194</f>
        <v>0</v>
      </c>
      <c r="O194" s="25"/>
    </row>
    <row r="195" spans="5:22" x14ac:dyDescent="0.2">
      <c r="E195" s="204" t="s">
        <v>535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301">
        <f t="shared" si="46"/>
        <v>0</v>
      </c>
    </row>
    <row r="196" spans="5:22" x14ac:dyDescent="0.2">
      <c r="E196" s="206" t="s">
        <v>531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301">
        <f t="shared" si="46"/>
        <v>0</v>
      </c>
    </row>
    <row r="197" spans="5:22" x14ac:dyDescent="0.2">
      <c r="E197" s="206" t="s">
        <v>559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301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560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301">
        <f t="shared" si="46"/>
        <v>0</v>
      </c>
    </row>
    <row r="199" spans="5:22" x14ac:dyDescent="0.2">
      <c r="E199" s="206" t="s">
        <v>561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301">
        <f t="shared" si="46"/>
        <v>0</v>
      </c>
    </row>
    <row r="200" spans="5:22" x14ac:dyDescent="0.2">
      <c r="E200" s="206" t="s">
        <v>572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301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6" t="s">
        <v>644</v>
      </c>
      <c r="G204" s="376"/>
      <c r="H204" s="376"/>
      <c r="I204" s="376"/>
      <c r="J204" s="376"/>
      <c r="O204" s="245"/>
      <c r="P204" s="245"/>
    </row>
    <row r="207" spans="5:22" x14ac:dyDescent="0.2">
      <c r="E207" s="204" t="s">
        <v>418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419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420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570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549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548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594</v>
      </c>
      <c r="AO1" s="260"/>
      <c r="AP1" s="207" t="s">
        <v>418</v>
      </c>
      <c r="AQ1" s="207" t="s">
        <v>419</v>
      </c>
      <c r="AR1" s="207" t="s">
        <v>420</v>
      </c>
      <c r="AS1" s="207" t="s">
        <v>570</v>
      </c>
      <c r="AT1" s="207" t="s">
        <v>549</v>
      </c>
      <c r="AU1" s="207" t="s">
        <v>548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570</v>
      </c>
      <c r="BM1" s="207" t="s">
        <v>549</v>
      </c>
      <c r="BN1" s="207" t="s">
        <v>548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581</v>
      </c>
      <c r="C7" s="284">
        <v>1</v>
      </c>
      <c r="AO7" s="204" t="s">
        <v>581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581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582</v>
      </c>
      <c r="C8" s="284">
        <v>1</v>
      </c>
      <c r="AO8" s="204" t="s">
        <v>582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582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523</v>
      </c>
      <c r="C9" s="284">
        <v>1</v>
      </c>
      <c r="AO9" s="204" t="s">
        <v>523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523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574</v>
      </c>
      <c r="C10" s="284">
        <v>1</v>
      </c>
      <c r="AO10" s="204" t="s">
        <v>574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574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556</v>
      </c>
      <c r="C11" s="284">
        <v>1</v>
      </c>
      <c r="AO11" s="205" t="s">
        <v>556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556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521</v>
      </c>
      <c r="C12" s="284">
        <v>1</v>
      </c>
      <c r="AO12" s="204" t="s">
        <v>521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521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524</v>
      </c>
      <c r="C13" s="284">
        <v>1</v>
      </c>
      <c r="AO13" s="205" t="s">
        <v>524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524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551</v>
      </c>
      <c r="C14" s="284">
        <v>1</v>
      </c>
      <c r="AO14" s="204" t="s">
        <v>551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551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543</v>
      </c>
      <c r="C15" s="284">
        <v>1</v>
      </c>
      <c r="AO15" s="206" t="s">
        <v>543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543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528</v>
      </c>
      <c r="C16" s="284">
        <v>1</v>
      </c>
      <c r="AO16" s="204" t="s">
        <v>528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528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555</v>
      </c>
      <c r="C17" s="284">
        <v>1</v>
      </c>
      <c r="AO17" s="205" t="s">
        <v>555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555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550</v>
      </c>
      <c r="C18" s="284">
        <v>1</v>
      </c>
      <c r="AO18" s="205" t="s">
        <v>550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550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547</v>
      </c>
      <c r="C19" s="284">
        <v>1</v>
      </c>
      <c r="AO19" s="205" t="s">
        <v>547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547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553</v>
      </c>
      <c r="C20" s="284">
        <v>1</v>
      </c>
      <c r="AO20" s="205" t="s">
        <v>553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553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552</v>
      </c>
      <c r="C21" s="284">
        <v>1</v>
      </c>
      <c r="AO21" s="206" t="s">
        <v>552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552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536</v>
      </c>
      <c r="C22" s="284">
        <v>1</v>
      </c>
      <c r="AO22" s="206" t="s">
        <v>536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536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571</v>
      </c>
      <c r="C23" s="284">
        <v>1</v>
      </c>
      <c r="AO23" s="206" t="s">
        <v>571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571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537</v>
      </c>
      <c r="C24" s="284">
        <v>1</v>
      </c>
      <c r="AO24" s="206" t="s">
        <v>537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537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539</v>
      </c>
      <c r="C25" s="284">
        <v>1</v>
      </c>
      <c r="AO25" s="206" t="s">
        <v>539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539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538</v>
      </c>
      <c r="C26" s="284">
        <v>1</v>
      </c>
      <c r="AO26" s="206" t="s">
        <v>538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538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638</v>
      </c>
      <c r="C27" s="284">
        <v>1</v>
      </c>
      <c r="AO27" s="206" t="s">
        <v>638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638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534</v>
      </c>
      <c r="C28" s="284">
        <v>1</v>
      </c>
      <c r="AO28" s="253" t="s">
        <v>534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534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533</v>
      </c>
      <c r="C29" s="284">
        <v>1</v>
      </c>
      <c r="AO29" s="206" t="s">
        <v>533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533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535</v>
      </c>
      <c r="C30" s="284">
        <v>1</v>
      </c>
      <c r="AO30" s="204" t="s">
        <v>535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535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531</v>
      </c>
      <c r="C31" s="284">
        <v>1</v>
      </c>
      <c r="AO31" s="206" t="s">
        <v>531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531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559</v>
      </c>
      <c r="C32" s="284">
        <v>1</v>
      </c>
      <c r="AO32" s="206" t="s">
        <v>559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559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560</v>
      </c>
      <c r="C33" s="284">
        <v>1</v>
      </c>
      <c r="AO33" s="206" t="s">
        <v>560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560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561</v>
      </c>
      <c r="C34" s="284">
        <v>1</v>
      </c>
      <c r="AO34" s="206" t="s">
        <v>561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561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572</v>
      </c>
      <c r="C35" s="284">
        <v>1</v>
      </c>
      <c r="AO35" s="206" t="s">
        <v>572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572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588</v>
      </c>
      <c r="AO36" s="206"/>
      <c r="AP36" s="376" t="s">
        <v>585</v>
      </c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H36" s="206"/>
      <c r="BI36" s="376" t="s">
        <v>586</v>
      </c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570</v>
      </c>
      <c r="AT39" s="207" t="s">
        <v>549</v>
      </c>
      <c r="AU39" s="207" t="s">
        <v>548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581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582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523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574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556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521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524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551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543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528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555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550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547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553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552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536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571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537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539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538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638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534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533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535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531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559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560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561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572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6" t="s">
        <v>587</v>
      </c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570</v>
      </c>
      <c r="AT78" s="207" t="s">
        <v>549</v>
      </c>
      <c r="AU78" s="207" t="s">
        <v>548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30.150427560669065</v>
      </c>
      <c r="AQ82" s="230">
        <f>'Ore-&gt;PI'!T163</f>
        <v>9.0394269236644703E-2</v>
      </c>
      <c r="AR82" s="230">
        <f>'Ore-&gt;PI'!T236</f>
        <v>7.1715017046188141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4638.4074713301452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581</v>
      </c>
      <c r="AP84" s="230">
        <f>'Ore-&gt;PI'!T59</f>
        <v>2.0694989883749622</v>
      </c>
      <c r="AQ84" s="230">
        <f>'Ore-&gt;PI'!T140</f>
        <v>5.671161105764883E-3</v>
      </c>
      <c r="AR84" s="230">
        <f>'Ore-&gt;PI'!T222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581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582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582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523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523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574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574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556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556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521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521</v>
      </c>
      <c r="BI89" s="244"/>
      <c r="BJ89" s="244">
        <f>'Ore-&gt;PI'!AL63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524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524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551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551</v>
      </c>
      <c r="BI91" s="244"/>
      <c r="BJ91" s="244">
        <f>'Ore-&gt;PI'!AM142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543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543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528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528</v>
      </c>
      <c r="BI93" s="244"/>
      <c r="BJ93" s="244">
        <f>'Ore-&gt;PI'!AM227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555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555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550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550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547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547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553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553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552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552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536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536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571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571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537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537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539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539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538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538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638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638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534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534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533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533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535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535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531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531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559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559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560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560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561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561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572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572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6" t="s">
        <v>421</v>
      </c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25" t="s">
        <v>473</v>
      </c>
      <c r="BI113" s="376" t="s">
        <v>423</v>
      </c>
      <c r="BJ113" s="376"/>
      <c r="BK113" s="25" t="s">
        <v>488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7"/>
      <c r="D115" s="37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6" t="s">
        <v>472</v>
      </c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519</v>
      </c>
      <c r="I116" s="207" t="s">
        <v>581</v>
      </c>
      <c r="J116" s="207" t="s">
        <v>582</v>
      </c>
      <c r="K116" s="207" t="s">
        <v>574</v>
      </c>
      <c r="L116" s="209" t="s">
        <v>556</v>
      </c>
      <c r="M116" s="207" t="s">
        <v>521</v>
      </c>
      <c r="N116" s="209" t="s">
        <v>524</v>
      </c>
      <c r="O116" s="207" t="s">
        <v>551</v>
      </c>
      <c r="P116" s="210" t="s">
        <v>543</v>
      </c>
      <c r="Q116" s="207" t="s">
        <v>528</v>
      </c>
      <c r="R116" s="209" t="s">
        <v>555</v>
      </c>
      <c r="S116" s="209" t="s">
        <v>550</v>
      </c>
      <c r="T116" s="209" t="s">
        <v>547</v>
      </c>
      <c r="U116" s="209" t="s">
        <v>553</v>
      </c>
      <c r="V116" s="210" t="s">
        <v>552</v>
      </c>
      <c r="W116" s="210" t="s">
        <v>536</v>
      </c>
      <c r="X116" s="210" t="s">
        <v>571</v>
      </c>
      <c r="Y116" s="210" t="s">
        <v>537</v>
      </c>
      <c r="Z116" s="210" t="s">
        <v>539</v>
      </c>
      <c r="AA116" s="210" t="s">
        <v>538</v>
      </c>
      <c r="AB116" s="210" t="s">
        <v>638</v>
      </c>
      <c r="AC116" s="232" t="s">
        <v>534</v>
      </c>
      <c r="AD116" s="210" t="s">
        <v>533</v>
      </c>
      <c r="AE116" s="207" t="s">
        <v>535</v>
      </c>
      <c r="AF116" s="210" t="s">
        <v>531</v>
      </c>
      <c r="AG116" s="210" t="s">
        <v>559</v>
      </c>
      <c r="AH116" s="210" t="s">
        <v>560</v>
      </c>
      <c r="AI116" s="210" t="s">
        <v>561</v>
      </c>
      <c r="AJ116" s="210" t="s">
        <v>572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570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549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548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6" t="s">
        <v>422</v>
      </c>
      <c r="D131" s="376"/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  <c r="O131" s="376"/>
      <c r="P131" s="376"/>
      <c r="Q131" s="376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6" t="s">
        <v>470</v>
      </c>
      <c r="D133" s="376"/>
      <c r="E133" s="376"/>
      <c r="F133" s="376"/>
      <c r="G133" s="376"/>
      <c r="H133" s="376"/>
      <c r="I133" s="376"/>
      <c r="J133" s="376"/>
      <c r="K133" s="376"/>
      <c r="L133" s="376"/>
      <c r="M133" s="376"/>
      <c r="N133" s="376"/>
      <c r="O133" s="376"/>
      <c r="P133" s="376"/>
      <c r="Q133" s="376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519</v>
      </c>
      <c r="I144" s="207" t="s">
        <v>581</v>
      </c>
      <c r="J144" s="207" t="s">
        <v>582</v>
      </c>
      <c r="K144" s="207" t="s">
        <v>574</v>
      </c>
      <c r="L144" s="209" t="s">
        <v>556</v>
      </c>
      <c r="M144" s="207" t="s">
        <v>521</v>
      </c>
      <c r="N144" s="209" t="s">
        <v>524</v>
      </c>
      <c r="O144" s="207" t="s">
        <v>551</v>
      </c>
      <c r="P144" s="210" t="s">
        <v>543</v>
      </c>
      <c r="Q144" s="207" t="s">
        <v>528</v>
      </c>
      <c r="R144" s="209" t="s">
        <v>555</v>
      </c>
      <c r="S144" s="209" t="s">
        <v>550</v>
      </c>
      <c r="T144" s="209" t="s">
        <v>547</v>
      </c>
      <c r="U144" s="209" t="s">
        <v>553</v>
      </c>
      <c r="V144" s="210" t="s">
        <v>552</v>
      </c>
      <c r="W144" s="210" t="s">
        <v>536</v>
      </c>
      <c r="X144" s="210" t="s">
        <v>571</v>
      </c>
      <c r="Y144" s="210" t="s">
        <v>537</v>
      </c>
      <c r="Z144" s="210" t="s">
        <v>539</v>
      </c>
      <c r="AA144" s="210" t="s">
        <v>538</v>
      </c>
      <c r="AB144" s="210" t="s">
        <v>638</v>
      </c>
      <c r="AC144" s="232" t="s">
        <v>534</v>
      </c>
      <c r="AD144" s="210" t="s">
        <v>533</v>
      </c>
      <c r="AE144" s="207" t="s">
        <v>535</v>
      </c>
      <c r="AF144" s="210" t="s">
        <v>531</v>
      </c>
      <c r="AG144" s="210" t="s">
        <v>559</v>
      </c>
      <c r="AH144" s="210" t="s">
        <v>560</v>
      </c>
      <c r="AI144" s="210" t="s">
        <v>561</v>
      </c>
      <c r="AJ144" s="210" t="s">
        <v>572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584</v>
      </c>
      <c r="C150" s="244"/>
      <c r="D150" s="244"/>
      <c r="E150" s="244"/>
      <c r="F150" s="244"/>
      <c r="G150" s="244"/>
      <c r="H150" s="244">
        <f>'Ore-&gt;PI'!T222+'Ore-&gt;PI'!T140+'Ore-&gt;PI'!T59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583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522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573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6" t="s">
        <v>57</v>
      </c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6" t="s">
        <v>471</v>
      </c>
      <c r="D156" s="376"/>
      <c r="E156" s="376"/>
      <c r="F156" s="376"/>
      <c r="G156" s="376"/>
      <c r="H156" s="376"/>
      <c r="I156" s="376"/>
      <c r="J156" s="376"/>
      <c r="K156" s="376"/>
      <c r="L156" s="376"/>
      <c r="M156" s="376"/>
      <c r="N156" s="376"/>
      <c r="O156" s="376"/>
      <c r="P156" s="376"/>
      <c r="Q156" s="376"/>
      <c r="R156" s="376"/>
      <c r="S156" s="376"/>
      <c r="T156" s="376"/>
      <c r="U156" s="376"/>
      <c r="V156" s="376"/>
      <c r="W156" s="376"/>
      <c r="X156" s="376"/>
      <c r="Y156" s="376"/>
      <c r="Z156" s="376"/>
      <c r="AA156" s="376"/>
      <c r="AB156" s="376"/>
      <c r="AC156" s="376"/>
      <c r="AD156" s="376"/>
      <c r="AE156" s="376"/>
      <c r="AF156" s="376"/>
      <c r="AG156" s="376"/>
      <c r="AH156" s="376"/>
      <c r="AI156" s="376"/>
      <c r="AJ156" s="376"/>
      <c r="AK156" s="25"/>
      <c r="AL156" s="25"/>
    </row>
    <row r="160" spans="2:42" x14ac:dyDescent="0.2">
      <c r="C160" s="376" t="s">
        <v>468</v>
      </c>
      <c r="D160" s="376"/>
      <c r="E160" s="376"/>
      <c r="F160" s="376"/>
      <c r="G160" s="376"/>
      <c r="H160" s="376"/>
      <c r="I160" s="376"/>
      <c r="J160" s="376"/>
      <c r="K160" s="376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301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301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301">
        <f>C165+E165-G165-I165</f>
        <v>0</v>
      </c>
    </row>
    <row r="166" spans="2:11" x14ac:dyDescent="0.2">
      <c r="B166" s="204" t="s">
        <v>450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301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301">
        <f t="shared" ref="K167:K182" si="43">C167+E167-G167-I167</f>
        <v>0</v>
      </c>
    </row>
    <row r="168" spans="2:11" x14ac:dyDescent="0.2">
      <c r="B168" s="204" t="s">
        <v>519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301">
        <f t="shared" si="43"/>
        <v>4.4408920985006262E-16</v>
      </c>
    </row>
    <row r="169" spans="2:11" x14ac:dyDescent="0.2">
      <c r="B169" s="204" t="s">
        <v>520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301">
        <f t="shared" si="43"/>
        <v>0</v>
      </c>
    </row>
    <row r="170" spans="2:11" x14ac:dyDescent="0.2">
      <c r="B170" s="204" t="s">
        <v>523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301">
        <f t="shared" si="43"/>
        <v>0</v>
      </c>
    </row>
    <row r="171" spans="2:11" x14ac:dyDescent="0.2">
      <c r="B171" s="204" t="s">
        <v>574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301">
        <f t="shared" si="43"/>
        <v>0</v>
      </c>
    </row>
    <row r="172" spans="2:11" ht="16" x14ac:dyDescent="0.2">
      <c r="B172" s="205" t="s">
        <v>556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301">
        <f t="shared" si="43"/>
        <v>0</v>
      </c>
    </row>
    <row r="173" spans="2:11" x14ac:dyDescent="0.2">
      <c r="B173" s="204" t="s">
        <v>521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301">
        <f t="shared" si="43"/>
        <v>0</v>
      </c>
    </row>
    <row r="174" spans="2:11" ht="16" x14ac:dyDescent="0.2">
      <c r="B174" s="205" t="s">
        <v>524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301">
        <f t="shared" si="43"/>
        <v>0</v>
      </c>
    </row>
    <row r="175" spans="2:11" x14ac:dyDescent="0.2">
      <c r="B175" s="204" t="s">
        <v>551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301">
        <f t="shared" si="43"/>
        <v>0</v>
      </c>
    </row>
    <row r="176" spans="2:11" x14ac:dyDescent="0.2">
      <c r="B176" s="206" t="s">
        <v>543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301">
        <f t="shared" si="43"/>
        <v>0</v>
      </c>
    </row>
    <row r="177" spans="2:18" x14ac:dyDescent="0.2">
      <c r="B177" s="204" t="s">
        <v>528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301">
        <f t="shared" si="43"/>
        <v>0</v>
      </c>
    </row>
    <row r="178" spans="2:18" ht="16" x14ac:dyDescent="0.2">
      <c r="B178" s="205" t="s">
        <v>555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301">
        <f t="shared" si="43"/>
        <v>0</v>
      </c>
    </row>
    <row r="179" spans="2:18" ht="16" x14ac:dyDescent="0.2">
      <c r="B179" s="205" t="s">
        <v>550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301">
        <f t="shared" si="43"/>
        <v>0</v>
      </c>
    </row>
    <row r="180" spans="2:18" ht="16" x14ac:dyDescent="0.2">
      <c r="B180" s="205" t="s">
        <v>547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301">
        <f t="shared" si="43"/>
        <v>0</v>
      </c>
    </row>
    <row r="181" spans="2:18" ht="16" x14ac:dyDescent="0.2">
      <c r="B181" s="205" t="s">
        <v>553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301">
        <f t="shared" si="43"/>
        <v>0</v>
      </c>
    </row>
    <row r="182" spans="2:18" x14ac:dyDescent="0.2">
      <c r="B182" s="206" t="s">
        <v>552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301">
        <f t="shared" si="43"/>
        <v>0</v>
      </c>
    </row>
    <row r="183" spans="2:18" x14ac:dyDescent="0.2">
      <c r="B183" s="206" t="s">
        <v>536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301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571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301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537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301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539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301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538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301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638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301">
        <f t="shared" si="45"/>
        <v>0</v>
      </c>
    </row>
    <row r="189" spans="2:18" ht="16" x14ac:dyDescent="0.2">
      <c r="B189" s="253" t="s">
        <v>534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301">
        <f t="shared" si="45"/>
        <v>0</v>
      </c>
    </row>
    <row r="190" spans="2:18" x14ac:dyDescent="0.2">
      <c r="B190" s="206" t="s">
        <v>533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301">
        <f t="shared" ref="K190:K196" si="46">C190+E190-G190-I190</f>
        <v>0</v>
      </c>
      <c r="L190" s="25"/>
    </row>
    <row r="191" spans="2:18" x14ac:dyDescent="0.2">
      <c r="B191" s="204" t="s">
        <v>535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301">
        <f t="shared" si="46"/>
        <v>0</v>
      </c>
    </row>
    <row r="192" spans="2:18" x14ac:dyDescent="0.2">
      <c r="B192" s="206" t="s">
        <v>531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301">
        <f t="shared" si="46"/>
        <v>0</v>
      </c>
    </row>
    <row r="193" spans="2:19" x14ac:dyDescent="0.2">
      <c r="B193" s="206" t="s">
        <v>559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301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560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301">
        <f t="shared" si="46"/>
        <v>0</v>
      </c>
    </row>
    <row r="195" spans="2:19" x14ac:dyDescent="0.2">
      <c r="B195" s="206" t="s">
        <v>561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301">
        <f t="shared" si="46"/>
        <v>0</v>
      </c>
    </row>
    <row r="196" spans="2:19" x14ac:dyDescent="0.2">
      <c r="B196" s="206" t="s">
        <v>572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301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6" t="s">
        <v>479</v>
      </c>
      <c r="D200" s="376"/>
      <c r="E200" s="376"/>
      <c r="F200" s="376"/>
      <c r="G200" s="376"/>
      <c r="L200" s="245"/>
      <c r="M200" s="245"/>
    </row>
    <row r="203" spans="2:19" x14ac:dyDescent="0.2">
      <c r="B203" s="204" t="s">
        <v>418</v>
      </c>
      <c r="C203" s="252">
        <f>AP114</f>
        <v>1043.9873925509492</v>
      </c>
      <c r="E203" s="252">
        <f>AK117</f>
        <v>1043.9873925509492</v>
      </c>
      <c r="G203" s="301">
        <f>C203-E203</f>
        <v>0</v>
      </c>
    </row>
    <row r="204" spans="2:19" x14ac:dyDescent="0.2">
      <c r="B204" s="204" t="s">
        <v>419</v>
      </c>
      <c r="C204" s="252">
        <f>AQ114</f>
        <v>208.65218594918355</v>
      </c>
      <c r="E204" s="252">
        <f t="shared" ref="E204:E216" si="47">AK118</f>
        <v>208.65218594918355</v>
      </c>
      <c r="G204" s="301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294.54780251398768</v>
      </c>
      <c r="E205" s="252">
        <f t="shared" si="47"/>
        <v>294.54780251398768</v>
      </c>
      <c r="G205" s="301">
        <f t="shared" si="48"/>
        <v>0</v>
      </c>
    </row>
    <row r="206" spans="2:19" x14ac:dyDescent="0.2">
      <c r="B206" s="204" t="s">
        <v>570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301">
        <f t="shared" si="48"/>
        <v>0</v>
      </c>
    </row>
    <row r="207" spans="2:19" x14ac:dyDescent="0.2">
      <c r="B207" s="204" t="s">
        <v>549</v>
      </c>
      <c r="C207" s="252">
        <f>AT114</f>
        <v>208.55560337725498</v>
      </c>
      <c r="E207" s="252">
        <f t="shared" si="47"/>
        <v>208.55560337725498</v>
      </c>
      <c r="G207" s="301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548</v>
      </c>
      <c r="C208" s="252">
        <f>AU114</f>
        <v>286.88405520213911</v>
      </c>
      <c r="E208" s="252">
        <f t="shared" si="47"/>
        <v>286.88405520213911</v>
      </c>
      <c r="G208" s="301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301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301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301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301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301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301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301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301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6" t="s">
        <v>423</v>
      </c>
      <c r="AD50" s="376"/>
      <c r="AE50" s="37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6" t="s">
        <v>421</v>
      </c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AD53" s="25"/>
      <c r="AE53" s="25"/>
      <c r="AF53" s="25"/>
      <c r="AG53" s="25"/>
      <c r="AH53" s="25"/>
      <c r="AI53" s="25"/>
    </row>
    <row r="58" spans="2:35" x14ac:dyDescent="0.2">
      <c r="C58" s="377"/>
      <c r="D58" s="37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6" t="s">
        <v>422</v>
      </c>
      <c r="D73" s="376"/>
      <c r="E73" s="376"/>
      <c r="F73" s="376"/>
      <c r="G73" s="376"/>
      <c r="H73" s="376"/>
      <c r="I73" s="376"/>
      <c r="J73" s="37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6" t="s">
        <v>57</v>
      </c>
      <c r="D92" s="376"/>
      <c r="E92" s="376"/>
      <c r="F92" s="376"/>
      <c r="G92" s="37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6" t="s">
        <v>318</v>
      </c>
      <c r="E2" s="306"/>
      <c r="F2" s="306"/>
      <c r="G2" s="306"/>
      <c r="V2" s="166"/>
    </row>
    <row r="3" spans="2:22" x14ac:dyDescent="0.2">
      <c r="B3" s="3"/>
      <c r="C3" s="3"/>
      <c r="D3" s="401" t="s">
        <v>83</v>
      </c>
      <c r="E3" s="401"/>
      <c r="F3" s="401"/>
      <c r="G3" s="401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1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8" t="s">
        <v>356</v>
      </c>
      <c r="S4" s="378"/>
      <c r="T4" s="378"/>
      <c r="U4" s="378"/>
      <c r="V4" s="166"/>
    </row>
    <row r="5" spans="2:22" ht="14.5" customHeight="1" x14ac:dyDescent="0.2">
      <c r="B5" s="381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8"/>
      <c r="S5" s="378"/>
      <c r="T5" s="378"/>
      <c r="U5" s="378"/>
      <c r="V5" s="166"/>
    </row>
    <row r="6" spans="2:22" x14ac:dyDescent="0.2">
      <c r="B6" s="381"/>
      <c r="C6" s="149" t="s">
        <v>643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8"/>
      <c r="S6" s="378"/>
      <c r="T6" s="378"/>
      <c r="U6" s="378"/>
      <c r="V6" s="166"/>
    </row>
    <row r="7" spans="2:22" ht="16" thickBot="1" x14ac:dyDescent="0.25">
      <c r="B7" s="381"/>
      <c r="C7" s="148" t="s">
        <v>409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9"/>
      <c r="S7" s="379"/>
      <c r="T7" s="379"/>
      <c r="U7" s="379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8" t="s">
        <v>355</v>
      </c>
      <c r="Q8" s="394"/>
      <c r="R8" s="396" t="s">
        <v>342</v>
      </c>
      <c r="S8" s="397"/>
      <c r="T8" s="382" t="s">
        <v>409</v>
      </c>
      <c r="U8" s="383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8"/>
      <c r="Q9" s="394"/>
      <c r="R9" s="398"/>
      <c r="S9" s="399"/>
      <c r="T9" s="384"/>
      <c r="U9" s="385"/>
      <c r="V9" s="166"/>
    </row>
    <row r="10" spans="2:22" x14ac:dyDescent="0.2">
      <c r="L10" s="3"/>
      <c r="M10" s="3"/>
      <c r="O10" s="166"/>
      <c r="P10" s="378"/>
      <c r="Q10" s="394"/>
      <c r="R10" s="398"/>
      <c r="S10" s="399"/>
      <c r="T10" s="384"/>
      <c r="U10" s="385"/>
      <c r="V10" s="166"/>
    </row>
    <row r="11" spans="2:22" x14ac:dyDescent="0.2">
      <c r="B11" s="3"/>
      <c r="C11" s="3"/>
      <c r="D11" s="306" t="s">
        <v>318</v>
      </c>
      <c r="E11" s="306"/>
      <c r="F11" s="306"/>
      <c r="G11" s="306"/>
      <c r="H11" s="306"/>
      <c r="L11" s="3"/>
      <c r="M11" s="3"/>
      <c r="O11" s="166"/>
      <c r="P11" s="378"/>
      <c r="Q11" s="394"/>
      <c r="R11" s="398"/>
      <c r="S11" s="399"/>
      <c r="T11" s="384"/>
      <c r="U11" s="385"/>
      <c r="V11" s="166"/>
    </row>
    <row r="12" spans="2:22" x14ac:dyDescent="0.2">
      <c r="B12" s="3"/>
      <c r="C12" s="3"/>
      <c r="D12" s="401" t="s">
        <v>83</v>
      </c>
      <c r="E12" s="401"/>
      <c r="F12" s="401"/>
      <c r="G12" s="401"/>
      <c r="H12" s="401"/>
      <c r="L12" s="3"/>
      <c r="M12" s="3"/>
      <c r="O12" s="166"/>
      <c r="P12" s="395" t="s">
        <v>408</v>
      </c>
      <c r="Q12" s="394"/>
      <c r="R12" s="390" t="s">
        <v>317</v>
      </c>
      <c r="S12" s="391"/>
      <c r="T12" s="386" t="s">
        <v>643</v>
      </c>
      <c r="U12" s="387"/>
      <c r="V12" s="166"/>
    </row>
    <row r="13" spans="2:22" ht="14.5" customHeight="1" x14ac:dyDescent="0.2">
      <c r="B13" s="380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8"/>
      <c r="Q13" s="394"/>
      <c r="R13" s="390"/>
      <c r="S13" s="391"/>
      <c r="T13" s="386"/>
      <c r="U13" s="387"/>
      <c r="V13" s="166"/>
    </row>
    <row r="14" spans="2:22" x14ac:dyDescent="0.2">
      <c r="B14" s="380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8"/>
      <c r="Q14" s="394"/>
      <c r="R14" s="390"/>
      <c r="S14" s="391"/>
      <c r="T14" s="386"/>
      <c r="U14" s="387"/>
      <c r="V14" s="166"/>
    </row>
    <row r="15" spans="2:22" ht="16" thickBot="1" x14ac:dyDescent="0.25">
      <c r="B15" s="380"/>
      <c r="C15" s="149" t="s">
        <v>643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8"/>
      <c r="Q15" s="394"/>
      <c r="R15" s="392"/>
      <c r="S15" s="393"/>
      <c r="T15" s="388"/>
      <c r="U15" s="389"/>
      <c r="V15" s="166"/>
    </row>
    <row r="16" spans="2:22" x14ac:dyDescent="0.2">
      <c r="B16" s="380"/>
      <c r="C16" s="148" t="s">
        <v>409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6" t="s">
        <v>318</v>
      </c>
      <c r="E19" s="306"/>
      <c r="F19" s="306"/>
      <c r="G19" s="306"/>
      <c r="L19" s="3"/>
      <c r="M19" s="3"/>
    </row>
    <row r="20" spans="2:13" x14ac:dyDescent="0.2">
      <c r="B20" s="3"/>
      <c r="C20" s="3"/>
      <c r="D20" s="401" t="s">
        <v>83</v>
      </c>
      <c r="E20" s="401"/>
      <c r="F20" s="401"/>
      <c r="G20" s="401"/>
      <c r="K20" s="3"/>
      <c r="L20" s="3"/>
    </row>
    <row r="21" spans="2:13" x14ac:dyDescent="0.2">
      <c r="B21" s="402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2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2"/>
      <c r="C23" s="149" t="s">
        <v>643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2"/>
      <c r="C24" s="148" t="s">
        <v>409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00" t="s">
        <v>405</v>
      </c>
      <c r="D30" s="195" t="s">
        <v>81</v>
      </c>
      <c r="E30" s="195" t="s">
        <v>353</v>
      </c>
    </row>
    <row r="31" spans="2:13" x14ac:dyDescent="0.2">
      <c r="B31" s="400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400"/>
      <c r="C32" s="149" t="s">
        <v>643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00"/>
      <c r="C33" s="148" t="s">
        <v>409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642</v>
      </c>
    </row>
    <row r="38" spans="2:5" ht="18" x14ac:dyDescent="0.25">
      <c r="B38" s="300" t="s">
        <v>641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3" t="s">
        <v>357</v>
      </c>
      <c r="F3" s="403"/>
      <c r="G3" s="403"/>
      <c r="H3"/>
      <c r="I3"/>
      <c r="L3" s="376" t="s">
        <v>449</v>
      </c>
      <c r="M3" s="376"/>
      <c r="N3" s="376"/>
      <c r="P3"/>
      <c r="T3" s="171" t="s">
        <v>448</v>
      </c>
    </row>
    <row r="4" spans="3:20" ht="16" thickBot="1" x14ac:dyDescent="0.25">
      <c r="E4" s="401" t="s">
        <v>11</v>
      </c>
      <c r="F4" s="401"/>
      <c r="G4" s="401"/>
      <c r="H4"/>
      <c r="I4"/>
      <c r="L4" s="401" t="s">
        <v>48</v>
      </c>
      <c r="M4" s="401"/>
      <c r="N4" s="401"/>
      <c r="P4"/>
      <c r="T4" s="3" t="s">
        <v>48</v>
      </c>
    </row>
    <row r="5" spans="3:20" ht="14.5" customHeight="1" thickBot="1" x14ac:dyDescent="0.25">
      <c r="C5" s="381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-51718103.214190766</v>
      </c>
    </row>
    <row r="6" spans="3:20" x14ac:dyDescent="0.2">
      <c r="C6" s="381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1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6" t="s">
        <v>449</v>
      </c>
      <c r="M9" s="376"/>
      <c r="N9" s="376"/>
      <c r="O9" s="376"/>
    </row>
    <row r="10" spans="3:20" x14ac:dyDescent="0.2">
      <c r="E10" s="403" t="s">
        <v>357</v>
      </c>
      <c r="F10" s="403"/>
      <c r="L10" s="401" t="s">
        <v>48</v>
      </c>
      <c r="M10" s="401"/>
      <c r="N10" s="401"/>
      <c r="O10" s="401"/>
    </row>
    <row r="11" spans="3:20" x14ac:dyDescent="0.2">
      <c r="E11" s="401" t="s">
        <v>11</v>
      </c>
      <c r="F11" s="401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0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0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0"/>
      <c r="D14" s="155" t="s">
        <v>23</v>
      </c>
      <c r="E14" s="3" t="s">
        <v>99</v>
      </c>
      <c r="F14" s="3">
        <f>Kiln_CO2Waste</f>
        <v>478.57864826468187</v>
      </c>
      <c r="L14" s="376" t="s">
        <v>449</v>
      </c>
      <c r="M14" s="376"/>
      <c r="N14" s="376"/>
    </row>
    <row r="15" spans="3:20" x14ac:dyDescent="0.2">
      <c r="C15" s="380"/>
      <c r="D15" s="3" t="s">
        <v>19</v>
      </c>
      <c r="E15" s="17">
        <f>SUM(E13:E14)</f>
        <v>0</v>
      </c>
      <c r="F15" s="17">
        <f>SUM(F13:F14)</f>
        <v>483.56340080977998</v>
      </c>
      <c r="L15" s="401" t="s">
        <v>48</v>
      </c>
      <c r="M15" s="401"/>
      <c r="N15" s="401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6" t="s">
        <v>449</v>
      </c>
      <c r="M19" s="376"/>
    </row>
    <row r="20" spans="3:16" x14ac:dyDescent="0.2">
      <c r="C20" s="402" t="s">
        <v>354</v>
      </c>
      <c r="E20" s="156" t="s">
        <v>351</v>
      </c>
      <c r="L20" s="401" t="s">
        <v>48</v>
      </c>
      <c r="M20" s="401"/>
    </row>
    <row r="21" spans="3:16" ht="14.5" customHeight="1" x14ac:dyDescent="0.2">
      <c r="C21" s="402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2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2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5" t="s">
        <v>70</v>
      </c>
      <c r="I2" s="305"/>
      <c r="J2" s="305"/>
      <c r="K2" s="305"/>
      <c r="L2" s="305"/>
      <c r="M2" s="305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5" t="s">
        <v>74</v>
      </c>
      <c r="I3" s="305"/>
      <c r="J3" s="305"/>
      <c r="K3" s="13"/>
      <c r="L3" s="309" t="s">
        <v>75</v>
      </c>
      <c r="M3" s="309"/>
      <c r="N3" s="7"/>
      <c r="AN3" s="411" t="s">
        <v>78</v>
      </c>
      <c r="AO3" s="411"/>
      <c r="AP3" s="411"/>
      <c r="AQ3" s="411"/>
      <c r="AR3" s="411"/>
      <c r="AS3" s="411"/>
      <c r="AT3" s="411"/>
      <c r="AU3" s="411"/>
      <c r="AV3" s="411"/>
      <c r="AW3" s="411"/>
      <c r="AX3" s="411"/>
      <c r="AY3" s="411"/>
      <c r="AZ3" s="411"/>
      <c r="BA3" s="411"/>
      <c r="BB3" s="411"/>
      <c r="BC3" s="411"/>
      <c r="BD3" s="411"/>
      <c r="BE3" s="411"/>
      <c r="BF3" s="411"/>
      <c r="BG3" s="411"/>
      <c r="BH3" s="411"/>
      <c r="BI3" s="411"/>
      <c r="BJ3" s="411"/>
      <c r="BK3" s="411"/>
    </row>
    <row r="4" spans="3:69" ht="17" x14ac:dyDescent="0.25">
      <c r="C4" s="13" t="s">
        <v>11</v>
      </c>
      <c r="D4" s="13" t="s">
        <v>76</v>
      </c>
      <c r="E4" s="13"/>
      <c r="F4" s="13"/>
      <c r="AN4" s="411"/>
      <c r="AO4" s="411"/>
      <c r="AP4" s="411"/>
      <c r="AQ4" s="411"/>
      <c r="AR4" s="411"/>
      <c r="AS4" s="411"/>
      <c r="AT4" s="411"/>
      <c r="AU4" s="411"/>
      <c r="AV4" s="411"/>
      <c r="AW4" s="411"/>
      <c r="AX4" s="411"/>
      <c r="AY4" s="411"/>
      <c r="AZ4" s="411"/>
      <c r="BA4" s="411"/>
      <c r="BB4" s="411"/>
      <c r="BC4" s="411"/>
      <c r="BD4" s="411"/>
      <c r="BE4" s="411"/>
      <c r="BF4" s="411"/>
      <c r="BG4" s="411"/>
      <c r="BH4" s="411"/>
      <c r="BI4" s="411"/>
      <c r="BJ4" s="411"/>
      <c r="BK4" s="411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5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5"/>
      <c r="J5" s="305"/>
      <c r="K5" s="305"/>
      <c r="L5" s="305"/>
      <c r="M5" s="305"/>
      <c r="AN5" s="411"/>
      <c r="AO5" s="411"/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1"/>
      <c r="BI5" s="411"/>
      <c r="BJ5" s="411"/>
      <c r="BK5" s="411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0">
        <v>6</v>
      </c>
      <c r="BJ10" s="410"/>
      <c r="BK10" s="410"/>
      <c r="BL10" s="410"/>
      <c r="BM10" s="410"/>
      <c r="BN10" s="410"/>
      <c r="BO10" s="410"/>
      <c r="BP10" s="410"/>
      <c r="BQ10" s="410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10"/>
      <c r="BJ11" s="410"/>
      <c r="BK11" s="410"/>
      <c r="BL11" s="410"/>
      <c r="BM11" s="410"/>
      <c r="BN11" s="410"/>
      <c r="BO11" s="410"/>
      <c r="BP11" s="410"/>
      <c r="BQ11" s="410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7" t="s">
        <v>113</v>
      </c>
    </row>
    <row r="18" spans="3:87" ht="18.5" customHeight="1" x14ac:dyDescent="0.25">
      <c r="BI18" s="407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7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7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7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7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5">
        <v>1</v>
      </c>
      <c r="D28" s="405"/>
      <c r="E28" s="405"/>
      <c r="F28" s="405"/>
      <c r="G28" s="405"/>
      <c r="H28" s="405"/>
      <c r="I28" s="405"/>
      <c r="J28" s="405"/>
      <c r="K28" s="405"/>
      <c r="L28" s="405"/>
      <c r="M28" s="405"/>
      <c r="N28" s="405"/>
      <c r="O28" s="405"/>
      <c r="P28" s="1"/>
      <c r="Q28" s="1"/>
      <c r="R28" s="1"/>
      <c r="S28" s="1"/>
      <c r="T28" s="1"/>
      <c r="U28" s="1"/>
      <c r="V28" s="1"/>
      <c r="W28" s="404">
        <v>3</v>
      </c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5">
        <v>4</v>
      </c>
      <c r="AU28" s="405"/>
      <c r="AV28" s="405"/>
      <c r="AW28" s="405"/>
      <c r="AX28" s="405"/>
      <c r="AY28" s="405"/>
      <c r="AZ28" s="405"/>
      <c r="BA28" s="405"/>
      <c r="BB28" s="405"/>
      <c r="BC28" s="405"/>
      <c r="BD28" s="405"/>
      <c r="BE28" s="405"/>
      <c r="BF28" s="405"/>
      <c r="BG28" s="405"/>
      <c r="BH28" s="405"/>
      <c r="BI28" s="405"/>
      <c r="BT28" s="405">
        <v>5</v>
      </c>
      <c r="BU28" s="405"/>
      <c r="BV28" s="405"/>
      <c r="BW28" s="405"/>
      <c r="BX28" s="405"/>
      <c r="BY28" s="405"/>
      <c r="BZ28" s="405"/>
      <c r="CA28" s="405"/>
      <c r="CB28" s="405"/>
      <c r="CC28" s="405"/>
      <c r="CD28" s="405"/>
      <c r="CE28" s="405"/>
      <c r="CF28" s="405"/>
      <c r="CG28" s="405"/>
      <c r="CH28" s="405"/>
      <c r="CI28" s="405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9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9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9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9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8" t="s">
        <v>80</v>
      </c>
      <c r="AK37" s="408"/>
      <c r="AL37" s="408"/>
      <c r="AM37" s="408"/>
      <c r="AN37" s="408"/>
      <c r="AO37" s="408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8" t="s">
        <v>81</v>
      </c>
      <c r="S38" s="408"/>
      <c r="T38" s="408"/>
      <c r="U38" s="408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8"/>
      <c r="AK38" s="408"/>
      <c r="AL38" s="408"/>
      <c r="AM38" s="408"/>
      <c r="AN38" s="408"/>
      <c r="AO38" s="408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8" t="s">
        <v>98</v>
      </c>
      <c r="BM38" s="408"/>
      <c r="BN38" s="408"/>
      <c r="BO38" s="408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8"/>
      <c r="S39" s="408"/>
      <c r="T39" s="408"/>
      <c r="U39" s="408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8"/>
      <c r="AK39" s="408"/>
      <c r="AL39" s="408"/>
      <c r="AM39" s="408"/>
      <c r="AN39" s="408"/>
      <c r="AO39" s="408"/>
      <c r="AP39" s="51"/>
      <c r="AQ39" s="51"/>
      <c r="AR39" s="1"/>
      <c r="AS39" s="1"/>
      <c r="AT39" s="1"/>
      <c r="AU39" s="1"/>
      <c r="AV39" s="1"/>
      <c r="AW39" s="1"/>
      <c r="AX39" s="1"/>
      <c r="BL39" s="408"/>
      <c r="BM39" s="408"/>
      <c r="BN39" s="408"/>
      <c r="BO39" s="408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8"/>
      <c r="S40" s="408"/>
      <c r="T40" s="408"/>
      <c r="U40" s="408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8"/>
      <c r="AK40" s="408"/>
      <c r="AL40" s="408"/>
      <c r="AM40" s="408"/>
      <c r="AN40" s="408"/>
      <c r="AO40" s="408"/>
      <c r="AP40" s="51"/>
      <c r="AQ40" s="51"/>
      <c r="AR40" s="1"/>
      <c r="AS40" s="56"/>
      <c r="AT40" s="1"/>
      <c r="AU40" s="1"/>
      <c r="AV40" s="1"/>
      <c r="AW40" s="1"/>
      <c r="AX40" s="1"/>
      <c r="BL40" s="408"/>
      <c r="BM40" s="408"/>
      <c r="BN40" s="408"/>
      <c r="BO40" s="408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8"/>
      <c r="AK41" s="408"/>
      <c r="AL41" s="408"/>
      <c r="AM41" s="408"/>
      <c r="AN41" s="408"/>
      <c r="AO41" s="408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4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8"/>
      <c r="AK42" s="408"/>
      <c r="AL42" s="408"/>
      <c r="AM42" s="408"/>
      <c r="AN42" s="408"/>
      <c r="AO42" s="408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3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3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6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6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6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6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6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4">
        <v>2</v>
      </c>
      <c r="D57" s="404"/>
      <c r="E57" s="404"/>
      <c r="F57" s="404"/>
      <c r="G57" s="404"/>
      <c r="H57" s="404"/>
      <c r="I57" s="404"/>
      <c r="J57" s="404"/>
      <c r="K57" s="404"/>
      <c r="L57" s="404"/>
      <c r="M57" s="404"/>
      <c r="N57" s="404"/>
      <c r="O57" s="404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6" t="s">
        <v>318</v>
      </c>
      <c r="E4" s="306"/>
      <c r="F4" s="306"/>
      <c r="G4" s="306"/>
      <c r="H4" s="166"/>
      <c r="I4" s="166"/>
      <c r="P4" s="166"/>
      <c r="Q4" s="166"/>
      <c r="R4" s="166"/>
      <c r="S4" s="378" t="s">
        <v>356</v>
      </c>
      <c r="T4" s="378"/>
      <c r="U4" s="378"/>
      <c r="V4" s="378"/>
      <c r="W4" s="166"/>
    </row>
    <row r="5" spans="1:23" x14ac:dyDescent="0.2">
      <c r="A5" s="166"/>
      <c r="B5" s="168"/>
      <c r="C5" s="168"/>
      <c r="D5" s="401" t="s">
        <v>83</v>
      </c>
      <c r="E5" s="401"/>
      <c r="F5" s="401"/>
      <c r="G5" s="401"/>
      <c r="H5" s="166"/>
      <c r="I5" s="166"/>
      <c r="P5" s="166"/>
      <c r="Q5" s="166"/>
      <c r="R5" s="166"/>
      <c r="S5" s="378"/>
      <c r="T5" s="378"/>
      <c r="U5" s="378"/>
      <c r="V5" s="378"/>
      <c r="W5" s="166"/>
    </row>
    <row r="6" spans="1:23" ht="15" customHeight="1" x14ac:dyDescent="0.2">
      <c r="A6" s="166"/>
      <c r="B6" s="381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8"/>
      <c r="T6" s="378"/>
      <c r="U6" s="378"/>
      <c r="V6" s="378"/>
      <c r="W6" s="166"/>
    </row>
    <row r="7" spans="1:23" ht="16" thickBot="1" x14ac:dyDescent="0.25">
      <c r="A7" s="166"/>
      <c r="B7" s="381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9"/>
      <c r="T7" s="379"/>
      <c r="U7" s="379"/>
      <c r="V7" s="379"/>
      <c r="W7" s="166"/>
    </row>
    <row r="8" spans="1:23" x14ac:dyDescent="0.2">
      <c r="A8" s="166"/>
      <c r="B8" s="381"/>
      <c r="C8" s="149" t="s">
        <v>343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8" t="s">
        <v>355</v>
      </c>
      <c r="R8" s="394"/>
      <c r="S8" s="396" t="s">
        <v>342</v>
      </c>
      <c r="T8" s="397"/>
      <c r="U8" s="382" t="s">
        <v>409</v>
      </c>
      <c r="V8" s="383"/>
      <c r="W8" s="166"/>
    </row>
    <row r="9" spans="1:23" x14ac:dyDescent="0.2">
      <c r="A9" s="166"/>
      <c r="B9" s="381"/>
      <c r="C9" s="148" t="s">
        <v>409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8"/>
      <c r="R9" s="394"/>
      <c r="S9" s="398"/>
      <c r="T9" s="399"/>
      <c r="U9" s="384"/>
      <c r="V9" s="385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8"/>
      <c r="R10" s="394"/>
      <c r="S10" s="398"/>
      <c r="T10" s="399"/>
      <c r="U10" s="384"/>
      <c r="V10" s="385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8"/>
      <c r="R11" s="394"/>
      <c r="S11" s="398"/>
      <c r="T11" s="399"/>
      <c r="U11" s="384"/>
      <c r="V11" s="385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2" t="s">
        <v>408</v>
      </c>
      <c r="R12" s="394"/>
      <c r="S12" s="390" t="s">
        <v>317</v>
      </c>
      <c r="T12" s="391"/>
      <c r="U12" s="386" t="s">
        <v>343</v>
      </c>
      <c r="V12" s="387"/>
      <c r="W12" s="166"/>
    </row>
    <row r="13" spans="1:23" x14ac:dyDescent="0.2">
      <c r="A13" s="166"/>
      <c r="B13" s="168"/>
      <c r="C13" s="168"/>
      <c r="D13" s="306" t="s">
        <v>318</v>
      </c>
      <c r="E13" s="306"/>
      <c r="F13" s="306"/>
      <c r="G13" s="306"/>
      <c r="H13" s="306"/>
      <c r="I13" s="166"/>
      <c r="P13" s="166"/>
      <c r="Q13" s="378"/>
      <c r="R13" s="394"/>
      <c r="S13" s="390"/>
      <c r="T13" s="391"/>
      <c r="U13" s="386"/>
      <c r="V13" s="387"/>
      <c r="W13" s="166"/>
    </row>
    <row r="14" spans="1:23" ht="15" customHeight="1" x14ac:dyDescent="0.2">
      <c r="A14" s="166"/>
      <c r="B14" s="168"/>
      <c r="C14" s="168"/>
      <c r="D14" s="401" t="s">
        <v>83</v>
      </c>
      <c r="E14" s="401"/>
      <c r="F14" s="401"/>
      <c r="G14" s="401"/>
      <c r="H14" s="401"/>
      <c r="I14" s="166"/>
      <c r="P14" s="166"/>
      <c r="Q14" s="378"/>
      <c r="R14" s="394"/>
      <c r="S14" s="390"/>
      <c r="T14" s="391"/>
      <c r="U14" s="386"/>
      <c r="V14" s="387"/>
      <c r="W14" s="166"/>
    </row>
    <row r="15" spans="1:23" ht="16" thickBot="1" x14ac:dyDescent="0.25">
      <c r="A15" s="166"/>
      <c r="B15" s="380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8"/>
      <c r="R15" s="394"/>
      <c r="S15" s="392"/>
      <c r="T15" s="393"/>
      <c r="U15" s="388"/>
      <c r="V15" s="389"/>
      <c r="W15" s="166"/>
    </row>
    <row r="16" spans="1:23" x14ac:dyDescent="0.2">
      <c r="A16" s="166"/>
      <c r="B16" s="380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0"/>
      <c r="C17" s="149" t="s">
        <v>343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0"/>
      <c r="C18" s="148" t="s">
        <v>409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6" t="s">
        <v>318</v>
      </c>
      <c r="E21" s="306"/>
      <c r="F21" s="306"/>
      <c r="G21" s="306"/>
      <c r="H21" s="166"/>
      <c r="I21" s="166"/>
    </row>
    <row r="22" spans="1:12" ht="15" customHeight="1" x14ac:dyDescent="0.2">
      <c r="A22" s="166"/>
      <c r="B22" s="168"/>
      <c r="C22" s="168"/>
      <c r="D22" s="401" t="s">
        <v>83</v>
      </c>
      <c r="E22" s="401"/>
      <c r="F22" s="401"/>
      <c r="G22" s="401"/>
      <c r="H22" s="166"/>
      <c r="I22" s="166"/>
    </row>
    <row r="23" spans="1:12" x14ac:dyDescent="0.2">
      <c r="A23" s="166"/>
      <c r="B23" s="402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2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2"/>
      <c r="C25" s="149" t="s">
        <v>343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2"/>
      <c r="C26" s="148" t="s">
        <v>409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00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400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00"/>
      <c r="C34" s="149" t="s">
        <v>343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00"/>
      <c r="C35" s="148" t="s">
        <v>409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2025-07-10T17:33:36Z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