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BD94F22C-CF23-4F85-B934-FBECEBE3CAA4}" xr6:coauthVersionLast="47" xr6:coauthVersionMax="47" xr10:uidLastSave="{00000000-0000-0000-0000-000000000000}"/>
  <bookViews>
    <workbookView xWindow="11976" yWindow="1200" windowWidth="11064" windowHeight="9372" firstSheet="8" activeTab="11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" i="25" l="1"/>
  <c r="EL134" i="9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EP131" i="9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<sst xmlns="http://schemas.openxmlformats.org/spreadsheetml/2006/main" count="5827" uniqueCount="625">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</sst>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45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48" fillId="0" borderId="13" xfId="0" applyFont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2" fillId="23" borderId="0" xfId="0" applyFont="1" applyFill="1" applyAlignment="1">
      <alignment horizontal="center" vertical="center"/>
    </xf>
    <xf numFmtId="0" fontId="44" fillId="0" borderId="0" xfId="0" applyFont="1" applyAlignment="1">
      <alignment horizontal="center" vertical="center" textRotation="90"/>
    </xf>
    <xf numFmtId="0" fontId="44" fillId="0" borderId="0" xfId="0" applyFont="1" applyAlignment="1">
      <alignment horizontal="center" vertical="center" wrapText="1"/>
    </xf>
    <xf numFmtId="0" fontId="14" fillId="9" borderId="1" xfId="0" applyFont="1" applyFill="1" applyBorder="1" applyAlignment="1">
      <alignment horizontal="center"/>
    </xf>
    <xf numFmtId="0" fontId="62" fillId="23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32" fillId="10" borderId="29" xfId="0" applyFont="1" applyFill="1" applyBorder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3" fillId="14" borderId="0" xfId="0" applyFont="1" applyFill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32" fillId="12" borderId="29" xfId="0" applyFont="1" applyFill="1" applyBorder="1" applyAlignment="1">
      <alignment horizontal="center" vertical="center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21" fillId="18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8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defaultColWidth="8.77734375" defaultRowHeight="14.4"/>
  <cols>
    <col min="1" max="1" width="8.77734375" style="3"/>
    <col min="2" max="2" width="9.77734375" style="3" customWidth="1"/>
    <col min="3" max="20" width="8.77734375" style="3"/>
    <col min="21" max="21" width="9.77734375" style="3" bestFit="1" customWidth="1"/>
    <col min="22" max="22" width="10.44140625" style="3" bestFit="1" customWidth="1"/>
    <col min="23" max="23" width="12.109375" style="3" bestFit="1" customWidth="1"/>
    <col min="24" max="24" width="11.44140625" style="3" bestFit="1" customWidth="1"/>
    <col min="25" max="25" width="11.44140625" style="3" customWidth="1"/>
    <col min="26" max="26" width="15.77734375" style="3" bestFit="1" customWidth="1"/>
    <col min="27" max="27" width="11.44140625" style="3" bestFit="1" customWidth="1"/>
    <col min="28" max="28" width="11.44140625" style="3" customWidth="1"/>
    <col min="29" max="34" width="8.77734375" style="3"/>
    <col min="35" max="35" width="12.33203125" style="3" bestFit="1" customWidth="1"/>
    <col min="36" max="16384" width="8.77734375" style="3"/>
  </cols>
  <sheetData>
    <row r="2" spans="2:41" ht="15.6">
      <c r="R2" s="346" t="s">
        <v>95</v>
      </c>
      <c r="S2" s="347"/>
      <c r="T2" s="346" t="s">
        <v>100</v>
      </c>
      <c r="U2" s="347"/>
      <c r="W2" s="346" t="s">
        <v>164</v>
      </c>
      <c r="X2" s="350"/>
      <c r="Y2" s="347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8" t="s">
        <v>305</v>
      </c>
      <c r="AJ2" s="348"/>
    </row>
    <row r="3" spans="2:41" ht="19.2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9.2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6.2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604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9.2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9" t="s">
        <v>548</v>
      </c>
      <c r="AJ6" s="349"/>
    </row>
    <row r="7" spans="2:41" ht="19.2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604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9.2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604</v>
      </c>
      <c r="J8" s="9" t="s">
        <v>65</v>
      </c>
      <c r="K8" s="9">
        <v>236.1</v>
      </c>
      <c r="Q8" s="45"/>
      <c r="AI8" s="9" t="s">
        <v>271</v>
      </c>
    </row>
    <row r="9" spans="2:41" ht="19.2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604</v>
      </c>
      <c r="J9" s="15" t="s">
        <v>23</v>
      </c>
      <c r="K9" s="9">
        <v>4</v>
      </c>
      <c r="Q9" s="6"/>
      <c r="AI9" s="9">
        <v>33412</v>
      </c>
    </row>
    <row r="10" spans="2:41" ht="19.2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604</v>
      </c>
      <c r="J10" s="9" t="s">
        <v>29</v>
      </c>
      <c r="K10" s="9">
        <v>854.2</v>
      </c>
    </row>
    <row r="11" spans="2:41" ht="19.2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604</v>
      </c>
      <c r="J11" s="15" t="s">
        <v>66</v>
      </c>
      <c r="K11" s="9">
        <v>0.7</v>
      </c>
    </row>
    <row r="12" spans="2:41" ht="19.2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604</v>
      </c>
      <c r="J12" s="9" t="s">
        <v>239</v>
      </c>
      <c r="K12" s="9">
        <v>794.3</v>
      </c>
    </row>
    <row r="13" spans="2:41" ht="19.2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604</v>
      </c>
      <c r="J13" s="69" t="s">
        <v>242</v>
      </c>
      <c r="K13" s="9">
        <v>124.2</v>
      </c>
    </row>
    <row r="14" spans="2:41" ht="19.2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604</v>
      </c>
      <c r="J14" s="9" t="s">
        <v>240</v>
      </c>
      <c r="K14" s="9">
        <v>629.6</v>
      </c>
    </row>
    <row r="15" spans="2:41" ht="15.6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604</v>
      </c>
      <c r="J15" s="9" t="s">
        <v>241</v>
      </c>
      <c r="K15" s="9">
        <v>336.6</v>
      </c>
    </row>
    <row r="16" spans="2:41" ht="15.6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604</v>
      </c>
      <c r="J16" s="9" t="s">
        <v>133</v>
      </c>
      <c r="K16" s="9">
        <v>607.29999999999995</v>
      </c>
    </row>
    <row r="17" spans="2:11" ht="16.2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604</v>
      </c>
      <c r="J17" s="9" t="s">
        <v>246</v>
      </c>
      <c r="K17" s="9">
        <v>366.5</v>
      </c>
    </row>
    <row r="18" spans="2:11" ht="19.2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604</v>
      </c>
      <c r="J18" s="9" t="s">
        <v>134</v>
      </c>
      <c r="K18" s="9">
        <v>861.6</v>
      </c>
    </row>
    <row r="19" spans="2:11" ht="16.2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604</v>
      </c>
    </row>
    <row r="20" spans="2:11" ht="15.6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604</v>
      </c>
    </row>
    <row r="21" spans="2:11" ht="15.6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604</v>
      </c>
    </row>
    <row r="22" spans="2:11" ht="15.6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604</v>
      </c>
    </row>
    <row r="23" spans="2:11" ht="16.2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604</v>
      </c>
    </row>
    <row r="24" spans="2:11" ht="15.6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604</v>
      </c>
    </row>
    <row r="25" spans="2:11" ht="16.2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604</v>
      </c>
    </row>
    <row r="26" spans="2:11" ht="16.2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604</v>
      </c>
    </row>
    <row r="27" spans="2:11" ht="15.6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604</v>
      </c>
    </row>
    <row r="28" spans="2:11" ht="16.2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5.6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604</v>
      </c>
    </row>
    <row r="30" spans="2:11" ht="16.2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604</v>
      </c>
    </row>
    <row r="31" spans="2:11" ht="16.2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604</v>
      </c>
    </row>
    <row r="32" spans="2:11" ht="16.2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604</v>
      </c>
    </row>
    <row r="33" spans="1:8" ht="16.2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604</v>
      </c>
    </row>
    <row r="34" spans="1:8" ht="16.2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604</v>
      </c>
    </row>
    <row r="35" spans="1:8" ht="16.2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604</v>
      </c>
    </row>
    <row r="36" spans="1:8" ht="15.6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604</v>
      </c>
    </row>
    <row r="37" spans="1:8" ht="16.2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604</v>
      </c>
    </row>
    <row r="38" spans="1:8" ht="16.2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604</v>
      </c>
    </row>
    <row r="39" spans="1:8" ht="16.2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604</v>
      </c>
    </row>
    <row r="40" spans="1:8" ht="16.2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604</v>
      </c>
    </row>
    <row r="41" spans="1:8" ht="16.2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604</v>
      </c>
    </row>
    <row r="42" spans="1:8" ht="16.2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604</v>
      </c>
    </row>
    <row r="43" spans="1:8" ht="16.2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604</v>
      </c>
    </row>
    <row r="44" spans="1:8" ht="16.2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604</v>
      </c>
    </row>
    <row r="45" spans="1:8" ht="16.2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604</v>
      </c>
    </row>
    <row r="46" spans="1:8" ht="16.2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604</v>
      </c>
    </row>
    <row r="47" spans="1:8" ht="16.2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604</v>
      </c>
    </row>
    <row r="48" spans="1:8" ht="19.2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604</v>
      </c>
    </row>
    <row r="49" spans="2:8" ht="16.2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604</v>
      </c>
    </row>
    <row r="50" spans="2:8" ht="15.6">
      <c r="G50" s="1"/>
      <c r="H50" s="1"/>
    </row>
    <row r="51" spans="2:8" ht="15.6">
      <c r="G51" s="1"/>
      <c r="H51" s="1"/>
    </row>
    <row r="52" spans="2:8" ht="15.6">
      <c r="G52" s="1"/>
      <c r="H52" s="1"/>
    </row>
    <row r="53" spans="2:8">
      <c r="B53" s="4"/>
    </row>
    <row r="54" spans="2:8">
      <c r="B54" s="3" t="s">
        <v>99</v>
      </c>
    </row>
    <row r="55" spans="2:8" ht="15.6">
      <c r="B55" s="9" t="s">
        <v>53</v>
      </c>
      <c r="C55" s="3" t="s">
        <v>114</v>
      </c>
    </row>
    <row r="56" spans="2:8" ht="15.6">
      <c r="B56" s="9" t="s">
        <v>53</v>
      </c>
      <c r="C56" s="12" t="s">
        <v>295</v>
      </c>
    </row>
    <row r="57" spans="2:8" ht="19.2">
      <c r="B57" s="14" t="s">
        <v>6</v>
      </c>
      <c r="C57" s="12" t="s">
        <v>283</v>
      </c>
    </row>
    <row r="58" spans="2:8" ht="19.2">
      <c r="B58" s="14" t="s">
        <v>6</v>
      </c>
      <c r="C58" s="3" t="s">
        <v>118</v>
      </c>
    </row>
    <row r="59" spans="2:8" ht="15.6">
      <c r="B59" s="9" t="s">
        <v>125</v>
      </c>
      <c r="C59" s="3" t="s">
        <v>126</v>
      </c>
    </row>
    <row r="60" spans="2:8">
      <c r="B60" s="9" t="s">
        <v>270</v>
      </c>
      <c r="C60" s="12" t="s">
        <v>272</v>
      </c>
    </row>
    <row r="61" spans="2:8">
      <c r="B61" s="9" t="s">
        <v>5</v>
      </c>
      <c r="C61" s="12" t="s">
        <v>282</v>
      </c>
    </row>
    <row r="62" spans="2:8">
      <c r="B62" s="9" t="s">
        <v>306</v>
      </c>
      <c r="C62" s="12" t="s">
        <v>513</v>
      </c>
    </row>
    <row r="63" spans="2:8">
      <c r="B63" s="104" t="s">
        <v>311</v>
      </c>
      <c r="C63" s="3" t="s">
        <v>313</v>
      </c>
    </row>
    <row r="64" spans="2:8">
      <c r="B64" s="9" t="s">
        <v>570</v>
      </c>
      <c r="C64" s="288" t="s">
        <v>571</v>
      </c>
    </row>
    <row r="65" spans="2:3">
      <c r="B65" s="9" t="s">
        <v>396</v>
      </c>
      <c r="C65" s="3" t="s">
        <v>397</v>
      </c>
    </row>
    <row r="66" spans="2:3" ht="16.2">
      <c r="B66" s="9" t="s">
        <v>391</v>
      </c>
      <c r="C66" s="3" t="s">
        <v>390</v>
      </c>
    </row>
    <row r="67" spans="2:3">
      <c r="B67" s="9" t="s">
        <v>39</v>
      </c>
      <c r="C67" s="3" t="s">
        <v>508</v>
      </c>
    </row>
    <row r="68" spans="2:3">
      <c r="B68" s="9" t="s">
        <v>511</v>
      </c>
      <c r="C68" s="12" t="s">
        <v>568</v>
      </c>
    </row>
    <row r="69" spans="2:3">
      <c r="B69" s="9" t="s">
        <v>524</v>
      </c>
      <c r="C69" s="3" t="s">
        <v>544</v>
      </c>
    </row>
    <row r="75" spans="2:3" ht="20.399999999999999">
      <c r="C75" s="287"/>
    </row>
    <row r="76" spans="2:3" ht="20.399999999999999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defaultColWidth="8.77734375" defaultRowHeight="14.4"/>
  <cols>
    <col min="1" max="1" width="12.109375" style="3" customWidth="1"/>
    <col min="2" max="2" width="9" style="3" bestFit="1" customWidth="1"/>
    <col min="3" max="3" width="15.77734375" style="3" customWidth="1"/>
    <col min="4" max="4" width="11.109375" style="3" bestFit="1" customWidth="1"/>
    <col min="5" max="5" width="13.33203125" style="3" bestFit="1" customWidth="1"/>
    <col min="6" max="6" width="13.109375" style="3" bestFit="1" customWidth="1"/>
    <col min="7" max="7" width="9.7773437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77734375" style="3" customWidth="1"/>
    <col min="12" max="12" width="18.44140625" style="3" bestFit="1" customWidth="1"/>
    <col min="13" max="13" width="16.6640625" style="3" customWidth="1"/>
    <col min="14" max="14" width="14.77734375" style="3" bestFit="1" customWidth="1"/>
    <col min="15" max="15" width="14" style="3" bestFit="1" customWidth="1"/>
    <col min="16" max="16" width="10.77734375" style="3" customWidth="1"/>
    <col min="17" max="19" width="9" style="3" bestFit="1" customWidth="1"/>
    <col min="20" max="20" width="8.77734375" style="3"/>
    <col min="21" max="21" width="13.33203125" style="3" bestFit="1" customWidth="1"/>
    <col min="22" max="24" width="8.77734375" style="3"/>
    <col min="25" max="31" width="9" style="3" bestFit="1" customWidth="1"/>
    <col min="32" max="32" width="8.77734375" style="3"/>
    <col min="33" max="33" width="9.6640625" style="3" customWidth="1"/>
    <col min="34" max="37" width="9" style="3" bestFit="1" customWidth="1"/>
    <col min="38" max="16384" width="8.77734375" style="3"/>
  </cols>
  <sheetData>
    <row r="1" spans="1:28">
      <c r="A1" s="20" t="s">
        <v>50</v>
      </c>
    </row>
    <row r="2" spans="1:28">
      <c r="A2" s="12" t="s">
        <v>116</v>
      </c>
      <c r="B2" s="3" t="s">
        <v>117</v>
      </c>
      <c r="C2" s="3" t="s">
        <v>127</v>
      </c>
    </row>
    <row r="10" spans="1:28" ht="15.6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7" t="s">
        <v>115</v>
      </c>
      <c r="P10" s="357"/>
      <c r="Q10" s="357"/>
      <c r="R10" s="357"/>
      <c r="S10" s="357"/>
      <c r="T10" s="357"/>
      <c r="U10" s="357"/>
      <c r="V10" s="357" t="s">
        <v>115</v>
      </c>
      <c r="W10" s="357"/>
      <c r="X10" s="357"/>
      <c r="Y10" s="357"/>
      <c r="Z10" s="357"/>
      <c r="AA10" s="357"/>
      <c r="AB10" s="357"/>
    </row>
    <row r="11" spans="1:28" ht="19.2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7" t="s">
        <v>236</v>
      </c>
      <c r="P11" s="357"/>
      <c r="Q11" s="357"/>
      <c r="R11" s="346"/>
      <c r="S11" s="347"/>
      <c r="T11" s="365" t="s">
        <v>235</v>
      </c>
      <c r="U11" s="366"/>
      <c r="V11" s="357" t="str">
        <f>_xlfn.CONCAT(E19," ",C19," ","+"," ",E21," ",C21," ","--&gt;"," ",E22," ",C22," ","+"," ",E20*E21," ",C20)</f>
        <v>1.5 C + 1.5 O2 --&gt; 1.5 CO2 + 5.64 N2</v>
      </c>
      <c r="W11" s="357"/>
      <c r="X11" s="357"/>
      <c r="Y11" s="357"/>
      <c r="Z11" s="357"/>
      <c r="AA11" s="357"/>
      <c r="AB11" s="357"/>
    </row>
    <row r="12" spans="1:28" ht="19.2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7" t="s">
        <v>156</v>
      </c>
      <c r="P12" s="357"/>
      <c r="Q12" s="357"/>
      <c r="R12" s="346"/>
      <c r="S12" s="347"/>
      <c r="T12" s="357" t="s">
        <v>155</v>
      </c>
      <c r="U12" s="357"/>
      <c r="V12" s="357" t="str">
        <f>_xlfn.CONCAT(E25," ",C25," ","+"," ",E26," ",C26," ","--&gt;"," ",E27," ",C27)</f>
        <v>1.5 CO2 + 1.5 C --&gt; 3 CO</v>
      </c>
      <c r="W12" s="357"/>
      <c r="X12" s="357"/>
      <c r="Y12" s="357"/>
      <c r="Z12" s="357"/>
      <c r="AA12" s="357"/>
      <c r="AB12" s="357"/>
    </row>
    <row r="13" spans="1:28" ht="19.2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7" t="s">
        <v>157</v>
      </c>
      <c r="P13" s="357"/>
      <c r="Q13" s="357"/>
      <c r="R13" s="346"/>
      <c r="S13" s="347"/>
      <c r="T13" s="365" t="s">
        <v>158</v>
      </c>
      <c r="U13" s="366"/>
      <c r="V13" s="357" t="str">
        <f>_xlfn.CONCAT(E29," ",C29," ","+"," ",E30," ",C30," ","--&gt;"," ",E31," ",C31," ","+"," ",E32," ",C32)</f>
        <v>1 Fe2O3 + 3 CO --&gt; 2 Fe + 3 CO2</v>
      </c>
      <c r="W13" s="357"/>
      <c r="X13" s="357"/>
      <c r="Y13" s="357"/>
      <c r="Z13" s="357"/>
      <c r="AA13" s="357"/>
      <c r="AB13" s="357"/>
    </row>
    <row r="14" spans="1:28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7"/>
      <c r="P14" s="357"/>
      <c r="Q14" s="357"/>
      <c r="R14" s="346"/>
      <c r="S14" s="347"/>
      <c r="T14" s="357"/>
      <c r="U14" s="357"/>
      <c r="V14" s="357" t="str">
        <f>_xlfn.CONCAT(E36," ",C36," ","--&gt;"," ",E37," ",C37," ","+"," ",E39," ",C39)</f>
        <v>1 CaCO3 --&gt; 1 CaO + 0.0624775822865075 MgO</v>
      </c>
      <c r="W14" s="357"/>
      <c r="X14" s="357"/>
      <c r="Y14" s="357"/>
      <c r="Z14" s="357"/>
      <c r="AA14" s="357"/>
      <c r="AB14" s="357"/>
    </row>
    <row r="15" spans="1:28" ht="15.6">
      <c r="O15" s="357" t="s">
        <v>159</v>
      </c>
      <c r="P15" s="357"/>
      <c r="Q15" s="357"/>
      <c r="R15" s="346"/>
      <c r="S15" s="347"/>
      <c r="T15" s="357" t="s">
        <v>160</v>
      </c>
      <c r="U15" s="357"/>
      <c r="V15" s="357" t="str">
        <f>_xlfn.CONCAT(E41," ",C41," ","+"," ",E42," ",C42," ","--&gt;"," ",E43," ",C43)</f>
        <v>1 CaO + 1 SiO2 --&gt; 1 CaSiO3</v>
      </c>
      <c r="W15" s="357"/>
      <c r="X15" s="357"/>
      <c r="Y15" s="357"/>
      <c r="Z15" s="357"/>
      <c r="AA15" s="357"/>
      <c r="AB15" s="357"/>
    </row>
    <row r="16" spans="1:28">
      <c r="L16" s="54" t="s">
        <v>323</v>
      </c>
      <c r="M16" s="60" t="s">
        <v>324</v>
      </c>
    </row>
    <row r="17" spans="1:28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7" t="s">
        <v>261</v>
      </c>
      <c r="P17" s="357"/>
      <c r="Q17" s="357"/>
      <c r="R17" s="357"/>
      <c r="S17" s="357"/>
      <c r="T17" s="357"/>
      <c r="U17" s="357"/>
      <c r="V17" s="357" t="s">
        <v>115</v>
      </c>
      <c r="W17" s="357"/>
      <c r="X17" s="357"/>
      <c r="Y17" s="357"/>
      <c r="Z17" s="357"/>
      <c r="AA17" s="357"/>
      <c r="AB17" s="357"/>
    </row>
    <row r="18" spans="1:28" ht="15.6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7" t="s">
        <v>262</v>
      </c>
      <c r="P18" s="357"/>
      <c r="Q18" s="357"/>
      <c r="R18" s="357"/>
      <c r="S18" s="357"/>
      <c r="T18" s="357" t="s">
        <v>263</v>
      </c>
      <c r="U18" s="346"/>
      <c r="V18" s="37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70"/>
      <c r="X18" s="370"/>
      <c r="Y18" s="370"/>
      <c r="Z18" s="370"/>
      <c r="AA18" s="370"/>
      <c r="AB18" s="370"/>
    </row>
    <row r="19" spans="1:28" ht="15.6">
      <c r="B19" s="360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70"/>
      <c r="W19" s="370"/>
      <c r="X19" s="370"/>
      <c r="Y19" s="370"/>
      <c r="Z19" s="370"/>
      <c r="AA19" s="370"/>
      <c r="AB19" s="370"/>
    </row>
    <row r="20" spans="1:28" ht="19.2">
      <c r="A20" s="1"/>
      <c r="B20" s="361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6.2">
      <c r="A21" s="1"/>
      <c r="B21" s="362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6.2">
      <c r="B22" s="363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9.2">
      <c r="B23" s="364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5.6">
      <c r="B25" s="367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>
      <c r="B26" s="367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5.6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5.6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9.2">
      <c r="B29" s="367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>
      <c r="B30" s="367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>
      <c r="B31" s="368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5.6">
      <c r="B32" s="369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>
      <c r="M33" s="3" t="s">
        <v>5</v>
      </c>
      <c r="N33" s="3" t="s">
        <v>1</v>
      </c>
      <c r="O33" s="3" t="s">
        <v>1</v>
      </c>
    </row>
    <row r="34" spans="2:23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>
      <c r="B35" s="353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9.2">
      <c r="B36" s="354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5.6">
      <c r="B37" s="367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5.6">
      <c r="B38" s="360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>
      <c r="B39" s="360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5.6">
      <c r="B41" s="367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9.2">
      <c r="B42" s="367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9.2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>
      <c r="B44" s="349" t="s">
        <v>18</v>
      </c>
      <c r="C44" s="349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5" thickBot="1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>
      <c r="C47" s="355" t="s">
        <v>276</v>
      </c>
      <c r="D47" s="355"/>
      <c r="E47" s="355"/>
      <c r="F47" s="355"/>
    </row>
    <row r="48" spans="2:23">
      <c r="C48" s="356"/>
      <c r="D48" s="356"/>
      <c r="E48" s="356"/>
      <c r="F48" s="356"/>
      <c r="H48" s="357" t="s">
        <v>69</v>
      </c>
      <c r="I48" s="357"/>
      <c r="J48" s="357"/>
      <c r="K48" s="357"/>
      <c r="L48" s="357"/>
      <c r="M48" s="357"/>
    </row>
    <row r="49" spans="1:17" ht="19.2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7" t="s">
        <v>73</v>
      </c>
      <c r="I49" s="357"/>
      <c r="J49" s="357"/>
      <c r="K49" s="9"/>
      <c r="L49" s="365" t="s">
        <v>281</v>
      </c>
      <c r="M49" s="366"/>
    </row>
    <row r="50" spans="1:17" ht="15.6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5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2"/>
      <c r="J51" s="352"/>
      <c r="K51" s="352"/>
      <c r="L51" s="352"/>
      <c r="M51" s="352"/>
    </row>
    <row r="52" spans="1:17" ht="16.2" customHeight="1">
      <c r="C52" s="6"/>
      <c r="H52" s="352"/>
      <c r="I52" s="352"/>
      <c r="J52" s="352"/>
      <c r="K52" s="352"/>
      <c r="L52" s="352"/>
      <c r="M52" s="352"/>
    </row>
    <row r="53" spans="1:17" ht="16.2" customHeight="1"/>
    <row r="54" spans="1:17" ht="15.45" customHeight="1"/>
    <row r="55" spans="1:17" ht="15.45" customHeight="1">
      <c r="D55" s="266"/>
    </row>
    <row r="57" spans="1:17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.600000000000001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6.2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58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9.2">
      <c r="A60" s="351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59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9.2">
      <c r="A61" s="351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59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59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" customHeight="1">
      <c r="K63" s="72"/>
      <c r="L63" s="120"/>
      <c r="M63" s="120"/>
      <c r="N63" s="120"/>
      <c r="O63" s="120"/>
      <c r="P63" s="13"/>
      <c r="Q63" s="13"/>
    </row>
    <row r="64" spans="1:17" ht="18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" customHeight="1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45" customHeight="1"/>
    <row r="67" spans="2:45" ht="19.2" customHeight="1"/>
    <row r="68" spans="2:45" ht="15" thickBot="1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>
      <c r="B69" s="355" t="s">
        <v>296</v>
      </c>
      <c r="C69" s="355"/>
      <c r="D69" s="355"/>
      <c r="E69" s="355"/>
      <c r="F69" s="355"/>
      <c r="G69" s="355"/>
      <c r="Y69" s="371" t="s">
        <v>514</v>
      </c>
      <c r="Z69" s="372"/>
      <c r="AA69" s="372"/>
      <c r="AB69" s="372"/>
      <c r="AC69" s="372"/>
      <c r="AD69" s="372"/>
      <c r="AE69" s="372"/>
      <c r="AF69" s="372"/>
    </row>
    <row r="70" spans="2:45">
      <c r="B70" s="374"/>
      <c r="C70" s="374"/>
      <c r="D70" s="374"/>
      <c r="E70" s="374"/>
      <c r="F70" s="374"/>
      <c r="G70" s="374"/>
      <c r="K70" s="3" t="s">
        <v>523</v>
      </c>
      <c r="Y70" s="371"/>
      <c r="Z70" s="372"/>
      <c r="AA70" s="372"/>
      <c r="AB70" s="372"/>
      <c r="AC70" s="372"/>
      <c r="AD70" s="372"/>
      <c r="AE70" s="372"/>
      <c r="AF70" s="372"/>
    </row>
    <row r="71" spans="2:45">
      <c r="E71" s="9"/>
      <c r="F71" s="9" t="s">
        <v>298</v>
      </c>
      <c r="G71" s="9" t="s">
        <v>298</v>
      </c>
      <c r="Y71" s="371"/>
      <c r="Z71" s="372"/>
      <c r="AA71" s="372"/>
      <c r="AB71" s="372"/>
      <c r="AC71" s="372"/>
      <c r="AD71" s="372"/>
      <c r="AE71" s="372"/>
      <c r="AF71" s="372"/>
    </row>
    <row r="72" spans="2:45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5.6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.600000000000001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6.2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6.2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5.6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9.2">
      <c r="E78" s="9" t="s">
        <v>524</v>
      </c>
      <c r="F78" s="9">
        <v>1415</v>
      </c>
      <c r="G78" s="9">
        <f>(G74*F78)/F74</f>
        <v>23.982067525572877</v>
      </c>
      <c r="H78" s="348"/>
      <c r="I78" s="348"/>
      <c r="J78" s="348"/>
      <c r="K78" s="348"/>
      <c r="L78" s="348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6.2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5.6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5.6">
      <c r="G81" s="1"/>
      <c r="O81" s="1"/>
      <c r="P81" s="334"/>
      <c r="Y81" s="19"/>
    </row>
    <row r="82" spans="1:39" ht="31.05" customHeight="1">
      <c r="G82" s="1"/>
      <c r="O82" s="5"/>
      <c r="P82" s="334"/>
      <c r="Q82" s="335" t="s">
        <v>605</v>
      </c>
      <c r="Y82" s="19"/>
      <c r="AG82" s="5"/>
      <c r="AL82" s="5"/>
    </row>
    <row r="83" spans="1:39" ht="15.6">
      <c r="A83" t="s">
        <v>567</v>
      </c>
      <c r="G83" s="1"/>
      <c r="O83" s="5"/>
      <c r="P83" s="5"/>
      <c r="Y83" s="19"/>
    </row>
    <row r="84" spans="1:39" ht="15.6">
      <c r="G84" s="1"/>
      <c r="Y84" s="19"/>
      <c r="AG84" s="1"/>
      <c r="AI84" s="211"/>
    </row>
    <row r="85" spans="1:39" ht="15.6">
      <c r="G85" s="4"/>
      <c r="P85" s="1"/>
      <c r="Y85" s="19" t="s">
        <v>606</v>
      </c>
      <c r="AG85" s="6"/>
      <c r="AI85" s="6"/>
      <c r="AL85" s="201"/>
    </row>
    <row r="86" spans="1:39" ht="15.6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.2" thickBot="1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6.95" customHeight="1" thickBot="1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59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.05" customHeight="1">
      <c r="A89" s="378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59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.8" thickBot="1">
      <c r="A90" s="378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59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6.8" thickBot="1">
      <c r="A91" s="378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59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5.6">
      <c r="A92" s="378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608</v>
      </c>
    </row>
    <row r="93" spans="1:39" ht="15.6">
      <c r="A93" s="378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607</v>
      </c>
    </row>
    <row r="94" spans="1:39" ht="15.6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6.2" thickBot="1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6.2" thickBot="1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.600000000000001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5" thickBot="1">
      <c r="A98" s="351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6.2" thickBot="1">
      <c r="A99" s="351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5.6">
      <c r="A100" s="351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5.6">
      <c r="A101" s="351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75" t="s">
        <v>504</v>
      </c>
      <c r="I103" s="375"/>
      <c r="J103" s="375"/>
      <c r="K103" s="375"/>
      <c r="Y103" s="19">
        <v>0.7</v>
      </c>
      <c r="AG103" s="3">
        <v>0.3</v>
      </c>
    </row>
    <row r="104" spans="1:38" ht="15.6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.600000000000001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.600000000000001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6.2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76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8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9.2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76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8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6.2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76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8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9.2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76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8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9.2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76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8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9.2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76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8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9.2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76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>
      <c r="A114" s="376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5.6">
      <c r="A115" s="376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9.2">
      <c r="A116" s="376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9.2">
      <c r="A117" s="376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5.6">
      <c r="B119" s="142"/>
      <c r="E119" s="170"/>
      <c r="H119" s="142"/>
      <c r="K119" s="170"/>
    </row>
    <row r="120" spans="1:31" ht="15.6">
      <c r="D120" s="1"/>
      <c r="J120" s="1"/>
      <c r="O120" s="224"/>
    </row>
    <row r="121" spans="1:31" ht="15.6">
      <c r="H121" s="6"/>
      <c r="I121" s="224"/>
      <c r="J121" s="224"/>
      <c r="K121" s="224"/>
    </row>
    <row r="122" spans="1:31" ht="15.6">
      <c r="B122" s="201"/>
      <c r="I122" s="224"/>
      <c r="J122" s="224"/>
      <c r="K122" s="224"/>
    </row>
    <row r="123" spans="1:31" ht="15.6">
      <c r="B123" s="6"/>
      <c r="H123" s="6"/>
      <c r="I123" s="224"/>
      <c r="J123" s="224"/>
      <c r="K123" s="224"/>
    </row>
    <row r="127" spans="1:31" ht="15.6">
      <c r="D127" s="201"/>
      <c r="AE127" s="12"/>
    </row>
    <row r="136" spans="4:19">
      <c r="M136" s="12"/>
    </row>
    <row r="143" spans="4:19">
      <c r="D143" s="348" t="s">
        <v>557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</row>
    <row r="155" spans="1:30">
      <c r="D155" s="3" t="s">
        <v>558</v>
      </c>
    </row>
    <row r="157" spans="1:30" ht="15" thickBo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>
      <c r="C158" s="377" t="s">
        <v>506</v>
      </c>
      <c r="D158" s="377"/>
      <c r="E158" s="377"/>
      <c r="F158" s="377"/>
      <c r="G158" s="377"/>
    </row>
    <row r="159" spans="1:30">
      <c r="B159" s="142" t="s">
        <v>358</v>
      </c>
      <c r="C159" s="372"/>
      <c r="D159" s="372"/>
      <c r="E159" s="372"/>
      <c r="F159" s="372"/>
      <c r="G159" s="372"/>
    </row>
    <row r="160" spans="1:30">
      <c r="B160" s="3">
        <v>0.7</v>
      </c>
      <c r="I160" s="104" t="s">
        <v>264</v>
      </c>
    </row>
    <row r="161" spans="2:14" ht="18.600000000000001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.600000000000001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5.6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9.2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9.2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9.2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>
      <c r="B169" s="142" t="s">
        <v>103</v>
      </c>
    </row>
    <row r="170" spans="2:14" ht="19.2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9.2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>
      <c r="I176" s="60">
        <f>SUM(I171:I175)</f>
        <v>80821.094452051635</v>
      </c>
      <c r="J176" s="60">
        <f>SUM(J171:J175)</f>
        <v>80821.094452051635</v>
      </c>
    </row>
    <row r="178" spans="1:21" ht="15" thickBo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>
      <c r="B180" s="372" t="s">
        <v>563</v>
      </c>
      <c r="C180" s="372"/>
      <c r="D180" s="372"/>
      <c r="E180" s="372"/>
      <c r="F180" s="372"/>
      <c r="G180" s="372"/>
    </row>
    <row r="181" spans="1:21">
      <c r="B181" s="372"/>
      <c r="C181" s="372"/>
      <c r="D181" s="372"/>
      <c r="E181" s="372"/>
      <c r="F181" s="372"/>
      <c r="G181" s="372"/>
    </row>
    <row r="182" spans="1:21">
      <c r="B182" s="372"/>
      <c r="C182" s="372"/>
      <c r="D182" s="372"/>
      <c r="E182" s="372"/>
      <c r="F182" s="372"/>
      <c r="G182" s="372"/>
    </row>
    <row r="185" spans="1:21">
      <c r="I185" s="104" t="s">
        <v>264</v>
      </c>
    </row>
    <row r="186" spans="1:21" ht="18.600000000000001">
      <c r="B186" s="142"/>
      <c r="I186" s="14" t="s">
        <v>83</v>
      </c>
    </row>
    <row r="187" spans="1:21">
      <c r="I187" s="9">
        <f>C195+C200-(H2O_out_BF_from_coke+SO2_out_BF_from_coke+N2_out_BF_from_coke)</f>
        <v>0</v>
      </c>
    </row>
    <row r="188" spans="1:21" ht="15.6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.600000000000001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5.6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9.2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9.2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9.2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>
      <c r="G197" s="3" t="s">
        <v>28</v>
      </c>
    </row>
    <row r="198" spans="1:101" ht="19.2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9.2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8"/>
    </row>
    <row r="202" spans="1:101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8"/>
    </row>
    <row r="203" spans="1:101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8"/>
    </row>
    <row r="204" spans="1:101">
      <c r="H204" s="3" t="s">
        <v>609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8"/>
    </row>
    <row r="205" spans="1:101">
      <c r="CJ205" s="348"/>
    </row>
    <row r="206" spans="1:101" ht="15" thickBo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8"/>
    </row>
    <row r="208" spans="1:101" ht="19.2">
      <c r="B208" s="372" t="s">
        <v>392</v>
      </c>
      <c r="C208" s="372"/>
      <c r="D208" s="372"/>
      <c r="E208" s="372"/>
      <c r="G208" s="15" t="s">
        <v>66</v>
      </c>
      <c r="H208" s="199" t="s">
        <v>23</v>
      </c>
      <c r="J208" s="357" t="s">
        <v>69</v>
      </c>
      <c r="K208" s="357"/>
      <c r="L208" s="357"/>
      <c r="M208" s="357"/>
      <c r="N208" s="357"/>
      <c r="O208" s="357"/>
    </row>
    <row r="209" spans="1:88" ht="19.2">
      <c r="B209" s="372"/>
      <c r="C209" s="372"/>
      <c r="D209" s="372"/>
      <c r="E209" s="372"/>
      <c r="G209" s="9">
        <v>3.76</v>
      </c>
      <c r="H209" s="9">
        <v>2</v>
      </c>
      <c r="J209" s="357" t="s">
        <v>394</v>
      </c>
      <c r="K209" s="357"/>
      <c r="L209" s="357"/>
      <c r="M209" s="9"/>
      <c r="N209" s="373" t="s">
        <v>74</v>
      </c>
      <c r="O209" s="366"/>
    </row>
    <row r="210" spans="1:88">
      <c r="B210" s="372"/>
      <c r="C210" s="372"/>
      <c r="D210" s="372"/>
      <c r="E210" s="372"/>
      <c r="J210" s="35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7"/>
      <c r="L210" s="357"/>
      <c r="M210" s="357"/>
      <c r="N210" s="357"/>
      <c r="O210" s="357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>
      <c r="B211" s="348" t="s">
        <v>507</v>
      </c>
      <c r="C211" s="348"/>
      <c r="D211" s="348"/>
      <c r="E211" s="348"/>
    </row>
    <row r="213" spans="1:88" ht="15.6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.600000000000001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9.2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9.2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8"/>
      <c r="BL216" s="348"/>
      <c r="BM216" s="348"/>
      <c r="BN216" s="348"/>
    </row>
    <row r="217" spans="1:88" ht="18" customHeight="1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8"/>
      <c r="BL217" s="348"/>
      <c r="BM217" s="348"/>
      <c r="BN217" s="348"/>
      <c r="CJ217" s="348"/>
    </row>
    <row r="218" spans="1:88" ht="22.05" customHeight="1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8"/>
      <c r="BQ218" s="3" t="e">
        <f>BS218*BT218</f>
        <v>#DIV/0!</v>
      </c>
      <c r="BT218" s="3" t="e">
        <f>O2_Naturalgas_molcoeff*BT230</f>
        <v>#DIV/0!</v>
      </c>
      <c r="CJ218" s="348"/>
    </row>
    <row r="219" spans="1:88">
      <c r="BO219" s="348"/>
      <c r="BQ219" s="3">
        <f>N2_for_coke_oven_comb</f>
        <v>0</v>
      </c>
      <c r="CJ219" s="348"/>
    </row>
    <row r="220" spans="1:88">
      <c r="CJ220" s="348"/>
    </row>
    <row r="221" spans="1:88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8"/>
    </row>
    <row r="222" spans="1:88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9.2">
      <c r="A223" s="378" t="s">
        <v>610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>
      <c r="A224" s="378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9.2">
      <c r="A225" s="378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>
      <c r="C227" s="3" t="s">
        <v>1</v>
      </c>
      <c r="N227" s="337" t="s">
        <v>605</v>
      </c>
    </row>
    <row r="228" spans="1:94">
      <c r="C228" s="3" t="s">
        <v>10</v>
      </c>
      <c r="BI228"/>
      <c r="BJ228"/>
      <c r="BK228" s="348" t="s">
        <v>376</v>
      </c>
      <c r="BL228" s="348"/>
      <c r="BM228" s="348"/>
      <c r="BN228" s="348"/>
      <c r="BO228"/>
    </row>
    <row r="229" spans="1:94">
      <c r="A229" s="378" t="s">
        <v>610</v>
      </c>
      <c r="B229" s="9" t="s">
        <v>135</v>
      </c>
      <c r="C229" s="3">
        <f>C223*MW_H</f>
        <v>7.0992995338357623E-2</v>
      </c>
      <c r="BI229"/>
      <c r="BJ229"/>
      <c r="BK229" s="348"/>
      <c r="BL229" s="348"/>
      <c r="BM229" s="348"/>
      <c r="BN229" s="348"/>
      <c r="BO229"/>
    </row>
    <row r="230" spans="1:94">
      <c r="A230" s="378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6.2" thickBot="1">
      <c r="A231" s="379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>
      <c r="B233" s="372" t="s">
        <v>399</v>
      </c>
      <c r="C233" s="372"/>
      <c r="D233" s="372"/>
      <c r="E233" s="372"/>
      <c r="J233" s="357" t="s">
        <v>69</v>
      </c>
      <c r="K233" s="357"/>
      <c r="L233" s="357"/>
      <c r="M233" s="357"/>
      <c r="N233" s="357"/>
      <c r="O233" s="357"/>
    </row>
    <row r="234" spans="1:94" ht="22.05" customHeight="1">
      <c r="B234" s="372"/>
      <c r="C234" s="372"/>
      <c r="D234" s="372"/>
      <c r="E234" s="372"/>
      <c r="J234" s="357" t="s">
        <v>401</v>
      </c>
      <c r="K234" s="357"/>
      <c r="L234" s="357"/>
      <c r="M234" s="9"/>
      <c r="N234" s="373" t="s">
        <v>74</v>
      </c>
      <c r="O234" s="366"/>
      <c r="CJ234" s="348"/>
      <c r="CL234" s="3" t="e">
        <f>CO234*CN234</f>
        <v>#DIV/0!</v>
      </c>
      <c r="CO234" s="3" t="e">
        <f>H2O_Naturalgas_molcoeff*BT230</f>
        <v>#DIV/0!</v>
      </c>
    </row>
    <row r="235" spans="1:94">
      <c r="B235" s="372"/>
      <c r="C235" s="372"/>
      <c r="D235" s="372"/>
      <c r="E235" s="372"/>
      <c r="J235" s="35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7"/>
      <c r="L235" s="357"/>
      <c r="M235" s="357"/>
      <c r="N235" s="357"/>
      <c r="O235" s="357"/>
      <c r="CJ235" s="348"/>
      <c r="CL235" s="3" t="e">
        <f>CN235*CO235</f>
        <v>#DIV/0!</v>
      </c>
      <c r="CO235" s="3" t="e">
        <f>BT230</f>
        <v>#DIV/0!</v>
      </c>
    </row>
    <row r="236" spans="1:94" ht="19.95" customHeight="1">
      <c r="B236" s="348" t="s">
        <v>507</v>
      </c>
      <c r="C236" s="348"/>
      <c r="D236" s="348"/>
      <c r="E236" s="348"/>
      <c r="CJ236" s="348"/>
      <c r="CL236" s="3">
        <f>CO236*CN236</f>
        <v>0</v>
      </c>
    </row>
    <row r="237" spans="1:94">
      <c r="CP237" s="3" t="e" cm="1">
        <f t="array" ref="CP237">SUM(CL234:CL236*CP234:CP236) / CL237</f>
        <v>#DIV/0!</v>
      </c>
    </row>
    <row r="238" spans="1:94" ht="15.6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.600000000000001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9.2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9.2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9.2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5" thickBo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>
      <c r="B250" s="372" t="s">
        <v>404</v>
      </c>
      <c r="C250" s="372"/>
      <c r="D250" s="372"/>
      <c r="E250" s="372"/>
      <c r="J250" s="357" t="s">
        <v>69</v>
      </c>
      <c r="K250" s="357"/>
      <c r="L250" s="357"/>
      <c r="M250" s="357"/>
      <c r="N250" s="357"/>
      <c r="O250" s="357"/>
      <c r="CJ250" s="348"/>
    </row>
    <row r="251" spans="1:88" ht="19.2">
      <c r="B251" s="372"/>
      <c r="C251" s="372"/>
      <c r="D251" s="372"/>
      <c r="E251" s="372"/>
      <c r="J251" s="357" t="s">
        <v>406</v>
      </c>
      <c r="K251" s="357"/>
      <c r="L251" s="357"/>
      <c r="M251" s="9"/>
      <c r="N251" s="373" t="s">
        <v>74</v>
      </c>
      <c r="O251" s="366"/>
      <c r="CJ251" s="348"/>
    </row>
    <row r="252" spans="1:88">
      <c r="B252" s="372"/>
      <c r="C252" s="372"/>
      <c r="D252" s="372"/>
      <c r="E252" s="372"/>
      <c r="J252" s="35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7"/>
      <c r="L252" s="357"/>
      <c r="M252" s="357"/>
      <c r="N252" s="357"/>
      <c r="O252" s="357"/>
      <c r="CJ252" s="348"/>
    </row>
    <row r="253" spans="1:88">
      <c r="B253" s="348" t="s">
        <v>507</v>
      </c>
      <c r="C253" s="348"/>
      <c r="D253" s="348"/>
      <c r="E253" s="348"/>
      <c r="CJ253" s="348"/>
    </row>
    <row r="254" spans="1:88">
      <c r="CJ254" s="348"/>
    </row>
    <row r="255" spans="1:88" ht="15.6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8"/>
    </row>
    <row r="256" spans="1:88" ht="18.600000000000001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8"/>
    </row>
    <row r="257" spans="1:88" ht="19.2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8"/>
    </row>
    <row r="258" spans="1:88" ht="19.2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8"/>
    </row>
    <row r="259" spans="1:88" ht="19.2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8"/>
    </row>
    <row r="260" spans="1:88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8"/>
    </row>
    <row r="262" spans="1:88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5" thickBot="1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>
      <c r="B266" s="372" t="s">
        <v>403</v>
      </c>
      <c r="C266" s="372"/>
      <c r="D266" s="372"/>
      <c r="E266" s="372"/>
      <c r="J266" s="357" t="s">
        <v>69</v>
      </c>
      <c r="K266" s="357"/>
      <c r="L266" s="357"/>
      <c r="M266" s="357"/>
      <c r="N266" s="357"/>
      <c r="O266" s="357"/>
    </row>
    <row r="267" spans="1:88" ht="19.2">
      <c r="B267" s="372"/>
      <c r="C267" s="372"/>
      <c r="D267" s="372"/>
      <c r="E267" s="372"/>
      <c r="J267" s="357" t="s">
        <v>73</v>
      </c>
      <c r="K267" s="357"/>
      <c r="L267" s="357"/>
      <c r="M267" s="9"/>
      <c r="N267" s="373" t="s">
        <v>74</v>
      </c>
      <c r="O267" s="366"/>
    </row>
    <row r="268" spans="1:88">
      <c r="B268" s="372"/>
      <c r="C268" s="372"/>
      <c r="D268" s="372"/>
      <c r="E268" s="372"/>
      <c r="J268" s="35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7"/>
      <c r="L268" s="357"/>
      <c r="M268" s="357"/>
      <c r="N268" s="357"/>
      <c r="O268" s="357"/>
    </row>
    <row r="269" spans="1:88">
      <c r="B269" s="348" t="s">
        <v>507</v>
      </c>
      <c r="C269" s="348"/>
      <c r="D269" s="348"/>
      <c r="E269" s="348"/>
    </row>
    <row r="271" spans="1:88" ht="15.6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.600000000000001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9.2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9.2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9.2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.600000000000001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5.6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>
      <c r="A283" s="378" t="s">
        <v>611</v>
      </c>
      <c r="B283" s="9" t="s">
        <v>480</v>
      </c>
      <c r="C283" s="3">
        <f>C280/C281</f>
        <v>0.33567230039130802</v>
      </c>
    </row>
    <row r="284" spans="1:13">
      <c r="A284" s="378"/>
      <c r="B284" s="25" t="s">
        <v>481</v>
      </c>
      <c r="C284" s="3">
        <f>(1-C283)</f>
        <v>0.66432769960869198</v>
      </c>
    </row>
    <row r="285" spans="1:13">
      <c r="A285" s="338"/>
      <c r="B285" s="1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X98" zoomScale="75" zoomScaleNormal="120" workbookViewId="0">
      <selection activeCell="FM104" sqref="FM104"/>
    </sheetView>
  </sheetViews>
  <sheetFormatPr defaultColWidth="8.77734375" defaultRowHeight="14.4"/>
  <cols>
    <col min="1" max="5" width="8.77734375" style="3"/>
    <col min="6" max="6" width="11.109375" style="3" bestFit="1" customWidth="1"/>
    <col min="7" max="7" width="8.77734375" style="3"/>
    <col min="8" max="8" width="11.109375" style="3" bestFit="1" customWidth="1"/>
    <col min="9" max="9" width="9.10937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44140625" style="3" bestFit="1" customWidth="1"/>
    <col min="15" max="15" width="14.44140625" style="3" customWidth="1"/>
    <col min="16" max="16" width="9.33203125" style="3" bestFit="1" customWidth="1"/>
    <col min="17" max="17" width="13.44140625" style="3" bestFit="1" customWidth="1"/>
    <col min="18" max="18" width="13.109375" style="3" bestFit="1" customWidth="1"/>
    <col min="19" max="19" width="18.109375" style="3" bestFit="1" customWidth="1"/>
    <col min="20" max="20" width="9.44140625" style="3" bestFit="1" customWidth="1"/>
    <col min="21" max="21" width="18.109375" style="3" bestFit="1" customWidth="1"/>
    <col min="22" max="22" width="14.77734375" style="3" bestFit="1" customWidth="1"/>
    <col min="23" max="23" width="9.109375" style="3" bestFit="1" customWidth="1"/>
    <col min="24" max="24" width="13.44140625" style="3" customWidth="1"/>
    <col min="25" max="25" width="12.6640625" style="3" bestFit="1" customWidth="1"/>
    <col min="26" max="27" width="12" style="3" bestFit="1" customWidth="1"/>
    <col min="28" max="28" width="9.44140625" style="3" bestFit="1" customWidth="1"/>
    <col min="29" max="29" width="12" style="3" bestFit="1" customWidth="1"/>
    <col min="30" max="30" width="9.33203125" style="3" bestFit="1" customWidth="1"/>
    <col min="31" max="31" width="18.10937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4414062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0937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44140625" style="3" customWidth="1"/>
    <col min="48" max="48" width="12.6640625" style="3" bestFit="1" customWidth="1"/>
    <col min="49" max="49" width="29.6640625" style="3" customWidth="1"/>
    <col min="50" max="52" width="10.44140625" style="3" bestFit="1" customWidth="1"/>
    <col min="53" max="53" width="10.33203125" style="3" customWidth="1"/>
    <col min="54" max="54" width="14.77734375" style="3" bestFit="1" customWidth="1"/>
    <col min="55" max="55" width="10.44140625" style="3" bestFit="1" customWidth="1"/>
    <col min="56" max="56" width="15.6640625" style="3" customWidth="1"/>
    <col min="57" max="57" width="13.6640625" style="3" customWidth="1"/>
    <col min="58" max="58" width="14.77734375" style="3" bestFit="1" customWidth="1"/>
    <col min="59" max="59" width="11.33203125" style="3" customWidth="1"/>
    <col min="60" max="60" width="13.44140625" style="3" bestFit="1" customWidth="1"/>
    <col min="61" max="61" width="15.109375" style="3" bestFit="1" customWidth="1"/>
    <col min="62" max="62" width="10.4414062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77734375" style="3" customWidth="1"/>
    <col min="67" max="67" width="10" style="3" bestFit="1" customWidth="1"/>
    <col min="68" max="69" width="11.33203125" style="3" bestFit="1" customWidth="1"/>
    <col min="70" max="71" width="10.4414062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44140625" style="3" customWidth="1"/>
    <col min="76" max="76" width="12" style="3" customWidth="1"/>
    <col min="77" max="77" width="13.33203125" style="3" bestFit="1" customWidth="1"/>
    <col min="78" max="78" width="13.109375" style="3" bestFit="1" customWidth="1"/>
    <col min="79" max="79" width="14.44140625" style="3" bestFit="1" customWidth="1"/>
    <col min="80" max="80" width="10.77734375" style="3" customWidth="1"/>
    <col min="81" max="81" width="13.109375" style="3" customWidth="1"/>
    <col min="82" max="82" width="11.44140625" style="3" customWidth="1"/>
    <col min="83" max="83" width="12.4414062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0937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77734375" style="3" bestFit="1" customWidth="1"/>
    <col min="93" max="93" width="11.77734375" style="3" bestFit="1" customWidth="1"/>
    <col min="94" max="94" width="11.77734375" style="3" customWidth="1"/>
    <col min="95" max="95" width="12.6640625" style="3" bestFit="1" customWidth="1"/>
    <col min="96" max="96" width="9.77734375" style="3" bestFit="1" customWidth="1"/>
    <col min="97" max="97" width="13.6640625" style="3" customWidth="1"/>
    <col min="98" max="98" width="12.109375" style="3" bestFit="1" customWidth="1"/>
    <col min="99" max="99" width="13.33203125" style="3" bestFit="1" customWidth="1"/>
    <col min="100" max="100" width="9.44140625" style="3" bestFit="1" customWidth="1"/>
    <col min="101" max="101" width="11.77734375" style="3" bestFit="1" customWidth="1"/>
    <col min="102" max="102" width="9.33203125" style="3" bestFit="1" customWidth="1"/>
    <col min="103" max="106" width="9" style="3" bestFit="1" customWidth="1"/>
    <col min="107" max="107" width="8.77734375" style="3"/>
    <col min="108" max="118" width="9" style="3" bestFit="1" customWidth="1"/>
    <col min="119" max="121" width="8.77734375" style="3"/>
    <col min="122" max="122" width="10.6640625" style="3" bestFit="1" customWidth="1"/>
    <col min="123" max="123" width="9.10937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77734375" style="3"/>
    <col min="128" max="128" width="9.33203125" style="3" bestFit="1" customWidth="1"/>
    <col min="129" max="129" width="9.77734375" style="3" bestFit="1" customWidth="1"/>
    <col min="130" max="130" width="9.33203125" style="3" customWidth="1"/>
    <col min="131" max="131" width="11.77734375" style="3" bestFit="1" customWidth="1"/>
    <col min="132" max="132" width="10.33203125" style="3" bestFit="1" customWidth="1"/>
    <col min="133" max="133" width="13" style="3" bestFit="1" customWidth="1"/>
    <col min="134" max="134" width="10.77734375" style="3" bestFit="1" customWidth="1"/>
    <col min="135" max="135" width="14.44140625" style="3" bestFit="1" customWidth="1"/>
    <col min="136" max="136" width="14.44140625" style="3" customWidth="1"/>
    <col min="137" max="137" width="14.44140625" style="3" bestFit="1" customWidth="1"/>
    <col min="138" max="138" width="11.33203125" style="3" bestFit="1" customWidth="1"/>
    <col min="139" max="139" width="15.109375" style="3" bestFit="1" customWidth="1"/>
    <col min="140" max="140" width="9.44140625" style="3" bestFit="1" customWidth="1"/>
    <col min="141" max="141" width="11.109375" style="3" bestFit="1" customWidth="1"/>
    <col min="142" max="142" width="12.77734375" style="3" bestFit="1" customWidth="1"/>
    <col min="143" max="143" width="13.33203125" style="3" bestFit="1" customWidth="1"/>
    <col min="144" max="144" width="11.6640625" style="3" bestFit="1" customWidth="1"/>
    <col min="145" max="145" width="12.77734375" style="3" bestFit="1" customWidth="1"/>
    <col min="146" max="146" width="10.6640625" style="3" bestFit="1" customWidth="1"/>
    <col min="147" max="147" width="11.44140625" style="3" bestFit="1" customWidth="1"/>
    <col min="148" max="150" width="9" style="3" bestFit="1" customWidth="1"/>
    <col min="151" max="151" width="8.77734375" style="3"/>
    <col min="152" max="152" width="12.109375" style="3" bestFit="1" customWidth="1"/>
    <col min="153" max="153" width="8.77734375" style="3"/>
    <col min="154" max="155" width="9" style="3" bestFit="1" customWidth="1"/>
    <col min="156" max="156" width="10.6640625" style="3" bestFit="1" customWidth="1"/>
    <col min="157" max="161" width="9.109375" style="3" bestFit="1" customWidth="1"/>
    <col min="162" max="162" width="9.109375" style="3" customWidth="1"/>
    <col min="163" max="163" width="9.109375" style="3" bestFit="1" customWidth="1"/>
    <col min="164" max="164" width="13.44140625" style="3" bestFit="1" customWidth="1"/>
    <col min="165" max="167" width="9" style="3" bestFit="1" customWidth="1"/>
    <col min="168" max="16384" width="8.77734375" style="3"/>
  </cols>
  <sheetData>
    <row r="1" spans="20:20">
      <c r="T1" s="12"/>
    </row>
    <row r="2" spans="20:20">
      <c r="T2" s="12"/>
    </row>
    <row r="3" spans="20:20">
      <c r="T3" s="12"/>
    </row>
    <row r="6" spans="20:20">
      <c r="T6" s="12"/>
    </row>
    <row r="7" spans="20:20">
      <c r="T7" s="12"/>
    </row>
    <row r="8" spans="20:20">
      <c r="T8" s="12"/>
    </row>
    <row r="9" spans="20:20">
      <c r="T9" s="12"/>
    </row>
    <row r="11" spans="20:20">
      <c r="T11" s="12"/>
    </row>
    <row r="12" spans="20:20">
      <c r="T12" s="12"/>
    </row>
    <row r="13" spans="20:20">
      <c r="T13" s="12"/>
    </row>
    <row r="23" spans="14:66" ht="15" customHeight="1">
      <c r="P23" s="396" t="s">
        <v>285</v>
      </c>
      <c r="Q23" s="396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.05" customHeight="1" thickBot="1">
      <c r="P24" s="397"/>
      <c r="Q24" s="397"/>
    </row>
    <row r="25" spans="14:66" ht="15.6">
      <c r="P25" s="389" t="s">
        <v>269</v>
      </c>
      <c r="Q25" s="114" t="s">
        <v>245</v>
      </c>
      <c r="AO25" s="399" t="s">
        <v>346</v>
      </c>
      <c r="AP25" s="399"/>
      <c r="AQ25" s="399"/>
      <c r="AR25" s="399"/>
      <c r="AS25" s="399"/>
      <c r="AT25" s="399"/>
      <c r="AU25" s="399"/>
      <c r="BH25" s="399" t="s">
        <v>350</v>
      </c>
      <c r="BI25" s="399"/>
      <c r="BJ25" s="399"/>
      <c r="BK25" s="399"/>
      <c r="BL25" s="399"/>
      <c r="BM25" s="399"/>
      <c r="BN25" s="399"/>
    </row>
    <row r="26" spans="14:66">
      <c r="P26" s="392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5.6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5" thickBot="1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5" thickBot="1"/>
    <row r="40" spans="5:80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.600000000000001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.05" customHeight="1" thickBot="1">
      <c r="E42" s="405" t="s">
        <v>332</v>
      </c>
      <c r="F42" s="405"/>
      <c r="G42" s="405"/>
      <c r="H42" s="405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393" t="s">
        <v>325</v>
      </c>
      <c r="X42" s="393"/>
      <c r="Y42" s="393"/>
      <c r="Z42" s="393"/>
      <c r="AA42" s="393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393" t="s">
        <v>455</v>
      </c>
      <c r="AQ42" s="393"/>
      <c r="AR42" s="393"/>
      <c r="AS42" s="393"/>
      <c r="AT42" s="393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393" t="s">
        <v>351</v>
      </c>
      <c r="BJ42" s="393"/>
      <c r="BK42" s="393"/>
      <c r="BL42" s="393"/>
      <c r="BM42" s="393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.05" customHeight="1" thickBot="1">
      <c r="E43" s="405"/>
      <c r="F43" s="405"/>
      <c r="G43" s="405"/>
      <c r="H43" s="405"/>
      <c r="J43" s="4"/>
      <c r="K43" s="4"/>
      <c r="L43" s="4"/>
      <c r="M43" s="4"/>
      <c r="N43" s="4"/>
      <c r="O43" s="4"/>
      <c r="P43" s="4"/>
      <c r="Q43" s="4"/>
      <c r="R43" s="4"/>
      <c r="S43" s="4"/>
      <c r="W43" s="394"/>
      <c r="X43" s="394"/>
      <c r="Y43" s="394"/>
      <c r="Z43" s="394"/>
      <c r="AA43" s="39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93"/>
      <c r="AQ43" s="393"/>
      <c r="AR43" s="393"/>
      <c r="AS43" s="393"/>
      <c r="AT43" s="393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93"/>
      <c r="BJ43" s="393"/>
      <c r="BK43" s="393"/>
      <c r="BL43" s="393"/>
      <c r="BM43" s="393"/>
    </row>
    <row r="44" spans="5:80" ht="19.2" customHeight="1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03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9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9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9.2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04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92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92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.05" customHeight="1" thickBot="1">
      <c r="I46" s="391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91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91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91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.8" thickBot="1">
      <c r="I47" s="391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91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91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91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>
      <c r="I48" s="391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91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91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9.2">
      <c r="I49" s="391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91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91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>
      <c r="I50" s="391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91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91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>
      <c r="I51" s="391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91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91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5" thickBot="1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9.2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.600000000000001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6.2" thickBot="1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6.2" thickBot="1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9.2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91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6.2" thickBot="1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91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9.2">
      <c r="B61" s="384" t="s">
        <v>386</v>
      </c>
      <c r="C61" s="384"/>
      <c r="D61" s="384"/>
      <c r="E61" s="384"/>
      <c r="F61" s="384"/>
      <c r="G61" s="384"/>
      <c r="H61" s="384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91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9.2">
      <c r="B62" s="388"/>
      <c r="C62" s="388"/>
      <c r="D62" s="388"/>
      <c r="E62" s="388"/>
      <c r="F62" s="388"/>
      <c r="G62" s="388"/>
      <c r="H62" s="388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91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6.8" thickBot="1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9.2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9.2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9.2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6.2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91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6.95" customHeight="1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91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.8" thickBot="1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91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5.6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91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9.2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5" thickBot="1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9.2">
      <c r="E74" s="384" t="s">
        <v>414</v>
      </c>
      <c r="F74" s="384"/>
      <c r="G74" s="384"/>
      <c r="H74" s="38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9.2">
      <c r="E75" s="384"/>
      <c r="F75" s="384"/>
      <c r="G75" s="384"/>
      <c r="H75" s="384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9.2">
      <c r="I76" s="391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9.2">
      <c r="I77" s="391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5.6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9.2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5" thickBot="1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8" customHeight="1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" customHeight="1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" customHeight="1" thickBot="1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.600000000000001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" customHeight="1" thickBot="1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8.4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9.2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4" t="s">
        <v>410</v>
      </c>
      <c r="DU103" s="384"/>
      <c r="DV103" s="384"/>
      <c r="DW103" s="384"/>
      <c r="DX103" s="384"/>
      <c r="DY103" s="384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.8" thickBot="1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8"/>
      <c r="DU104" s="388"/>
      <c r="DV104" s="388"/>
      <c r="DW104" s="388"/>
      <c r="DX104" s="388"/>
      <c r="DY104" s="388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45" customHeight="1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9.2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5.6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/>
      <c r="FH109" s="22"/>
      <c r="FI109" s="22"/>
      <c r="FJ109" s="22"/>
      <c r="FK109" s="22"/>
      <c r="FL109" s="22">
        <f>SUM(FL108)</f>
        <v>34.288240000000087</v>
      </c>
      <c r="FM109" s="22">
        <f>SUM(FM108)</f>
        <v>67875.356217847453</v>
      </c>
    </row>
    <row r="110" spans="16:169" ht="19.2" customHeight="1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00" t="s">
        <v>346</v>
      </c>
      <c r="AP110" s="387"/>
      <c r="AQ110" s="387"/>
      <c r="AR110" s="387"/>
      <c r="AS110" s="387"/>
      <c r="AT110" s="387"/>
      <c r="AU110" s="387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387" t="s">
        <v>350</v>
      </c>
      <c r="BH110" s="387"/>
      <c r="BI110" s="387"/>
      <c r="BJ110" s="387"/>
      <c r="BK110" s="387"/>
      <c r="BL110" s="387"/>
      <c r="BM110" s="387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19.95" customHeight="1" thickBot="1">
      <c r="P111" s="401" t="s">
        <v>285</v>
      </c>
      <c r="Q111" s="401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.05" customHeight="1" thickBot="1">
      <c r="P112" s="402"/>
      <c r="Q112" s="402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.600000000000001">
      <c r="P113" s="389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6.2" thickBot="1">
      <c r="P114" s="392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387" t="s">
        <v>352</v>
      </c>
      <c r="EQ114" s="387"/>
      <c r="ER114" s="387"/>
      <c r="ES114" s="387"/>
      <c r="ET114" s="387"/>
      <c r="EU114" s="387"/>
    </row>
    <row r="115" spans="5:176" ht="15.6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" customHeight="1" thickBot="1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4" t="s">
        <v>376</v>
      </c>
      <c r="DU116" s="384"/>
      <c r="DV116" s="384"/>
      <c r="DW116" s="384"/>
      <c r="DX116" s="384"/>
      <c r="DY116" s="384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.8" thickBot="1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88"/>
      <c r="DU117" s="388"/>
      <c r="DV117" s="388"/>
      <c r="DW117" s="388"/>
      <c r="DX117" s="388"/>
      <c r="DY117" s="388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6.2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9.2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" customHeight="1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6.2" thickBot="1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6.2" thickBot="1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5.6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.2" thickBot="1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" customHeight="1" thickBot="1">
      <c r="E126" s="405" t="s">
        <v>413</v>
      </c>
      <c r="F126" s="405"/>
      <c r="G126" s="405"/>
      <c r="H126" s="405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395" t="s">
        <v>326</v>
      </c>
      <c r="X126" s="395"/>
      <c r="Y126" s="395"/>
      <c r="Z126" s="395"/>
      <c r="AA126" s="395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395" t="s">
        <v>435</v>
      </c>
      <c r="AR126" s="395"/>
      <c r="AS126" s="395"/>
      <c r="AT126" s="395"/>
      <c r="AU126" s="395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395" t="s">
        <v>348</v>
      </c>
      <c r="BK126" s="395"/>
      <c r="BL126" s="395"/>
      <c r="BM126" s="395"/>
      <c r="BN126" s="395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395" t="s">
        <v>349</v>
      </c>
      <c r="CD126" s="395"/>
      <c r="CE126" s="395"/>
      <c r="CF126" s="395"/>
      <c r="CG126" s="395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416" t="s">
        <v>76</v>
      </c>
      <c r="DT126" s="416"/>
      <c r="DU126" s="416"/>
      <c r="DV126" s="416"/>
      <c r="DW126" s="416"/>
      <c r="DX126" s="416"/>
      <c r="DY126" s="416"/>
      <c r="EG126" s="3" t="s">
        <v>445</v>
      </c>
      <c r="EL126" s="143">
        <f>EB134</f>
        <v>1314.2879334772852</v>
      </c>
      <c r="EM126" s="144">
        <f>EM134</f>
        <v>6682782.3361421349</v>
      </c>
      <c r="EN126" s="380" t="s">
        <v>337</v>
      </c>
      <c r="EO126" s="380"/>
      <c r="EP126" s="380"/>
      <c r="EQ126" s="380"/>
      <c r="ER126" s="380"/>
      <c r="ES126" s="380"/>
      <c r="ET126" s="380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0" t="s">
        <v>331</v>
      </c>
      <c r="FO126" s="380"/>
      <c r="FP126" s="380"/>
      <c r="FQ126" s="380"/>
      <c r="FR126" s="380"/>
      <c r="FS126" s="380"/>
      <c r="FT126" s="380"/>
    </row>
    <row r="127" spans="5:176" ht="16.2" customHeight="1" thickBot="1">
      <c r="E127" s="405"/>
      <c r="F127" s="405"/>
      <c r="G127" s="405"/>
      <c r="H127" s="40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398"/>
      <c r="X127" s="398"/>
      <c r="Y127" s="398"/>
      <c r="Z127" s="398"/>
      <c r="AA127" s="398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395"/>
      <c r="AR127" s="395"/>
      <c r="AS127" s="395"/>
      <c r="AT127" s="395"/>
      <c r="AU127" s="39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395"/>
      <c r="BK127" s="395"/>
      <c r="BL127" s="395"/>
      <c r="BM127" s="395"/>
      <c r="BN127" s="39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395"/>
      <c r="CD127" s="395"/>
      <c r="CE127" s="395"/>
      <c r="CF127" s="395"/>
      <c r="CG127" s="395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416"/>
      <c r="DT127" s="416"/>
      <c r="DU127" s="416"/>
      <c r="DV127" s="416"/>
      <c r="DW127" s="416"/>
      <c r="DX127" s="416"/>
      <c r="DY127" s="416"/>
      <c r="EN127" s="380"/>
      <c r="EO127" s="380"/>
      <c r="EP127" s="380"/>
      <c r="EQ127" s="380"/>
      <c r="ER127" s="380"/>
      <c r="ES127" s="380"/>
      <c r="ET127" s="380"/>
      <c r="EY127" s="1"/>
      <c r="EZ127" s="1"/>
      <c r="FA127" s="1"/>
      <c r="FB127" s="1"/>
      <c r="FC127" s="1"/>
      <c r="FD127" s="1"/>
      <c r="FE127" s="1"/>
      <c r="FF127" s="1"/>
      <c r="FG127" s="1"/>
      <c r="FN127" s="380"/>
      <c r="FO127" s="380"/>
      <c r="FP127" s="380"/>
      <c r="FQ127" s="380"/>
      <c r="FR127" s="380"/>
      <c r="FS127" s="380"/>
      <c r="FT127" s="380"/>
    </row>
    <row r="128" spans="5:176" ht="19.8" customHeight="1" thickBot="1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9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9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9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9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16"/>
      <c r="DT128" s="416"/>
      <c r="DU128" s="416"/>
      <c r="DV128" s="416"/>
      <c r="DW128" s="416"/>
      <c r="DX128" s="416"/>
      <c r="DY128" s="416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0"/>
      <c r="EO128" s="380"/>
      <c r="EP128" s="380"/>
      <c r="EQ128" s="380"/>
      <c r="ER128" s="380"/>
      <c r="ES128" s="380"/>
      <c r="ET128" s="380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0"/>
      <c r="FO128" s="380"/>
      <c r="FP128" s="380"/>
      <c r="FQ128" s="380"/>
      <c r="FR128" s="380"/>
      <c r="FS128" s="380"/>
      <c r="FT128" s="380"/>
    </row>
    <row r="129" spans="2:171" ht="19.2" customHeight="1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92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92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92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92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82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411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8" thickBot="1">
      <c r="I130" s="386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6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6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6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83"/>
      <c r="DX130" s="112" t="s">
        <v>77</v>
      </c>
      <c r="DY130" s="4"/>
      <c r="DZ130" s="386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412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.8" thickBot="1">
      <c r="I131" s="386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6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6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6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6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/>
      <c r="FH131" s="7"/>
      <c r="FI131" s="7"/>
      <c r="FJ131" s="7"/>
      <c r="FK131" s="7"/>
      <c r="FL131" s="7">
        <f t="shared" si="51"/>
        <v>376.8</v>
      </c>
      <c r="FM131" s="7">
        <f t="shared" si="51"/>
        <v>4157895.2984628798</v>
      </c>
    </row>
    <row r="132" spans="2:171" ht="19.8" thickBot="1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6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9.2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6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5.6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>
        <f>SUM(EL130:EL133)</f>
        <v>245.71301647181846</v>
      </c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.8" thickBot="1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.600000000000001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.2" thickBot="1">
      <c r="B137" s="384" t="s">
        <v>386</v>
      </c>
      <c r="C137" s="384"/>
      <c r="D137" s="384"/>
      <c r="E137" s="384"/>
      <c r="F137" s="384"/>
      <c r="G137" s="384"/>
      <c r="H137" s="384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.2" thickBot="1">
      <c r="B138" s="388"/>
      <c r="C138" s="388"/>
      <c r="D138" s="388"/>
      <c r="E138" s="388"/>
      <c r="F138" s="388"/>
      <c r="G138" s="388"/>
      <c r="H138" s="38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.2" thickBot="1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.8" thickBot="1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" customHeight="1" thickBot="1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.8" thickBot="1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4" t="s">
        <v>414</v>
      </c>
      <c r="BL142" s="384"/>
      <c r="BM142" s="384"/>
      <c r="BN142" s="384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91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4" t="s">
        <v>414</v>
      </c>
      <c r="DW142" s="384"/>
      <c r="DX142" s="384"/>
      <c r="DY142" s="384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9.2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4"/>
      <c r="BL143" s="384"/>
      <c r="BM143" s="384"/>
      <c r="BN143" s="384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91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4"/>
      <c r="DW143" s="384"/>
      <c r="DX143" s="384"/>
      <c r="DY143" s="384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91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91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1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9.2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91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91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91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91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91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91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9.2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91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91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8" thickBot="1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91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2" thickBot="1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91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9.2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.2" thickBot="1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6.2" thickBot="1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" customHeight="1">
      <c r="B153" s="384" t="s">
        <v>387</v>
      </c>
      <c r="C153" s="384"/>
      <c r="D153" s="384"/>
      <c r="E153" s="384"/>
      <c r="F153" s="384"/>
      <c r="G153" s="384"/>
      <c r="H153" s="384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9.2">
      <c r="B154" s="388"/>
      <c r="C154" s="388"/>
      <c r="D154" s="388"/>
      <c r="E154" s="388"/>
      <c r="F154" s="388"/>
      <c r="G154" s="388"/>
      <c r="H154" s="388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4" t="s">
        <v>376</v>
      </c>
      <c r="BL154" s="384"/>
      <c r="BM154" s="384"/>
      <c r="BN154" s="384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9.2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4"/>
      <c r="BL155" s="384"/>
      <c r="BM155" s="384"/>
      <c r="BN155" s="384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413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13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9.2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413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6.2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413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6.2" thickBot="1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9.2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.600000000000001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6.2" thickBot="1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5.6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9.2">
      <c r="E165" s="384" t="s">
        <v>414</v>
      </c>
      <c r="F165" s="384"/>
      <c r="G165" s="384"/>
      <c r="H165" s="384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9.2">
      <c r="E166" s="384"/>
      <c r="F166" s="384"/>
      <c r="G166" s="384"/>
      <c r="H166" s="384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9.2">
      <c r="I167" s="391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9.2">
      <c r="I168" s="391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5.6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9.2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5.6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5.6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5.6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5.6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5.6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6.2" thickBo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5.6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5.6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5.6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5.6">
      <c r="T182" s="4"/>
      <c r="U182" s="4"/>
      <c r="V182" s="4"/>
      <c r="W182" s="399" t="s">
        <v>345</v>
      </c>
      <c r="X182" s="399"/>
      <c r="Y182" s="399"/>
      <c r="Z182" s="399"/>
      <c r="AA182" s="399"/>
      <c r="AB182" s="399"/>
      <c r="AC182" s="399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5.6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9" t="s">
        <v>346</v>
      </c>
      <c r="AP187" s="399"/>
      <c r="AQ187" s="399"/>
      <c r="AR187" s="399"/>
      <c r="AS187" s="399"/>
      <c r="AT187" s="399"/>
      <c r="AU187" s="399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9" t="s">
        <v>347</v>
      </c>
      <c r="BH187" s="399"/>
      <c r="BI187" s="399"/>
      <c r="BJ187" s="399"/>
      <c r="BK187" s="399"/>
      <c r="BL187" s="399"/>
      <c r="BM187" s="399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29.4">
      <c r="P189" s="409" t="s">
        <v>285</v>
      </c>
      <c r="Q189" s="409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5" thickBot="1">
      <c r="P190" s="410"/>
      <c r="Q190" s="410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5.6">
      <c r="P191" s="389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>
      <c r="P192" s="392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5" thickBot="1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5" thickBot="1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6" t="s">
        <v>398</v>
      </c>
      <c r="X195" s="407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5" thickBot="1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.600000000000001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>
      <c r="J206" s="4"/>
      <c r="K206" s="4"/>
      <c r="L206" s="4"/>
      <c r="M206" s="4"/>
      <c r="N206" s="4"/>
      <c r="O206" s="4"/>
      <c r="P206" s="375" t="s">
        <v>336</v>
      </c>
      <c r="Q206" s="375"/>
      <c r="R206" s="375"/>
      <c r="S206" s="4"/>
      <c r="T206" s="4"/>
      <c r="U206" s="40">
        <f>K218</f>
        <v>298.6148747230165</v>
      </c>
      <c r="V206" s="38">
        <f>V218</f>
        <v>8850991.3601140417</v>
      </c>
      <c r="W206" s="381" t="s">
        <v>327</v>
      </c>
      <c r="X206" s="381"/>
      <c r="Y206" s="381"/>
      <c r="Z206" s="381"/>
      <c r="AA206" s="381"/>
      <c r="AB206" s="38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1" t="s">
        <v>434</v>
      </c>
      <c r="AR206" s="381"/>
      <c r="AS206" s="381"/>
      <c r="AT206" s="381"/>
      <c r="AU206" s="38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1" t="s">
        <v>362</v>
      </c>
      <c r="BK206" s="381"/>
      <c r="BL206" s="381"/>
      <c r="BM206" s="381"/>
      <c r="BN206" s="381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1" t="s">
        <v>344</v>
      </c>
      <c r="CE206" s="381"/>
      <c r="CF206" s="381"/>
      <c r="CG206" s="381"/>
      <c r="CH206" s="381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1"/>
      <c r="X207" s="381"/>
      <c r="Y207" s="381"/>
      <c r="Z207" s="381"/>
      <c r="AA207" s="381"/>
      <c r="AB207" s="38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1"/>
      <c r="AR207" s="381"/>
      <c r="AS207" s="381"/>
      <c r="AT207" s="381"/>
      <c r="AU207" s="38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1"/>
      <c r="BK207" s="381"/>
      <c r="BL207" s="381"/>
      <c r="BM207" s="381"/>
      <c r="BN207" s="38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7"/>
      <c r="CE207" s="417"/>
      <c r="CF207" s="417"/>
      <c r="CG207" s="417"/>
      <c r="CH207" s="417"/>
      <c r="CI207" s="261"/>
      <c r="CU207" s="4"/>
      <c r="CV207" s="4"/>
    </row>
    <row r="208" spans="5:101" ht="19.2" customHeight="1">
      <c r="E208" s="384" t="s">
        <v>356</v>
      </c>
      <c r="F208" s="384"/>
      <c r="G208" s="384"/>
      <c r="H208" s="384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9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9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9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9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9.2">
      <c r="E209" s="384"/>
      <c r="F209" s="384"/>
      <c r="G209" s="384"/>
      <c r="H209" s="384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92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92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92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390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5" thickBot="1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6.95" customHeight="1" thickBot="1">
      <c r="I211" s="408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408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408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408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9.2">
      <c r="I212" s="408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408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408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408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>
      <c r="I213" s="408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8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8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8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6.2">
      <c r="I214" s="408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8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8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8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.8" thickBot="1">
      <c r="I215" s="408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408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408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408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45" customHeight="1">
      <c r="I216" s="408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8" t="s">
        <v>297</v>
      </c>
      <c r="X216" s="4"/>
      <c r="Y216" s="1" t="s">
        <v>477</v>
      </c>
      <c r="Z216" s="1" t="s">
        <v>477</v>
      </c>
      <c r="AA216" s="1" t="s">
        <v>477</v>
      </c>
      <c r="AC216" s="408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408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408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9.2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8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408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408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9.2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408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408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 thickBot="1">
      <c r="B222" s="384" t="s">
        <v>386</v>
      </c>
      <c r="C222" s="384"/>
      <c r="D222" s="384"/>
      <c r="E222" s="384"/>
      <c r="F222" s="384"/>
      <c r="G222" s="384"/>
      <c r="H222" s="384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385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>
      <c r="B223" s="388"/>
      <c r="C223" s="388"/>
      <c r="D223" s="388"/>
      <c r="E223" s="388"/>
      <c r="F223" s="388"/>
      <c r="G223" s="388"/>
      <c r="H223" s="38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385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.8" thickBot="1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385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9.2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385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9.2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38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9" t="s">
        <v>347</v>
      </c>
      <c r="CZ226" s="399"/>
      <c r="DA226" s="399"/>
      <c r="DB226" s="399"/>
      <c r="DC226" s="399"/>
      <c r="DD226" s="399"/>
    </row>
    <row r="227" spans="2:169" ht="19.8" thickBot="1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38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2.95" customHeight="1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385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.8" thickBot="1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.8" thickBot="1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>
      <c r="AC231" s="391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>
      <c r="AC232" s="391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.05" customHeight="1" thickBot="1">
      <c r="AC233" s="391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1" t="s">
        <v>514</v>
      </c>
      <c r="CZ233" s="381"/>
      <c r="DA233" s="381"/>
      <c r="DB233" s="381"/>
      <c r="DC233" s="381"/>
      <c r="DL233" s="3" t="s">
        <v>515</v>
      </c>
      <c r="DP233" s="40">
        <f>DF241</f>
        <v>46.099804713468714</v>
      </c>
      <c r="DQ233" s="38">
        <f>DQ241</f>
        <v>4043367.3234254471</v>
      </c>
      <c r="DS233" s="381" t="s">
        <v>516</v>
      </c>
      <c r="DT233" s="381"/>
      <c r="DU233" s="381"/>
      <c r="DV233" s="381"/>
      <c r="DW233" s="381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414" t="s">
        <v>331</v>
      </c>
      <c r="FJ233" s="415"/>
      <c r="FK233" s="415"/>
      <c r="FL233" s="415"/>
      <c r="FM233" s="415"/>
    </row>
    <row r="234" spans="2:169" ht="18" customHeight="1" thickBot="1">
      <c r="U234" s="46" t="s">
        <v>1</v>
      </c>
      <c r="V234" s="42" t="s">
        <v>0</v>
      </c>
      <c r="AC234" s="391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4" t="s">
        <v>414</v>
      </c>
      <c r="BL234" s="384"/>
      <c r="BM234" s="384"/>
      <c r="BN234" s="384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1"/>
      <c r="CZ234" s="381"/>
      <c r="DA234" s="381"/>
      <c r="DB234" s="381"/>
      <c r="DC234" s="381"/>
      <c r="DS234" s="381"/>
      <c r="DT234" s="381"/>
      <c r="DU234" s="381"/>
      <c r="DV234" s="381"/>
      <c r="DW234" s="381"/>
      <c r="FI234" s="415"/>
      <c r="FJ234" s="415"/>
      <c r="FK234" s="415"/>
      <c r="FL234" s="415"/>
      <c r="FM234" s="415"/>
    </row>
    <row r="235" spans="2:169" ht="18" customHeight="1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4"/>
      <c r="BL235" s="384"/>
      <c r="BM235" s="384"/>
      <c r="BN235" s="384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82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82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15"/>
      <c r="FJ235" s="415"/>
      <c r="FK235" s="415"/>
      <c r="FL235" s="415"/>
      <c r="FM235" s="415"/>
    </row>
    <row r="236" spans="2:169" ht="22.05" customHeight="1" thickBot="1">
      <c r="Q236" s="3" t="s">
        <v>432</v>
      </c>
      <c r="U236" s="40">
        <f>K242</f>
        <v>7.4647476716394348</v>
      </c>
      <c r="V236" s="38">
        <f>V242</f>
        <v>30.954464502133519</v>
      </c>
      <c r="BO236" s="385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83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83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>
      <c r="BO237" s="385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6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6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413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2.95" customHeight="1" thickBot="1">
      <c r="E238" s="384" t="s">
        <v>414</v>
      </c>
      <c r="F238" s="384"/>
      <c r="G238" s="384"/>
      <c r="H238" s="384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91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6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6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413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.2">
      <c r="E239" s="384"/>
      <c r="F239" s="384"/>
      <c r="G239" s="384"/>
      <c r="H239" s="384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91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6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6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13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>
      <c r="I240" s="391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91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6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6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13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.8" thickBot="1">
      <c r="I241" s="391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91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9.2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91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9.2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>
      <c r="BI246" s="275"/>
      <c r="BJ246" s="275"/>
      <c r="BK246" s="384" t="s">
        <v>376</v>
      </c>
      <c r="BL246" s="384"/>
      <c r="BM246" s="384"/>
      <c r="BN246" s="384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9.2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4"/>
      <c r="BL247" s="384"/>
      <c r="BM247" s="384"/>
      <c r="BN247" s="384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6.8" thickBot="1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5.6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9.2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5" thickBot="1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.05" customHeight="1"/>
    <row r="253" spans="4:163" ht="13.95" customHeight="1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.05" customHeight="1">
      <c r="CJ255" s="391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9.2">
      <c r="CJ256" s="391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9.2">
      <c r="AZ257" s="12"/>
      <c r="CJ257" s="391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9.2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.05" customHeight="1"/>
    <row r="264" spans="52:101" ht="15" thickBot="1"/>
    <row r="265" spans="52:101">
      <c r="CV265" s="46" t="s">
        <v>1</v>
      </c>
      <c r="CW265" s="42" t="s">
        <v>0</v>
      </c>
    </row>
    <row r="266" spans="52:101" ht="18.600000000000001">
      <c r="CV266" s="48" t="s">
        <v>83</v>
      </c>
      <c r="CW266" s="47" t="s">
        <v>87</v>
      </c>
    </row>
    <row r="267" spans="52:101" ht="15" thickBot="1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/>
    <row r="269" spans="52:101" ht="19.2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9.2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5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6.2">
      <c r="CJ272" s="385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6.2">
      <c r="CJ273" s="385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6.2">
      <c r="CJ274" s="385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6.2">
      <c r="CJ275" s="385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6.2">
      <c r="CJ276" s="385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6.95" customHeight="1">
      <c r="CJ277" s="385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>
      <c r="CJ278" s="38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5.6">
      <c r="CJ279" s="38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9.2">
      <c r="CJ280" s="385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9.2">
      <c r="CJ281" s="385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9.2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defaultColWidth="11.44140625" defaultRowHeight="14.4"/>
  <cols>
    <col min="3" max="4" width="11.109375" bestFit="1" customWidth="1"/>
    <col min="5" max="5" width="12.109375" bestFit="1" customWidth="1"/>
    <col min="6" max="7" width="12.77734375" bestFit="1" customWidth="1"/>
    <col min="8" max="9" width="14" bestFit="1" customWidth="1"/>
  </cols>
  <sheetData>
    <row r="4" spans="4:9" ht="15" thickBot="1"/>
    <row r="5" spans="4:9" ht="18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18.600000000000001" thickBot="1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8">
      <c r="D7" s="418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18.600000000000001" thickBot="1">
      <c r="D8" s="419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8">
      <c r="D9" s="420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8">
      <c r="D10" s="421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8">
      <c r="D11" s="421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18.600000000000001" thickBot="1">
      <c r="D12" s="422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8">
      <c r="D13" s="423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8">
      <c r="D14" s="424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18.600000000000001" thickBot="1">
      <c r="D15" s="425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8">
      <c r="D16" s="426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8">
      <c r="D17" s="426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18.600000000000001" thickBot="1">
      <c r="D18" s="427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>
      <c r="F19">
        <f>SUM(F7:F18)</f>
        <v>15696824.560040887</v>
      </c>
    </row>
    <row r="23" spans="4:9">
      <c r="E23" s="173" t="s">
        <v>465</v>
      </c>
      <c r="F23" s="3" t="s">
        <v>464</v>
      </c>
      <c r="G23" s="3" t="s">
        <v>492</v>
      </c>
    </row>
    <row r="24" spans="4:9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defaultColWidth="10.77734375" defaultRowHeight="14.4"/>
  <cols>
    <col min="1" max="2" width="10.77734375" style="3"/>
    <col min="3" max="3" width="11" style="3" bestFit="1" customWidth="1"/>
    <col min="4" max="4" width="10.77734375" style="3"/>
    <col min="5" max="5" width="17" style="3" bestFit="1" customWidth="1"/>
    <col min="6" max="6" width="13" style="3" bestFit="1" customWidth="1"/>
    <col min="7" max="7" width="11.109375" style="3" bestFit="1" customWidth="1"/>
    <col min="8" max="8" width="13" style="3" bestFit="1" customWidth="1"/>
    <col min="9" max="9" width="11.109375" style="3" bestFit="1" customWidth="1"/>
    <col min="10" max="10" width="13" style="3" bestFit="1" customWidth="1"/>
    <col min="11" max="11" width="11.109375" style="3" bestFit="1" customWidth="1"/>
    <col min="12" max="14" width="13" style="3" bestFit="1" customWidth="1"/>
    <col min="15" max="29" width="11.109375" style="3" bestFit="1" customWidth="1"/>
    <col min="30" max="30" width="13" style="3" bestFit="1" customWidth="1"/>
    <col min="31" max="31" width="11.7773437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7773437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77734375" style="3"/>
    <col min="67" max="67" width="11.7773437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77734375" style="3"/>
  </cols>
  <sheetData>
    <row r="1" spans="2:81" ht="109.8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5.6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5.6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5.6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5.6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5.6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5.6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5.6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5.6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>
      <c r="C38" s="142" t="s">
        <v>473</v>
      </c>
      <c r="AT38" s="175"/>
      <c r="AU38" s="428" t="s">
        <v>470</v>
      </c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G38" s="428"/>
      <c r="BH38" s="428"/>
      <c r="BI38" s="428"/>
      <c r="BN38" s="175"/>
      <c r="BO38" s="428" t="s">
        <v>471</v>
      </c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  <c r="CA38" s="428"/>
      <c r="CB38" s="428"/>
      <c r="CC38" s="428"/>
    </row>
    <row r="39" spans="2:81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09.8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5.6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5.6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5.6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5.6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5.6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5.6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5.6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5.6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>
      <c r="AT78" s="175"/>
      <c r="AU78" s="428" t="s">
        <v>472</v>
      </c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  <c r="BG78" s="428"/>
      <c r="BH78" s="428"/>
      <c r="BI78" s="428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09.8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5.6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5.6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5.6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5.6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5.6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5.6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5.6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5.6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5.6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>
      <c r="AJ123" s="175"/>
      <c r="AK123" s="175"/>
      <c r="AT123" s="175"/>
      <c r="AU123" s="428" t="s">
        <v>328</v>
      </c>
      <c r="AV123" s="428"/>
      <c r="AW123" s="428"/>
      <c r="AX123" s="428"/>
      <c r="AY123" s="428"/>
      <c r="AZ123" s="428"/>
      <c r="BA123" s="428"/>
      <c r="BB123" s="428"/>
      <c r="BC123" s="428"/>
      <c r="BD123" s="428"/>
      <c r="BE123" s="428"/>
      <c r="BF123" s="428"/>
      <c r="BG123" s="428"/>
      <c r="BH123" s="428"/>
      <c r="BI123" s="428"/>
      <c r="BJ123" s="20" t="s">
        <v>369</v>
      </c>
      <c r="BO123" s="428" t="s">
        <v>330</v>
      </c>
      <c r="BP123" s="428"/>
      <c r="BQ123" s="20" t="s">
        <v>381</v>
      </c>
    </row>
    <row r="124" spans="5:69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.05" customHeight="1">
      <c r="F125" s="429"/>
      <c r="G125" s="429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8" t="s">
        <v>368</v>
      </c>
      <c r="AV125" s="428"/>
      <c r="AW125" s="428"/>
      <c r="AX125" s="428"/>
      <c r="AY125" s="428"/>
      <c r="AZ125" s="428"/>
      <c r="BA125" s="428"/>
      <c r="BB125" s="428"/>
      <c r="BC125" s="428"/>
      <c r="BD125" s="428"/>
      <c r="BE125" s="428"/>
      <c r="BF125" s="428"/>
      <c r="BG125" s="428"/>
      <c r="BH125" s="428"/>
      <c r="BI125" s="428"/>
      <c r="BO125" s="20"/>
      <c r="BP125" s="20"/>
    </row>
    <row r="126" spans="5:69" ht="228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>
      <c r="E142" s="173"/>
      <c r="F142" s="428" t="s">
        <v>329</v>
      </c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20" t="s">
        <v>365</v>
      </c>
      <c r="AQ142" s="20"/>
    </row>
    <row r="143" spans="5:68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>
      <c r="E144" s="173"/>
      <c r="F144" s="428" t="s">
        <v>366</v>
      </c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</row>
    <row r="145" spans="5:43">
      <c r="E145" s="173"/>
    </row>
    <row r="146" spans="5:43">
      <c r="E146" s="173"/>
    </row>
    <row r="147" spans="5:43">
      <c r="E147" s="173"/>
    </row>
    <row r="148" spans="5:43">
      <c r="E148" s="173"/>
    </row>
    <row r="149" spans="5:43">
      <c r="E149" s="173"/>
    </row>
    <row r="150" spans="5:43">
      <c r="E150" s="173"/>
    </row>
    <row r="151" spans="5:43">
      <c r="E151" s="173"/>
    </row>
    <row r="152" spans="5:43">
      <c r="E152" s="173"/>
    </row>
    <row r="153" spans="5:43">
      <c r="E153" s="173"/>
    </row>
    <row r="154" spans="5:43">
      <c r="E154" s="173"/>
    </row>
    <row r="155" spans="5:43" ht="228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5.6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>
      <c r="F165" s="428" t="s">
        <v>56</v>
      </c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20"/>
      <c r="AQ165" s="20"/>
    </row>
    <row r="166" spans="5:47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>
      <c r="F167" s="428" t="s">
        <v>367</v>
      </c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20"/>
      <c r="AQ167" s="20"/>
    </row>
    <row r="171" spans="5:47">
      <c r="F171" s="428" t="s">
        <v>461</v>
      </c>
      <c r="G171" s="428"/>
      <c r="H171" s="428"/>
      <c r="I171" s="428"/>
      <c r="J171" s="428"/>
      <c r="K171" s="428"/>
      <c r="L171" s="428"/>
      <c r="M171" s="428"/>
      <c r="N171" s="428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5.6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5.6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5.6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5.6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5.6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5.6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5.6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5.6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6.8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>
      <c r="E211" s="175"/>
      <c r="J211" s="20"/>
      <c r="L211" s="20"/>
    </row>
    <row r="212" spans="5:18">
      <c r="E212" s="175"/>
    </row>
    <row r="213" spans="5:18">
      <c r="F213" s="428" t="s">
        <v>490</v>
      </c>
      <c r="G213" s="428"/>
      <c r="H213" s="428"/>
      <c r="I213" s="428"/>
      <c r="J213" s="428"/>
      <c r="O213" s="207"/>
      <c r="P213" s="207"/>
    </row>
    <row r="216" spans="5:18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>
      <c r="E232" s="175"/>
    </row>
    <row r="233" spans="5:14">
      <c r="E233" s="175"/>
    </row>
    <row r="238" spans="5:14">
      <c r="K238" s="142"/>
      <c r="L238" s="142"/>
      <c r="M238" s="142"/>
      <c r="N238" s="14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defaultColWidth="10.77734375" defaultRowHeight="14.4"/>
  <cols>
    <col min="1" max="1" width="10.77734375" style="3"/>
    <col min="2" max="2" width="17" style="3" bestFit="1" customWidth="1"/>
    <col min="3" max="10" width="10.77734375" style="3"/>
    <col min="11" max="11" width="12.6640625" style="3" bestFit="1" customWidth="1"/>
    <col min="12" max="44" width="10.77734375" style="3"/>
    <col min="45" max="45" width="16" style="3" customWidth="1"/>
    <col min="46" max="16384" width="10.77734375" style="3"/>
  </cols>
  <sheetData>
    <row r="1" spans="2:77" ht="109.8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5.6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5.6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5.6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5.6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5.6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5.6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5.6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5.6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</row>
    <row r="39" spans="2:77">
      <c r="AQ39" s="175"/>
      <c r="BK39" s="175"/>
    </row>
    <row r="40" spans="2:77">
      <c r="AQ40" s="175"/>
    </row>
    <row r="41" spans="2:77" ht="109.8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5.6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5.6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5.6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5.6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5.6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5.6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5.6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5.6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09.8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5.6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5.6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5.6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5.6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5.6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5.6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5.6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5.6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>
      <c r="AG121" s="175"/>
      <c r="AH121" s="175"/>
      <c r="AQ121" s="175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G121" s="20"/>
      <c r="BL121" s="20"/>
      <c r="BM121" s="20"/>
      <c r="BN121" s="20"/>
    </row>
    <row r="122" spans="2:66" ht="13.05" customHeight="1">
      <c r="C122" s="429"/>
      <c r="D122" s="429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28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>
      <c r="B139" s="173"/>
      <c r="C139" s="428" t="s">
        <v>329</v>
      </c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20" t="s">
        <v>365</v>
      </c>
      <c r="AN139" s="20"/>
    </row>
    <row r="140" spans="2:65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>
      <c r="B141" s="173"/>
      <c r="C141" s="428" t="s">
        <v>366</v>
      </c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</row>
    <row r="142" spans="2:65">
      <c r="B142" s="173"/>
    </row>
    <row r="143" spans="2:65">
      <c r="B143" s="173"/>
    </row>
    <row r="144" spans="2:65">
      <c r="B144" s="173"/>
    </row>
    <row r="145" spans="2:44">
      <c r="B145" s="173"/>
    </row>
    <row r="146" spans="2:44">
      <c r="B146" s="173"/>
    </row>
    <row r="147" spans="2:44">
      <c r="B147" s="173"/>
    </row>
    <row r="148" spans="2:44">
      <c r="B148" s="173"/>
    </row>
    <row r="149" spans="2:44">
      <c r="B149" s="173"/>
    </row>
    <row r="150" spans="2:44">
      <c r="B150" s="173"/>
    </row>
    <row r="151" spans="2:44">
      <c r="B151" s="173"/>
    </row>
    <row r="152" spans="2:44" ht="228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5.6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>
      <c r="C162" s="428" t="s">
        <v>56</v>
      </c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20"/>
      <c r="AN162" s="20"/>
    </row>
    <row r="163" spans="2:40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>
      <c r="C164" s="428" t="s">
        <v>367</v>
      </c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20"/>
      <c r="AN164" s="20"/>
    </row>
    <row r="168" spans="2:40">
      <c r="C168" s="428" t="s">
        <v>364</v>
      </c>
      <c r="D168" s="428"/>
      <c r="E168" s="428"/>
      <c r="F168" s="428"/>
      <c r="G168" s="428"/>
      <c r="H168" s="428"/>
      <c r="I168" s="428"/>
      <c r="J168" s="428"/>
      <c r="K168" s="428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5.6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5.6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5.6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5.6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5.6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5.6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5.6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5.6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6.8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>
      <c r="B208" s="175"/>
      <c r="G208" s="20"/>
      <c r="I208" s="20"/>
    </row>
    <row r="209" spans="2:15">
      <c r="B209" s="175"/>
    </row>
    <row r="210" spans="2:15">
      <c r="C210" s="428" t="s">
        <v>375</v>
      </c>
      <c r="D210" s="428"/>
      <c r="E210" s="428"/>
      <c r="F210" s="428"/>
      <c r="G210" s="428"/>
      <c r="L210" s="207"/>
      <c r="M210" s="207"/>
    </row>
    <row r="213" spans="2:15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>
      <c r="B229" s="175"/>
    </row>
    <row r="230" spans="2:11">
      <c r="B230" s="175"/>
    </row>
    <row r="235" spans="2:11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defaultColWidth="10.77734375" defaultRowHeight="14.4"/>
  <cols>
    <col min="1" max="1" width="10.77734375" style="3"/>
    <col min="2" max="2" width="17" style="3" bestFit="1" customWidth="1"/>
    <col min="3" max="10" width="10.77734375" style="3"/>
    <col min="11" max="11" width="12.6640625" style="3" bestFit="1" customWidth="1"/>
    <col min="12" max="44" width="10.77734375" style="3"/>
    <col min="45" max="45" width="16" style="3" customWidth="1"/>
    <col min="46" max="16384" width="10.77734375" style="3"/>
  </cols>
  <sheetData>
    <row r="1" spans="2:78" ht="109.8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5.6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5.6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5.6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5.6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5.6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5.6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5.6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5.6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>
      <c r="C38" s="142" t="s">
        <v>473</v>
      </c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</row>
    <row r="39" spans="2:78">
      <c r="AQ39" s="175"/>
      <c r="BK39" s="175"/>
    </row>
    <row r="40" spans="2:78">
      <c r="AQ40" s="175"/>
    </row>
    <row r="41" spans="2:78" ht="109.8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5.6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5.6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5.6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5.6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5.6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5.6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5.6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5.6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09.8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5.6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5.6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5.6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5.6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5.6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5.6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5.6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5.6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5.6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.05" customHeight="1">
      <c r="C121" s="429"/>
      <c r="D121" s="429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L121" s="20"/>
      <c r="BM121" s="20"/>
    </row>
    <row r="122" spans="2:66" ht="228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>
      <c r="B138" s="173"/>
      <c r="C138" s="428" t="s">
        <v>329</v>
      </c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142" t="s">
        <v>365</v>
      </c>
      <c r="AN138" s="20"/>
    </row>
    <row r="139" spans="2:65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>
      <c r="B140" s="173"/>
      <c r="C140" s="428" t="s">
        <v>366</v>
      </c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</row>
    <row r="141" spans="2:65">
      <c r="B141" s="173"/>
    </row>
    <row r="142" spans="2:65">
      <c r="B142" s="173"/>
    </row>
    <row r="143" spans="2:65">
      <c r="B143" s="173"/>
    </row>
    <row r="144" spans="2:65">
      <c r="B144" s="173"/>
    </row>
    <row r="145" spans="2:44">
      <c r="B145" s="173"/>
    </row>
    <row r="146" spans="2:44">
      <c r="B146" s="173"/>
    </row>
    <row r="147" spans="2:44">
      <c r="B147" s="173"/>
    </row>
    <row r="148" spans="2:44">
      <c r="B148" s="173"/>
    </row>
    <row r="149" spans="2:44">
      <c r="B149" s="173"/>
    </row>
    <row r="150" spans="2:44">
      <c r="B150" s="173"/>
    </row>
    <row r="151" spans="2:44" ht="228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5.6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>
      <c r="C161" s="428" t="s">
        <v>56</v>
      </c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20"/>
      <c r="AN161" s="20"/>
    </row>
    <row r="162" spans="2:40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>
      <c r="C163" s="428" t="s">
        <v>367</v>
      </c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20"/>
      <c r="AN163" s="20"/>
    </row>
    <row r="167" spans="2:40">
      <c r="C167" s="428" t="s">
        <v>512</v>
      </c>
      <c r="D167" s="428"/>
      <c r="E167" s="428"/>
      <c r="F167" s="428"/>
      <c r="G167" s="428"/>
      <c r="H167" s="428"/>
      <c r="I167" s="428"/>
      <c r="J167" s="428"/>
      <c r="K167" s="428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5.6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5.6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5.6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5.6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5.6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5.6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5.6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5.6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6.8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>
      <c r="B207" s="175"/>
      <c r="G207" s="20"/>
      <c r="I207" s="20"/>
    </row>
    <row r="208" spans="2:19">
      <c r="B208" s="175"/>
    </row>
    <row r="209" spans="2:15">
      <c r="D209" s="207"/>
      <c r="E209" s="207"/>
      <c r="L209" s="207"/>
      <c r="M209" s="207"/>
    </row>
    <row r="212" spans="2:15">
      <c r="D212" s="207"/>
      <c r="E212" s="207"/>
    </row>
    <row r="213" spans="2:15">
      <c r="B213" s="262" t="s">
        <v>325</v>
      </c>
      <c r="C213" s="263">
        <v>0</v>
      </c>
      <c r="N213" s="207"/>
      <c r="O213" s="207"/>
    </row>
    <row r="214" spans="2:15">
      <c r="B214" s="262" t="s">
        <v>326</v>
      </c>
      <c r="C214" s="263">
        <v>0</v>
      </c>
    </row>
    <row r="215" spans="2:15">
      <c r="B215" s="262" t="s">
        <v>327</v>
      </c>
      <c r="C215" s="263">
        <f>Ore_to_PI!AA195</f>
        <v>80616.370239891301</v>
      </c>
    </row>
    <row r="216" spans="2:15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>
      <c r="B217" s="262" t="s">
        <v>435</v>
      </c>
      <c r="C217" s="263">
        <f>Ore_to_PI!AS113</f>
        <v>2824.8856477449194</v>
      </c>
    </row>
    <row r="218" spans="2:15">
      <c r="B218" s="262" t="s">
        <v>434</v>
      </c>
      <c r="C218" s="263">
        <f>Ore_to_PI!AS190</f>
        <v>282.1287710315147</v>
      </c>
    </row>
    <row r="219" spans="2:15">
      <c r="B219" s="262" t="s">
        <v>351</v>
      </c>
      <c r="C219" s="263">
        <f>Ore_to_PI!BL35</f>
        <v>12479.249680000003</v>
      </c>
    </row>
    <row r="220" spans="2:15">
      <c r="B220" s="262" t="s">
        <v>348</v>
      </c>
      <c r="C220" s="263">
        <f>Ore_to_PI!BK116</f>
        <v>34.678095164114971</v>
      </c>
    </row>
    <row r="221" spans="2:15">
      <c r="B221" s="262" t="s">
        <v>362</v>
      </c>
      <c r="C221" s="263">
        <f>Ore_to_PI!BK195</f>
        <v>50.358084153937838</v>
      </c>
    </row>
    <row r="222" spans="2:15">
      <c r="B222" s="262" t="s">
        <v>349</v>
      </c>
      <c r="C222" s="263">
        <v>0</v>
      </c>
    </row>
    <row r="223" spans="2:15">
      <c r="B223" s="262" t="s">
        <v>344</v>
      </c>
      <c r="C223" s="263">
        <v>0</v>
      </c>
    </row>
    <row r="224" spans="2:15">
      <c r="B224" s="173" t="s">
        <v>514</v>
      </c>
      <c r="C224" s="263">
        <f>Ore_to_PI!DB229</f>
        <v>33191.859393697465</v>
      </c>
    </row>
    <row r="225" spans="2:11">
      <c r="B225" s="173" t="s">
        <v>516</v>
      </c>
      <c r="C225" s="263">
        <v>0</v>
      </c>
    </row>
    <row r="226" spans="2:11">
      <c r="B226" s="173" t="s">
        <v>76</v>
      </c>
      <c r="C226" s="263">
        <v>0</v>
      </c>
    </row>
    <row r="227" spans="2:11">
      <c r="B227" s="173" t="s">
        <v>337</v>
      </c>
      <c r="C227" s="265">
        <f>Ore_to_PI!ES117</f>
        <v>318930.1042317453</v>
      </c>
    </row>
    <row r="228" spans="2:11">
      <c r="B228" s="175"/>
      <c r="C228" s="264" t="s">
        <v>196</v>
      </c>
    </row>
    <row r="233" spans="2:11">
      <c r="H233" s="142"/>
      <c r="I233" s="142"/>
      <c r="J233" s="142"/>
      <c r="K233" s="14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defaultColWidth="11.44140625" defaultRowHeight="14.4"/>
  <sheetData>
    <row r="17" spans="5:68" ht="109.8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5.6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5.6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5.6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5.6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5.6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5.6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5.6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5.6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28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>
      <c r="E72" s="262"/>
      <c r="F72" s="430" t="s">
        <v>329</v>
      </c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>
      <c r="E74" s="262"/>
      <c r="F74" s="430" t="s">
        <v>366</v>
      </c>
      <c r="G74" s="430"/>
      <c r="H74" s="430"/>
      <c r="I74" s="430"/>
      <c r="J74" s="430"/>
      <c r="K74" s="430"/>
      <c r="L74" s="430"/>
      <c r="M74" s="430"/>
      <c r="N74" s="430"/>
      <c r="O74" s="430"/>
      <c r="P74" s="430"/>
      <c r="Q74" s="430"/>
      <c r="R74" s="430"/>
      <c r="S74" s="430"/>
      <c r="T74" s="430"/>
      <c r="U74" s="430"/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28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5.6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5.6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>
      <c r="E93" s="108"/>
      <c r="F93" s="430" t="s">
        <v>56</v>
      </c>
      <c r="G93" s="430"/>
      <c r="H93" s="430"/>
      <c r="I93" s="430"/>
      <c r="J93" s="430"/>
      <c r="K93" s="430"/>
      <c r="L93" s="430"/>
      <c r="M93" s="430"/>
      <c r="N93" s="430"/>
      <c r="O93" s="430"/>
      <c r="P93" s="430"/>
      <c r="Q93" s="430"/>
      <c r="R93" s="430"/>
      <c r="S93" s="430"/>
      <c r="T93" s="430"/>
      <c r="U93" s="430"/>
      <c r="V93" s="430"/>
      <c r="W93" s="430"/>
      <c r="X93" s="430"/>
      <c r="Y93" s="430"/>
      <c r="Z93" s="430"/>
      <c r="AA93" s="430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>
      <c r="F95" s="428" t="s">
        <v>367</v>
      </c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</row>
    <row r="102" spans="5:14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621</v>
      </c>
    </row>
    <row r="106" spans="5:14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621</v>
      </c>
    </row>
    <row r="107" spans="5:14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621</v>
      </c>
    </row>
    <row r="108" spans="5:14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5.6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5.6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5.6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5.6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5.6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5.6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5.6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5.6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621</v>
      </c>
    </row>
    <row r="134" spans="5:14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6.8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defaultColWidth="11.44140625" defaultRowHeight="14.4"/>
  <cols>
    <col min="14" max="14" width="12.6640625" bestFit="1" customWidth="1"/>
  </cols>
  <sheetData>
    <row r="17" spans="5:68" ht="109.8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5.6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5.6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5.6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5.6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5.6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5.6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5.6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5.6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>
      <c r="AQ56" s="108"/>
      <c r="AR56" s="108"/>
      <c r="AS56" s="108"/>
      <c r="AT56" s="428" t="s">
        <v>368</v>
      </c>
      <c r="AU56" s="428"/>
      <c r="AV56" s="428"/>
      <c r="AW56" s="428"/>
      <c r="AX56" s="428"/>
      <c r="AY56" s="428"/>
      <c r="AZ56" s="428"/>
      <c r="BA56" s="428"/>
      <c r="BB56" s="428"/>
      <c r="BC56" s="428"/>
      <c r="BD56" s="428"/>
      <c r="BE56" s="428"/>
      <c r="BF56" s="428"/>
      <c r="BG56" s="428"/>
      <c r="BH56" s="428"/>
      <c r="BJ56" s="108"/>
      <c r="BK56" s="108"/>
      <c r="BL56" s="108"/>
      <c r="BM56" s="108"/>
      <c r="BN56" s="298"/>
      <c r="BO56" s="108"/>
    </row>
    <row r="57" spans="5:68" ht="228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>
      <c r="E73" s="262"/>
      <c r="F73" s="430" t="s">
        <v>329</v>
      </c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>
      <c r="E75" s="262"/>
      <c r="F75" s="430" t="s">
        <v>366</v>
      </c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28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5.6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>
      <c r="E94" s="108"/>
      <c r="F94" s="430" t="s">
        <v>56</v>
      </c>
      <c r="G94" s="430"/>
      <c r="H94" s="430"/>
      <c r="I94" s="430"/>
      <c r="J94" s="430"/>
      <c r="K94" s="430"/>
      <c r="L94" s="430"/>
      <c r="M94" s="430"/>
      <c r="N94" s="430"/>
      <c r="O94" s="430"/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A94" s="430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>
      <c r="F96" s="428" t="s">
        <v>367</v>
      </c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</row>
    <row r="99" spans="5:14">
      <c r="E99" s="3"/>
      <c r="F99" s="428" t="s">
        <v>512</v>
      </c>
      <c r="G99" s="428"/>
      <c r="H99" s="428"/>
      <c r="I99" s="428"/>
      <c r="J99" s="428"/>
      <c r="K99" s="428"/>
      <c r="L99" s="428"/>
      <c r="M99" s="428"/>
      <c r="N99" s="428"/>
    </row>
    <row r="100" spans="5:14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5.6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5.6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5.6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5.6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5.6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5.6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5.6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5.6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6.8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>
      <c r="E142" s="108"/>
      <c r="F142" s="430" t="s">
        <v>576</v>
      </c>
      <c r="G142" s="430"/>
      <c r="H142" s="430"/>
      <c r="I142" s="430"/>
      <c r="J142" s="430"/>
      <c r="K142" s="430"/>
      <c r="L142" s="430"/>
    </row>
    <row r="143" spans="5:14">
      <c r="E143" s="108"/>
      <c r="F143" s="108"/>
      <c r="G143" s="108"/>
      <c r="H143" s="108"/>
      <c r="I143" s="108"/>
      <c r="J143" s="108"/>
      <c r="K143" s="108"/>
      <c r="L143" s="108"/>
    </row>
    <row r="144" spans="5:14">
      <c r="E144" s="108"/>
      <c r="F144" s="108"/>
      <c r="G144" s="108"/>
      <c r="H144" s="108"/>
      <c r="I144" s="108"/>
      <c r="J144" s="108"/>
      <c r="K144" s="108"/>
      <c r="L144" s="108"/>
    </row>
    <row r="145" spans="5:1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6.8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defaultColWidth="8.77734375" defaultRowHeight="14.4"/>
  <cols>
    <col min="1" max="4" width="8.77734375" style="3"/>
    <col min="5" max="5" width="12" style="3" bestFit="1" customWidth="1"/>
    <col min="6" max="6" width="8.77734375" style="3"/>
    <col min="7" max="7" width="12" style="3" bestFit="1" customWidth="1"/>
    <col min="8" max="13" width="8.77734375" style="3"/>
    <col min="14" max="15" width="12.109375" style="3" bestFit="1" customWidth="1"/>
    <col min="16" max="19" width="8.77734375" style="3"/>
    <col min="20" max="20" width="12.109375" style="3" bestFit="1" customWidth="1"/>
    <col min="21" max="16384" width="8.77734375" style="3"/>
  </cols>
  <sheetData>
    <row r="3" spans="3:20" ht="16.2">
      <c r="E3" s="436" t="s">
        <v>279</v>
      </c>
      <c r="F3" s="436"/>
      <c r="G3" s="436"/>
      <c r="H3"/>
      <c r="I3"/>
      <c r="L3" s="428" t="s">
        <v>354</v>
      </c>
      <c r="M3" s="428"/>
      <c r="N3" s="428"/>
      <c r="P3"/>
      <c r="T3" s="142" t="s">
        <v>353</v>
      </c>
    </row>
    <row r="4" spans="3:20" ht="15" thickBot="1">
      <c r="E4" s="434" t="s">
        <v>10</v>
      </c>
      <c r="F4" s="434"/>
      <c r="G4" s="434"/>
      <c r="H4"/>
      <c r="I4"/>
      <c r="L4" s="434" t="s">
        <v>47</v>
      </c>
      <c r="M4" s="434"/>
      <c r="N4" s="434"/>
      <c r="P4"/>
      <c r="T4" s="3" t="s">
        <v>47</v>
      </c>
    </row>
    <row r="5" spans="3:20" ht="14.55" customHeight="1" thickBot="1">
      <c r="C5" s="437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37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5.6">
      <c r="C7" s="437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6.2">
      <c r="L9" s="428" t="s">
        <v>354</v>
      </c>
      <c r="M9" s="428"/>
      <c r="N9" s="428"/>
      <c r="O9" s="428"/>
    </row>
    <row r="10" spans="3:20">
      <c r="E10" s="436" t="s">
        <v>279</v>
      </c>
      <c r="F10" s="436"/>
      <c r="L10" s="434" t="s">
        <v>47</v>
      </c>
      <c r="M10" s="434"/>
      <c r="N10" s="434"/>
      <c r="O10" s="434"/>
    </row>
    <row r="11" spans="3:20">
      <c r="E11" s="434" t="s">
        <v>10</v>
      </c>
      <c r="F11" s="434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>
      <c r="C12" s="438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5" customHeight="1">
      <c r="C13" s="438"/>
      <c r="D13" s="129" t="s">
        <v>280</v>
      </c>
      <c r="E13" s="3" t="s">
        <v>91</v>
      </c>
      <c r="F13" s="3">
        <f>Kiln_SolidWaste</f>
        <v>4.9847525450981189</v>
      </c>
    </row>
    <row r="14" spans="3:20" ht="16.95" customHeight="1">
      <c r="C14" s="438"/>
      <c r="D14" s="129" t="s">
        <v>22</v>
      </c>
      <c r="E14" s="3" t="s">
        <v>91</v>
      </c>
      <c r="F14" s="3">
        <f>Kiln_H2OWaste</f>
        <v>84.513558569455128</v>
      </c>
      <c r="L14" s="428" t="s">
        <v>354</v>
      </c>
      <c r="M14" s="428"/>
      <c r="N14" s="428"/>
    </row>
    <row r="15" spans="3:20">
      <c r="C15" s="438"/>
      <c r="D15" s="3" t="s">
        <v>18</v>
      </c>
      <c r="E15" s="13">
        <f>SUM(E13:E14)</f>
        <v>0</v>
      </c>
      <c r="F15" s="13">
        <f>SUM(F13:F14)</f>
        <v>89.498311114553246</v>
      </c>
      <c r="L15" s="434" t="s">
        <v>47</v>
      </c>
      <c r="M15" s="434"/>
      <c r="N15" s="434"/>
    </row>
    <row r="16" spans="3:20">
      <c r="L16" s="130" t="s">
        <v>137</v>
      </c>
      <c r="M16" s="130" t="s">
        <v>129</v>
      </c>
      <c r="N16" s="130" t="s">
        <v>296</v>
      </c>
    </row>
    <row r="17" spans="3:16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>
      <c r="E18" s="142" t="s">
        <v>279</v>
      </c>
    </row>
    <row r="19" spans="3:16" ht="16.2">
      <c r="E19" s="23" t="s">
        <v>10</v>
      </c>
      <c r="L19" s="428" t="s">
        <v>354</v>
      </c>
      <c r="M19" s="428"/>
    </row>
    <row r="20" spans="3:16">
      <c r="C20" s="435" t="s">
        <v>278</v>
      </c>
      <c r="E20" s="130" t="s">
        <v>275</v>
      </c>
      <c r="L20" s="434" t="s">
        <v>47</v>
      </c>
      <c r="M20" s="434"/>
    </row>
    <row r="21" spans="3:16" ht="14.55" customHeight="1">
      <c r="C21" s="435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6.95" customHeight="1">
      <c r="C22" s="435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>
      <c r="C23" s="435"/>
      <c r="D23" s="3" t="s">
        <v>18</v>
      </c>
      <c r="E23" s="13">
        <f>SUM(E21:E22)</f>
        <v>25.253201846716312</v>
      </c>
    </row>
    <row r="25" spans="3:16">
      <c r="K25"/>
    </row>
    <row r="29" spans="3:16">
      <c r="P29"/>
    </row>
    <row r="30" spans="3:16">
      <c r="P30"/>
    </row>
    <row r="31" spans="3:16">
      <c r="P31"/>
    </row>
    <row r="32" spans="3:16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opLeftCell="H25" zoomScale="150" workbookViewId="0">
      <selection activeCell="Q49" sqref="Q49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2">
      <c r="K1" s="317"/>
      <c r="AC1" s="317"/>
      <c r="AE1" t="s">
        <v>31</v>
      </c>
      <c r="AF1" t="s">
        <v>38</v>
      </c>
      <c r="AG1" t="s">
        <v>619</v>
      </c>
      <c r="AH1" t="s">
        <v>620</v>
      </c>
    </row>
    <row r="2" spans="1:34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137"/>
      <c r="B4" s="139"/>
      <c r="C4" s="139"/>
      <c r="D4" s="348" t="s">
        <v>245</v>
      </c>
      <c r="E4" s="348"/>
      <c r="F4" s="348"/>
      <c r="G4" s="348"/>
      <c r="H4" s="137"/>
      <c r="I4" s="137"/>
      <c r="K4" s="317"/>
      <c r="S4" s="436" t="s">
        <v>603</v>
      </c>
      <c r="T4" s="436"/>
      <c r="U4" s="436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137"/>
      <c r="B5" s="139"/>
      <c r="C5" s="139"/>
      <c r="D5" s="434" t="s">
        <v>77</v>
      </c>
      <c r="E5" s="434"/>
      <c r="F5" s="434"/>
      <c r="G5" s="434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137"/>
      <c r="B6" s="437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137"/>
      <c r="B7" s="437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137"/>
      <c r="B8" s="437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137"/>
      <c r="B9" s="437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40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40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137"/>
      <c r="B13" s="139"/>
      <c r="C13" s="139"/>
      <c r="D13" s="348" t="s">
        <v>245</v>
      </c>
      <c r="E13" s="348"/>
      <c r="F13" s="348"/>
      <c r="G13" s="348"/>
      <c r="H13" s="348"/>
      <c r="I13" s="137"/>
      <c r="K13" s="317"/>
      <c r="M13" s="137"/>
      <c r="N13" s="137"/>
      <c r="O13" s="137"/>
      <c r="P13" s="137"/>
      <c r="Q13" s="137"/>
      <c r="R13" s="137"/>
      <c r="S13" s="137"/>
      <c r="T13" s="440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137"/>
      <c r="B14" s="139"/>
      <c r="C14" s="139"/>
      <c r="D14" s="434" t="s">
        <v>77</v>
      </c>
      <c r="E14" s="434"/>
      <c r="F14" s="434"/>
      <c r="G14" s="434"/>
      <c r="H14" s="434"/>
      <c r="I14" s="137"/>
      <c r="K14" s="317"/>
      <c r="M14" s="137"/>
      <c r="N14" s="137"/>
      <c r="O14" s="137"/>
      <c r="P14" s="137"/>
      <c r="Q14" s="137"/>
      <c r="R14" s="137"/>
      <c r="S14" s="137"/>
      <c r="T14" s="440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137"/>
      <c r="B15" s="438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137"/>
      <c r="B16" s="438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137"/>
      <c r="B17" s="438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137"/>
      <c r="B18" s="438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137"/>
      <c r="B21" s="139"/>
      <c r="C21" s="139"/>
      <c r="D21" s="348" t="s">
        <v>245</v>
      </c>
      <c r="E21" s="348"/>
      <c r="F21" s="348"/>
      <c r="G21" s="348"/>
      <c r="H21" s="137"/>
      <c r="I21" s="137"/>
      <c r="K21" s="317"/>
      <c r="M21" s="137"/>
      <c r="N21" s="137"/>
      <c r="O21" s="137"/>
      <c r="P21" s="440" t="s">
        <v>56</v>
      </c>
      <c r="Q21" s="341"/>
      <c r="R21" s="137"/>
      <c r="S21" s="441" t="s">
        <v>602</v>
      </c>
      <c r="T21" s="441"/>
      <c r="U21" s="441"/>
      <c r="V21" s="137"/>
      <c r="W21" s="137"/>
      <c r="X21" s="440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137"/>
      <c r="B22" s="139"/>
      <c r="C22" s="139"/>
      <c r="D22" s="434" t="s">
        <v>77</v>
      </c>
      <c r="E22" s="434"/>
      <c r="F22" s="434"/>
      <c r="G22" s="434"/>
      <c r="H22" s="137"/>
      <c r="I22" s="137"/>
      <c r="K22" s="317"/>
      <c r="M22" s="137"/>
      <c r="N22" s="137"/>
      <c r="O22" s="137"/>
      <c r="P22" s="440"/>
      <c r="Q22" s="341"/>
      <c r="R22" s="137"/>
      <c r="S22" s="441"/>
      <c r="T22" s="441"/>
      <c r="U22" s="441"/>
      <c r="V22" s="137"/>
      <c r="X22" s="440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137"/>
      <c r="B23" s="435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41"/>
      <c r="T23" s="441"/>
      <c r="U23" s="441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137"/>
      <c r="B24" s="435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137"/>
      <c r="B25" s="435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137"/>
      <c r="B26" s="435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40"/>
      <c r="Q30" s="137"/>
      <c r="R30" s="137"/>
      <c r="S30" s="137"/>
      <c r="T30" s="440" t="s">
        <v>618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40"/>
      <c r="Q31" s="137"/>
      <c r="R31" s="137"/>
      <c r="S31" s="137"/>
      <c r="T31" s="440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137"/>
      <c r="B32" s="439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137"/>
      <c r="B33" s="439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137"/>
      <c r="B34" s="439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137"/>
      <c r="B35" s="439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2">
      <c r="C41" s="3" t="s">
        <v>488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83.4">
      <c r="B42" s="256" t="s">
        <v>487</v>
      </c>
      <c r="C42" s="3">
        <f>E_tot/(Ore_to_PI!FL126/1000)</f>
        <v>25472106.046493623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73" t="s">
        <v>585</v>
      </c>
      <c r="D50" s="173" t="s">
        <v>586</v>
      </c>
      <c r="K50" s="317"/>
      <c r="M50" s="345" t="s">
        <v>623</v>
      </c>
      <c r="N50" s="3" t="s">
        <v>622</v>
      </c>
      <c r="R50" t="str">
        <f>M50</f>
        <v>$I$</v>
      </c>
      <c r="U50" t="str">
        <f t="shared" ref="U50:U65" si="4">N50</f>
        <v>$Q_{loss}$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Q51" t="str">
        <f t="shared" ref="Q51:R65" si="5">L51</f>
        <v>Iron ore extraction</v>
      </c>
      <c r="R51">
        <f t="shared" si="5"/>
        <v>92026.437429115918</v>
      </c>
      <c r="T51" t="str">
        <f t="shared" ref="T51:T65" si="6">L51</f>
        <v>Iron ore extraction</v>
      </c>
      <c r="U51">
        <f t="shared" si="4"/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Q52" t="str">
        <f t="shared" si="5"/>
        <v>Limestone extraction</v>
      </c>
      <c r="R52">
        <f t="shared" si="5"/>
        <v>275.72728743553671</v>
      </c>
      <c r="T52" t="str">
        <f t="shared" si="6"/>
        <v>Limestone extraction</v>
      </c>
      <c r="U52">
        <f t="shared" si="4"/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Q53" t="str">
        <f t="shared" si="5"/>
        <v>Coal extraction</v>
      </c>
      <c r="R53">
        <f t="shared" si="5"/>
        <v>98587.635320095345</v>
      </c>
      <c r="T53" t="str">
        <f t="shared" si="6"/>
        <v>Coal extraction</v>
      </c>
      <c r="U53">
        <f t="shared" si="4"/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Q54" t="str">
        <f t="shared" si="5"/>
        <v>Iron ore hauling</v>
      </c>
      <c r="R54">
        <f t="shared" si="5"/>
        <v>609792.2517593482</v>
      </c>
      <c r="T54" t="str">
        <f t="shared" si="6"/>
        <v>Iron ore hauling</v>
      </c>
      <c r="U54">
        <f t="shared" si="4"/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Q55" t="str">
        <f t="shared" si="5"/>
        <v>Limestone hauling</v>
      </c>
      <c r="R55">
        <f t="shared" si="5"/>
        <v>2824.885647744919</v>
      </c>
      <c r="T55" t="str">
        <f t="shared" si="6"/>
        <v>Limestone hauling</v>
      </c>
      <c r="U55">
        <f t="shared" si="4"/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Q56" t="str">
        <f t="shared" si="5"/>
        <v>Coal hauling</v>
      </c>
      <c r="R56">
        <f t="shared" si="5"/>
        <v>282.12877103127539</v>
      </c>
      <c r="T56" t="str">
        <f t="shared" si="6"/>
        <v>Coal hauling</v>
      </c>
      <c r="U56">
        <f t="shared" si="4"/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Q57" t="str">
        <f t="shared" si="5"/>
        <v>Iron ore beneficiation</v>
      </c>
      <c r="R57">
        <f t="shared" si="5"/>
        <v>11016.359928324207</v>
      </c>
      <c r="T57" t="str">
        <f t="shared" si="6"/>
        <v>Iron ore beneficiation</v>
      </c>
      <c r="U57">
        <f t="shared" si="4"/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Q58" t="str">
        <f t="shared" si="5"/>
        <v>Limestone beneficiation</v>
      </c>
      <c r="R58">
        <f t="shared" si="5"/>
        <v>34.678095164115803</v>
      </c>
      <c r="T58" t="str">
        <f t="shared" si="6"/>
        <v>Limestone beneficiation</v>
      </c>
      <c r="U58">
        <f t="shared" si="4"/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Q59" t="str">
        <f t="shared" si="5"/>
        <v>Coal beneficiation</v>
      </c>
      <c r="R59">
        <f t="shared" si="5"/>
        <v>50.35808415338397</v>
      </c>
      <c r="T59" t="str">
        <f t="shared" si="6"/>
        <v>Coal beneficiation</v>
      </c>
      <c r="U59">
        <f t="shared" si="4"/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Q60" t="str">
        <f t="shared" si="5"/>
        <v>Rotary kiln</v>
      </c>
      <c r="R60">
        <f t="shared" si="5"/>
        <v>1642067.5780806448</v>
      </c>
      <c r="T60" t="str">
        <f t="shared" si="6"/>
        <v>Rotary kiln</v>
      </c>
      <c r="U60">
        <f t="shared" si="4"/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Q61" t="str">
        <f t="shared" si="5"/>
        <v>Coke oven</v>
      </c>
      <c r="R61">
        <f t="shared" si="5"/>
        <v>7751416.6310380641</v>
      </c>
      <c r="T61" t="str">
        <f t="shared" si="6"/>
        <v>Coke oven</v>
      </c>
      <c r="U61">
        <f t="shared" si="4"/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Q62" t="str">
        <f t="shared" si="5"/>
        <v>COG treatment</v>
      </c>
      <c r="R62">
        <f t="shared" si="5"/>
        <v>16002.672043499071</v>
      </c>
      <c r="T62" t="str">
        <f t="shared" si="6"/>
        <v>COG treatment</v>
      </c>
      <c r="U62">
        <f t="shared" si="4"/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Q63" t="str">
        <f t="shared" si="5"/>
        <v>COG distribution</v>
      </c>
      <c r="R63">
        <f t="shared" si="5"/>
        <v>0</v>
      </c>
      <c r="T63" t="str">
        <f t="shared" si="6"/>
        <v>COG distribution</v>
      </c>
      <c r="U63">
        <f t="shared" si="4"/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Q64" t="str">
        <f t="shared" si="5"/>
        <v>Mixer</v>
      </c>
      <c r="R64">
        <f t="shared" si="5"/>
        <v>55594.067320963368</v>
      </c>
      <c r="T64" t="str">
        <f t="shared" si="6"/>
        <v>Mixer</v>
      </c>
      <c r="U64">
        <f t="shared" si="4"/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Q65" t="str">
        <f t="shared" si="5"/>
        <v>Blast furnace</v>
      </c>
      <c r="R65">
        <f t="shared" si="5"/>
        <v>7572474.0694727181</v>
      </c>
      <c r="T65" t="str">
        <f t="shared" si="6"/>
        <v>Blast furnace</v>
      </c>
      <c r="U65">
        <f t="shared" si="4"/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7">AE67*RT0*AG67</f>
        <v>-10.342345017049873</v>
      </c>
    </row>
    <row r="68" spans="2:34">
      <c r="K68" s="317"/>
      <c r="AC68" s="317"/>
      <c r="AE68">
        <v>66</v>
      </c>
      <c r="AF68">
        <f t="shared" ref="AF68:AF111" si="8">1/AE68</f>
        <v>1.5151515151515152E-2</v>
      </c>
      <c r="AG68">
        <f t="shared" ref="AG68:AG111" si="9">AF68*LN(AF68)</f>
        <v>-6.3479617303430685E-2</v>
      </c>
      <c r="AH68">
        <f t="shared" si="7"/>
        <v>-10.380171278511893</v>
      </c>
    </row>
    <row r="69" spans="2:34">
      <c r="AC69" s="317"/>
      <c r="AE69">
        <v>67</v>
      </c>
      <c r="AF69">
        <f t="shared" si="8"/>
        <v>1.4925373134328358E-2</v>
      </c>
      <c r="AG69">
        <f t="shared" si="9"/>
        <v>-6.2756606259566652E-2</v>
      </c>
      <c r="AH69">
        <f t="shared" si="7"/>
        <v>-10.417428702409714</v>
      </c>
    </row>
    <row r="70" spans="2:34">
      <c r="AC70" s="317"/>
      <c r="AE70">
        <v>68</v>
      </c>
      <c r="AF70">
        <f t="shared" si="8"/>
        <v>1.4705882352941176E-2</v>
      </c>
      <c r="AG70">
        <f t="shared" si="9"/>
        <v>-6.2051583899648634E-2</v>
      </c>
      <c r="AH70">
        <f t="shared" si="7"/>
        <v>-10.454134144128577</v>
      </c>
    </row>
    <row r="71" spans="2:34">
      <c r="AC71" s="317"/>
      <c r="AE71">
        <v>69</v>
      </c>
      <c r="AF71">
        <f t="shared" si="8"/>
        <v>1.4492753623188406E-2</v>
      </c>
      <c r="AG71">
        <f t="shared" si="9"/>
        <v>-6.1363862385467531E-2</v>
      </c>
      <c r="AH71">
        <f t="shared" si="7"/>
        <v>-10.49030372080804</v>
      </c>
    </row>
    <row r="72" spans="2:34">
      <c r="AC72" s="317"/>
      <c r="AE72">
        <v>70</v>
      </c>
      <c r="AF72">
        <f t="shared" si="8"/>
        <v>1.4285714285714285E-2</v>
      </c>
      <c r="AG72">
        <f t="shared" si="9"/>
        <v>-6.06927891721337E-2</v>
      </c>
      <c r="AH72">
        <f t="shared" si="7"/>
        <v>-10.525952853834713</v>
      </c>
    </row>
    <row r="73" spans="2:34">
      <c r="AE73">
        <v>71</v>
      </c>
      <c r="AF73">
        <f t="shared" si="8"/>
        <v>1.4084507042253521E-2</v>
      </c>
      <c r="AG73">
        <f t="shared" si="9"/>
        <v>-6.0037744747060785E-2</v>
      </c>
      <c r="AH73">
        <f t="shared" si="7"/>
        <v>-10.561096308321007</v>
      </c>
    </row>
    <row r="74" spans="2:34">
      <c r="AE74">
        <v>72</v>
      </c>
      <c r="AF74">
        <f t="shared" si="8"/>
        <v>1.3888888888888888E-2</v>
      </c>
      <c r="AG74">
        <f t="shared" si="9"/>
        <v>-5.9398140541889653E-2</v>
      </c>
      <c r="AH74">
        <f t="shared" si="7"/>
        <v>-10.595748229822844</v>
      </c>
    </row>
    <row r="75" spans="2:34">
      <c r="AE75">
        <v>73</v>
      </c>
      <c r="AF75">
        <f t="shared" si="8"/>
        <v>1.3698630136986301E-2</v>
      </c>
      <c r="AG75">
        <f t="shared" si="9"/>
        <v>-5.877341700203275E-2</v>
      </c>
      <c r="AH75">
        <f t="shared" si="7"/>
        <v>-10.6299221785249</v>
      </c>
    </row>
    <row r="76" spans="2:34">
      <c r="AE76">
        <v>74</v>
      </c>
      <c r="AF76">
        <f t="shared" si="8"/>
        <v>1.3513513513513514E-2</v>
      </c>
      <c r="AG76">
        <f t="shared" si="9"/>
        <v>-5.8163041800056346E-2</v>
      </c>
      <c r="AH76">
        <f t="shared" si="7"/>
        <v>-10.663631161100041</v>
      </c>
    </row>
    <row r="77" spans="2:34">
      <c r="AE77">
        <v>75</v>
      </c>
      <c r="AF77">
        <f t="shared" si="8"/>
        <v>1.3333333333333334E-2</v>
      </c>
      <c r="AG77">
        <f t="shared" si="9"/>
        <v>-5.7566508180484137E-2</v>
      </c>
      <c r="AH77">
        <f t="shared" si="7"/>
        <v>-10.696887660430383</v>
      </c>
    </row>
    <row r="78" spans="2:34">
      <c r="AE78">
        <v>76</v>
      </c>
      <c r="AF78">
        <f t="shared" si="8"/>
        <v>1.3157894736842105E-2</v>
      </c>
      <c r="AG78">
        <f t="shared" si="9"/>
        <v>-5.6983333424820141E-2</v>
      </c>
      <c r="AH78">
        <f t="shared" si="7"/>
        <v>-10.729703663359885</v>
      </c>
    </row>
    <row r="79" spans="2:34">
      <c r="AE79">
        <v>77</v>
      </c>
      <c r="AF79">
        <f t="shared" si="8"/>
        <v>1.2987012987012988E-2</v>
      </c>
      <c r="AG79">
        <f t="shared" si="9"/>
        <v>-5.6413057426671229E-2</v>
      </c>
      <c r="AH79">
        <f t="shared" si="7"/>
        <v>-10.762090686632877</v>
      </c>
    </row>
    <row r="80" spans="2:34">
      <c r="AE80">
        <v>78</v>
      </c>
      <c r="AF80">
        <f t="shared" si="8"/>
        <v>1.282051282051282E-2</v>
      </c>
      <c r="AG80">
        <f t="shared" si="9"/>
        <v>-5.5855241367815278E-2</v>
      </c>
      <c r="AH80">
        <f t="shared" si="7"/>
        <v>-10.794059801158983</v>
      </c>
    </row>
    <row r="81" spans="31:34">
      <c r="AE81">
        <v>79</v>
      </c>
      <c r="AF81">
        <f t="shared" si="8"/>
        <v>1.2658227848101266E-2</v>
      </c>
      <c r="AG81">
        <f t="shared" si="9"/>
        <v>-5.5309466486924322E-2</v>
      </c>
      <c r="AH81">
        <f t="shared" si="7"/>
        <v>-10.825621654732423</v>
      </c>
    </row>
    <row r="82" spans="31:34">
      <c r="AE82">
        <v>80</v>
      </c>
      <c r="AF82">
        <f t="shared" si="8"/>
        <v>1.2500000000000001E-2</v>
      </c>
      <c r="AG82">
        <f t="shared" si="9"/>
        <v>-5.4775332933423515E-2</v>
      </c>
      <c r="AH82">
        <f t="shared" si="7"/>
        <v>-10.856786493322238</v>
      </c>
    </row>
    <row r="83" spans="31:34">
      <c r="AE83">
        <v>81</v>
      </c>
      <c r="AF83">
        <f t="shared" si="8"/>
        <v>1.2345679012345678E-2</v>
      </c>
      <c r="AG83">
        <f t="shared" si="9"/>
        <v>-5.4252458699659736E-2</v>
      </c>
      <c r="AH83">
        <f t="shared" si="7"/>
        <v>-10.887564181040101</v>
      </c>
    </row>
    <row r="84" spans="31:34">
      <c r="AE84">
        <v>82</v>
      </c>
      <c r="AF84">
        <f t="shared" si="8"/>
        <v>1.2195121951219513E-2</v>
      </c>
      <c r="AG84">
        <f t="shared" si="9"/>
        <v>-5.3740478625173824E-2</v>
      </c>
      <c r="AH84">
        <f t="shared" si="7"/>
        <v>-10.917964218882991</v>
      </c>
    </row>
    <row r="85" spans="31:34">
      <c r="AE85">
        <v>83</v>
      </c>
      <c r="AF85">
        <f t="shared" si="8"/>
        <v>1.2048192771084338E-2</v>
      </c>
      <c r="AG85">
        <f t="shared" si="9"/>
        <v>-5.3239043467428901E-2</v>
      </c>
      <c r="AH85">
        <f t="shared" si="7"/>
        <v>-10.947995762339835</v>
      </c>
    </row>
    <row r="86" spans="31:34">
      <c r="AE86">
        <v>84</v>
      </c>
      <c r="AF86">
        <f t="shared" si="8"/>
        <v>1.1904761904761904E-2</v>
      </c>
      <c r="AG86">
        <f t="shared" si="9"/>
        <v>-5.2747819033848967E-2</v>
      </c>
      <c r="AH86">
        <f t="shared" si="7"/>
        <v>-10.977667637943824</v>
      </c>
    </row>
    <row r="87" spans="31:34">
      <c r="AE87">
        <v>85</v>
      </c>
      <c r="AF87">
        <f t="shared" si="8"/>
        <v>1.1764705882352941E-2</v>
      </c>
      <c r="AG87">
        <f t="shared" si="9"/>
        <v>-5.2266485370474312E-2</v>
      </c>
      <c r="AH87">
        <f t="shared" si="7"/>
        <v>-11.006988358845225</v>
      </c>
    </row>
    <row r="88" spans="31:34">
      <c r="AE88">
        <v>86</v>
      </c>
      <c r="AF88">
        <f t="shared" si="8"/>
        <v>1.1627906976744186E-2</v>
      </c>
      <c r="AG88">
        <f t="shared" si="9"/>
        <v>-5.1794736002947761E-2</v>
      </c>
      <c r="AH88">
        <f t="shared" si="7"/>
        <v>-11.035966139473395</v>
      </c>
    </row>
    <row r="89" spans="31:34">
      <c r="AE89">
        <v>87</v>
      </c>
      <c r="AF89">
        <f t="shared" si="8"/>
        <v>1.1494252873563218E-2</v>
      </c>
      <c r="AG89">
        <f t="shared" si="9"/>
        <v>-5.1332277225914755E-2</v>
      </c>
      <c r="AH89">
        <f t="shared" si="7"/>
        <v>-11.064608909351273</v>
      </c>
    </row>
    <row r="90" spans="31:34">
      <c r="AE90">
        <v>88</v>
      </c>
      <c r="AF90">
        <f t="shared" si="8"/>
        <v>1.1363636363636364E-2</v>
      </c>
      <c r="AG90">
        <f t="shared" si="9"/>
        <v>-5.0878827437252354E-2</v>
      </c>
      <c r="AH90">
        <f t="shared" si="7"/>
        <v>-11.0929243261204</v>
      </c>
    </row>
    <row r="91" spans="31:34">
      <c r="AE91">
        <v>89</v>
      </c>
      <c r="AF91">
        <f t="shared" si="8"/>
        <v>1.1235955056179775E-2</v>
      </c>
      <c r="AG91">
        <f t="shared" si="9"/>
        <v>-5.0434116513844267E-2</v>
      </c>
      <c r="AH91">
        <f t="shared" si="7"/>
        <v>-11.120919787829997</v>
      </c>
    </row>
    <row r="92" spans="31:34">
      <c r="AE92">
        <v>90</v>
      </c>
      <c r="AF92">
        <f t="shared" si="8"/>
        <v>1.1111111111111112E-2</v>
      </c>
      <c r="AG92">
        <f t="shared" si="9"/>
        <v>-4.9997885225891839E-2</v>
      </c>
      <c r="AH92">
        <f t="shared" si="7"/>
        <v>-11.148602444539495</v>
      </c>
    </row>
    <row r="93" spans="31:34">
      <c r="AE93">
        <v>91</v>
      </c>
      <c r="AF93">
        <f t="shared" si="8"/>
        <v>1.098901098901099E-2</v>
      </c>
      <c r="AG93">
        <f t="shared" si="9"/>
        <v>-4.9569884686998356E-2</v>
      </c>
      <c r="AH93">
        <f t="shared" si="7"/>
        <v>-11.175979209279966</v>
      </c>
    </row>
    <row r="94" spans="31:34">
      <c r="AE94">
        <v>92</v>
      </c>
      <c r="AF94">
        <f t="shared" si="8"/>
        <v>1.0869565217391304E-2</v>
      </c>
      <c r="AG94">
        <f t="shared" si="9"/>
        <v>-4.9149875837489566E-2</v>
      </c>
      <c r="AH94">
        <f t="shared" si="7"/>
        <v>-11.203056768416545</v>
      </c>
    </row>
    <row r="95" spans="31:34">
      <c r="AE95">
        <v>93</v>
      </c>
      <c r="AF95">
        <f t="shared" si="8"/>
        <v>1.0752688172043012E-2</v>
      </c>
      <c r="AG95">
        <f t="shared" si="9"/>
        <v>-4.8737628958637168E-2</v>
      </c>
      <c r="AH95">
        <f t="shared" si="7"/>
        <v>-11.229841591450699</v>
      </c>
    </row>
    <row r="96" spans="31:34">
      <c r="AE96">
        <v>94</v>
      </c>
      <c r="AF96">
        <f t="shared" si="8"/>
        <v>1.0638297872340425E-2</v>
      </c>
      <c r="AG96">
        <f t="shared" si="9"/>
        <v>-4.833292321563834E-2</v>
      </c>
      <c r="AH96">
        <f t="shared" si="7"/>
        <v>-11.256339940298258</v>
      </c>
    </row>
    <row r="97" spans="31:34">
      <c r="AE97">
        <v>95</v>
      </c>
      <c r="AF97">
        <f t="shared" si="8"/>
        <v>1.0526315789473684E-2</v>
      </c>
      <c r="AG97">
        <f t="shared" si="9"/>
        <v>-4.7935546227374115E-2</v>
      </c>
      <c r="AH97">
        <f t="shared" si="7"/>
        <v>-11.282557878076535</v>
      </c>
    </row>
    <row r="98" spans="31:34">
      <c r="AE98">
        <v>96</v>
      </c>
      <c r="AF98">
        <f t="shared" si="8"/>
        <v>1.0416666666666666E-2</v>
      </c>
      <c r="AG98">
        <f t="shared" si="9"/>
        <v>-4.754529366112329E-2</v>
      </c>
      <c r="AH98">
        <f t="shared" si="7"/>
        <v>-11.308501277431349</v>
      </c>
    </row>
    <row r="99" spans="31:34">
      <c r="AE99">
        <v>97</v>
      </c>
      <c r="AF99">
        <f t="shared" si="8"/>
        <v>1.0309278350515464E-2</v>
      </c>
      <c r="AG99">
        <f t="shared" si="9"/>
        <v>-4.7161968850550337E-2</v>
      </c>
      <c r="AH99">
        <f t="shared" ref="AH99:AH111" si="10">AE99*RT0*AG99</f>
        <v>-11.334175828432581</v>
      </c>
    </row>
    <row r="100" spans="31:34">
      <c r="AE100">
        <v>98</v>
      </c>
      <c r="AF100">
        <f t="shared" si="8"/>
        <v>1.020408163265306E-2</v>
      </c>
      <c r="AG100">
        <f t="shared" si="9"/>
        <v>-4.6785382435413997E-2</v>
      </c>
      <c r="AH100">
        <f t="shared" si="10"/>
        <v>-11.359587046064805</v>
      </c>
    </row>
    <row r="101" spans="31:34">
      <c r="AE101">
        <v>99</v>
      </c>
      <c r="AF101">
        <f t="shared" si="8"/>
        <v>1.0101010101010102E-2</v>
      </c>
      <c r="AG101">
        <f t="shared" si="9"/>
        <v>-4.6415352021561516E-2</v>
      </c>
      <c r="AH101">
        <f t="shared" si="10"/>
        <v>-11.384740277337658</v>
      </c>
    </row>
    <row r="102" spans="31:34">
      <c r="AE102">
        <v>100</v>
      </c>
      <c r="AF102">
        <f t="shared" si="8"/>
        <v>0.01</v>
      </c>
      <c r="AG102">
        <f t="shared" si="9"/>
        <v>-4.605170185988091E-2</v>
      </c>
      <c r="AH102">
        <f t="shared" si="10"/>
        <v>-11.409640708038886</v>
      </c>
    </row>
    <row r="103" spans="31:34">
      <c r="AE103">
        <v>150</v>
      </c>
      <c r="AF103">
        <f t="shared" si="8"/>
        <v>6.6666666666666671E-3</v>
      </c>
      <c r="AG103">
        <f t="shared" si="9"/>
        <v>-3.3404235293975036E-2</v>
      </c>
      <c r="AH103">
        <f t="shared" si="10"/>
        <v>-12.414209706864646</v>
      </c>
    </row>
    <row r="104" spans="31:34">
      <c r="AE104">
        <v>200</v>
      </c>
      <c r="AF104">
        <f t="shared" si="8"/>
        <v>5.0000000000000001E-3</v>
      </c>
      <c r="AG104">
        <f t="shared" si="9"/>
        <v>-2.6491586832740183E-2</v>
      </c>
      <c r="AH104">
        <f t="shared" si="10"/>
        <v>-13.126962754473151</v>
      </c>
    </row>
    <row r="105" spans="31:34">
      <c r="AE105">
        <v>300</v>
      </c>
      <c r="AF105">
        <f t="shared" si="8"/>
        <v>3.3333333333333335E-3</v>
      </c>
      <c r="AG105">
        <f t="shared" si="9"/>
        <v>-1.9012608248854004E-2</v>
      </c>
      <c r="AH105">
        <f t="shared" si="10"/>
        <v>-14.131531753298912</v>
      </c>
    </row>
    <row r="106" spans="31:34">
      <c r="AE106">
        <v>500</v>
      </c>
      <c r="AF106">
        <f t="shared" si="8"/>
        <v>2E-3</v>
      </c>
      <c r="AG106">
        <f t="shared" si="9"/>
        <v>-1.2429216196844383E-2</v>
      </c>
      <c r="AH106">
        <f t="shared" si="10"/>
        <v>-15.397139015624063</v>
      </c>
    </row>
    <row r="107" spans="31:34">
      <c r="AE107">
        <v>700</v>
      </c>
      <c r="AF107">
        <f t="shared" si="8"/>
        <v>1.4285714285714286E-3</v>
      </c>
      <c r="AG107">
        <f t="shared" si="9"/>
        <v>-9.3586861929191491E-3</v>
      </c>
      <c r="AH107">
        <f t="shared" si="10"/>
        <v>-16.230773207854156</v>
      </c>
    </row>
    <row r="108" spans="31:34">
      <c r="AE108">
        <v>1000</v>
      </c>
      <c r="AF108">
        <f t="shared" si="8"/>
        <v>1E-3</v>
      </c>
      <c r="AG108">
        <f t="shared" si="9"/>
        <v>-6.9077552789821367E-3</v>
      </c>
      <c r="AH108">
        <f t="shared" si="10"/>
        <v>-17.114461062058329</v>
      </c>
    </row>
    <row r="109" spans="31:34">
      <c r="AE109">
        <v>2000</v>
      </c>
      <c r="AF109">
        <f t="shared" si="8"/>
        <v>5.0000000000000001E-4</v>
      </c>
      <c r="AG109">
        <f t="shared" si="9"/>
        <v>-3.800451229771041E-3</v>
      </c>
      <c r="AH109">
        <f t="shared" si="10"/>
        <v>-18.831783108492594</v>
      </c>
    </row>
    <row r="110" spans="31:34">
      <c r="AE110">
        <v>5000</v>
      </c>
      <c r="AF110">
        <f t="shared" si="8"/>
        <v>2.0000000000000001E-4</v>
      </c>
      <c r="AG110">
        <f t="shared" si="9"/>
        <v>-1.7034386382832477E-3</v>
      </c>
      <c r="AH110">
        <f t="shared" si="10"/>
        <v>-21.101959369643509</v>
      </c>
    </row>
    <row r="111" spans="31:34">
      <c r="AE111">
        <v>10000</v>
      </c>
      <c r="AF111">
        <f t="shared" si="8"/>
        <v>1E-4</v>
      </c>
      <c r="AG111">
        <f t="shared" si="9"/>
        <v>-9.2103403719761819E-4</v>
      </c>
      <c r="AH111">
        <f t="shared" si="10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abSelected="1" topLeftCell="B54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436" t="s">
        <v>614</v>
      </c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</row>
    <row r="3" spans="2:22" ht="19.2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9.2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395" t="s">
        <v>349</v>
      </c>
      <c r="S4" s="395"/>
      <c r="T4" s="395"/>
      <c r="U4" s="395"/>
      <c r="V4" s="395"/>
    </row>
    <row r="5" spans="2:22" ht="18.600000000000001" thickBot="1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395"/>
      <c r="S5" s="395"/>
      <c r="T5" s="395"/>
      <c r="U5" s="395"/>
      <c r="V5" s="395"/>
    </row>
    <row r="6" spans="2:22" ht="18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5.6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.8" thickBot="1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>
      <c r="C15" s="442" t="s">
        <v>613</v>
      </c>
      <c r="D15" s="442"/>
      <c r="E15" s="442"/>
      <c r="F15" s="442"/>
    </row>
    <row r="16" spans="2:22" ht="19.2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5.6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>
      <c r="B20" s="316"/>
      <c r="C20" s="316"/>
      <c r="D20" s="316"/>
      <c r="E20" s="316"/>
      <c r="F20" s="316"/>
    </row>
    <row r="22" spans="2:9" ht="20.399999999999999">
      <c r="C22" s="339" t="s">
        <v>612</v>
      </c>
    </row>
    <row r="23" spans="2:9" ht="19.2">
      <c r="C23" s="2" t="s">
        <v>89</v>
      </c>
    </row>
    <row r="24" spans="2:9" ht="18">
      <c r="B24" s="22" t="s">
        <v>254</v>
      </c>
      <c r="C24" s="22">
        <f>b_ch_CaCO3</f>
        <v>11.256799999999885</v>
      </c>
    </row>
    <row r="25" spans="2:9" ht="18">
      <c r="B25" s="5" t="s">
        <v>257</v>
      </c>
      <c r="C25" s="5">
        <f>b_ch_MgCO3</f>
        <v>33.790400000000034</v>
      </c>
    </row>
    <row r="26" spans="2:9">
      <c r="B26" s="316"/>
      <c r="C26" s="316"/>
    </row>
    <row r="28" spans="2:9" ht="21">
      <c r="C28" s="442" t="s">
        <v>615</v>
      </c>
      <c r="D28" s="442"/>
      <c r="E28" s="442"/>
      <c r="F28" s="442"/>
      <c r="G28" s="442"/>
      <c r="H28" s="442"/>
      <c r="I28" s="442"/>
    </row>
    <row r="29" spans="2:9" ht="19.2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9.2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5.6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>
      <c r="C34" s="5" t="s">
        <v>252</v>
      </c>
      <c r="D34" s="5"/>
      <c r="E34" s="89" t="s">
        <v>258</v>
      </c>
      <c r="F34" s="89" t="s">
        <v>259</v>
      </c>
    </row>
    <row r="40" spans="2:9" ht="21">
      <c r="C40" s="442" t="s">
        <v>616</v>
      </c>
      <c r="D40" s="442"/>
      <c r="E40" s="442"/>
      <c r="F40" s="442"/>
      <c r="G40" s="442"/>
      <c r="H40" s="442"/>
      <c r="I40" s="442"/>
    </row>
    <row r="41" spans="2:9" ht="16.2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9.2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>
      <c r="B45" s="13"/>
      <c r="C45" s="13"/>
      <c r="D45" s="13"/>
      <c r="E45" s="13"/>
      <c r="F45" s="13"/>
      <c r="G45" s="13"/>
      <c r="H45" s="13"/>
      <c r="I45" s="13"/>
    </row>
    <row r="48" spans="2:9" ht="21">
      <c r="C48" s="442" t="s">
        <v>617</v>
      </c>
      <c r="D48" s="442"/>
      <c r="E48" s="442"/>
      <c r="F48" s="442"/>
      <c r="G48" s="442"/>
      <c r="H48" s="442"/>
      <c r="I48" s="340"/>
    </row>
    <row r="49" spans="2:8" ht="19.2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9.2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5.6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>
      <c r="C55" s="348"/>
      <c r="D55" s="348"/>
      <c r="E55" s="348"/>
    </row>
    <row r="56" spans="2:8" ht="19.2">
      <c r="C56" s="1" t="s">
        <v>601</v>
      </c>
      <c r="D56" s="1" t="s">
        <v>600</v>
      </c>
      <c r="E56" s="1" t="s">
        <v>624</v>
      </c>
    </row>
    <row r="57" spans="2:8" ht="19.2">
      <c r="C57" s="2" t="s">
        <v>88</v>
      </c>
      <c r="D57" s="2" t="s">
        <v>88</v>
      </c>
      <c r="E57" s="3" t="s">
        <v>91</v>
      </c>
    </row>
    <row r="58" spans="2:8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</f>
        <v>6.5318557668497086E-4</v>
      </c>
    </row>
    <row r="59" spans="2:8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394</vt:i4>
      </vt:variant>
    </vt:vector>
  </HeadingPairs>
  <TitlesOfParts>
    <vt:vector size="406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2025-08-01T14:57:09Z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